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21075" windowHeight="9780"/>
  </bookViews>
  <sheets>
    <sheet name="1 " sheetId="51" r:id="rId1"/>
    <sheet name="2" sheetId="50" r:id="rId2"/>
    <sheet name="3a" sheetId="2" r:id="rId3"/>
    <sheet name="3b" sheetId="3" r:id="rId4"/>
    <sheet name="4a&amp;4b" sheetId="4" r:id="rId5"/>
    <sheet name="5" sheetId="5" r:id="rId6"/>
    <sheet name="6" sheetId="6" r:id="rId7"/>
    <sheet name="7" sheetId="7" r:id="rId8"/>
    <sheet name="8" sheetId="8" r:id="rId9"/>
    <sheet name="9" sheetId="9" r:id="rId10"/>
    <sheet name="10" sheetId="10" r:id="rId11"/>
    <sheet name="11" sheetId="11" r:id="rId12"/>
    <sheet name="12" sheetId="12" r:id="rId13"/>
    <sheet name="13" sheetId="13" r:id="rId14"/>
    <sheet name="14" sheetId="14" r:id="rId15"/>
    <sheet name="15" sheetId="15" r:id="rId16"/>
    <sheet name=" 16 a-b" sheetId="16" r:id="rId17"/>
    <sheet name="17" sheetId="17" r:id="rId18"/>
    <sheet name="18a-b" sheetId="18" r:id="rId19"/>
    <sheet name="19-20a-b" sheetId="19" r:id="rId20"/>
    <sheet name="20c-d-e" sheetId="20" r:id="rId21"/>
    <sheet name="21a-b-22a" sheetId="21" r:id="rId22"/>
    <sheet name="22b-c-d" sheetId="22" r:id="rId23"/>
    <sheet name="23-24" sheetId="23" r:id="rId24"/>
    <sheet name="25a-b" sheetId="24" r:id="rId25"/>
    <sheet name="26" sheetId="25" r:id="rId26"/>
    <sheet name="27a-b" sheetId="26" r:id="rId27"/>
    <sheet name="28" sheetId="27" r:id="rId28"/>
    <sheet name="29" sheetId="28" r:id="rId29"/>
    <sheet name="30" sheetId="29" r:id="rId30"/>
    <sheet name="31" sheetId="30" r:id="rId31"/>
    <sheet name="32" sheetId="31" r:id="rId32"/>
    <sheet name="33" sheetId="32" r:id="rId33"/>
    <sheet name="34a-b " sheetId="33" r:id="rId34"/>
    <sheet name="35a-b" sheetId="34" r:id="rId35"/>
    <sheet name="35c-35d-35e" sheetId="35" r:id="rId36"/>
    <sheet name="36" sheetId="36" r:id="rId37"/>
    <sheet name="37" sheetId="37" r:id="rId38"/>
    <sheet name="38-39" sheetId="38" r:id="rId39"/>
    <sheet name="40-41" sheetId="39" r:id="rId40"/>
    <sheet name="42-43-44" sheetId="40" r:id="rId41"/>
    <sheet name="45-46" sheetId="41" r:id="rId42"/>
    <sheet name="47" sheetId="42" r:id="rId43"/>
    <sheet name="48a-b" sheetId="43" r:id="rId44"/>
    <sheet name="49a-b" sheetId="44" r:id="rId45"/>
    <sheet name="50" sheetId="45" r:id="rId46"/>
    <sheet name="51" sheetId="46" r:id="rId47"/>
    <sheet name="52a-b" sheetId="47" r:id="rId48"/>
    <sheet name="53a" sheetId="48" r:id="rId49"/>
    <sheet name="53b" sheetId="49"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4">'[2]Table-1'!#REF!</definedName>
    <definedName name="_xlnm.Database" localSheetId="26">'[1]Table-1'!#REF!</definedName>
    <definedName name="_xlnm.Database" localSheetId="28">'[1]Table-1'!#REF!</definedName>
    <definedName name="_xlnm.Database" localSheetId="29">'[1]Table-1'!#REF!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a-b'!$A$1:$BC$69</definedName>
    <definedName name="_xlnm.Print_Area" localSheetId="0">'1 '!$A$1:$S$49</definedName>
    <definedName name="_xlnm.Print_Area" localSheetId="10">'10'!$A$1:$DG$66</definedName>
    <definedName name="_xlnm.Print_Area" localSheetId="11">'11'!$A$1:$BC$48</definedName>
    <definedName name="_xlnm.Print_Area" localSheetId="12">'12'!$A$1:$BC$51</definedName>
    <definedName name="_xlnm.Print_Area" localSheetId="13">'13'!$A$1:$BC$42</definedName>
    <definedName name="_xlnm.Print_Area" localSheetId="14">'14'!$A$1:$AC$26</definedName>
    <definedName name="_xlnm.Print_Area" localSheetId="15">'15'!$A$1:$P$31</definedName>
    <definedName name="_xlnm.Print_Area" localSheetId="17">'17'!$A$1:$Y$93</definedName>
    <definedName name="_xlnm.Print_Area" localSheetId="18">'18a-b'!$A$1:$O$46</definedName>
    <definedName name="_xlnm.Print_Area" localSheetId="19">'19-20a-b'!$A$1:$H$46</definedName>
    <definedName name="_xlnm.Print_Area" localSheetId="20">'20c-d-e'!$A$1:$I$58</definedName>
    <definedName name="_xlnm.Print_Area" localSheetId="21">'21a-b-22a'!$A$1:$Q$39</definedName>
    <definedName name="_xlnm.Print_Area" localSheetId="22">'22b-c-d'!$A$1:$F$39</definedName>
    <definedName name="_xlnm.Print_Area" localSheetId="23">'23-24'!$A$1:$I$79</definedName>
    <definedName name="_xlnm.Print_Area" localSheetId="24">'25a-b'!$A$1:$F$186</definedName>
    <definedName name="_xlnm.Print_Area" localSheetId="25">'26'!$A$1:$I$35</definedName>
    <definedName name="_xlnm.Print_Area" localSheetId="26">'27a-b'!$B$1:$M$357</definedName>
    <definedName name="_xlnm.Print_Area" localSheetId="27">'28'!$A$42:$H$315</definedName>
    <definedName name="_xlnm.Print_Area" localSheetId="29">'30'!$A$2:$DE$66</definedName>
    <definedName name="_xlnm.Print_Area" localSheetId="30">'31'!$A$1:$L$116</definedName>
    <definedName name="_xlnm.Print_Area" localSheetId="31">'32'!$A$1:$H$35</definedName>
    <definedName name="_xlnm.Print_Area" localSheetId="32">'33'!$A$1:$J$23</definedName>
    <definedName name="_xlnm.Print_Area" localSheetId="33">'34a-b '!$A$1:$I$220</definedName>
    <definedName name="_xlnm.Print_Area" localSheetId="34">'35a-b'!$A$1:$J$130</definedName>
    <definedName name="_xlnm.Print_Area" localSheetId="35">'35c-35d-35e'!$A$1:$N$144</definedName>
    <definedName name="_xlnm.Print_Area" localSheetId="36">'36'!$A$1:$K$67</definedName>
    <definedName name="_xlnm.Print_Area" localSheetId="37">'37'!$A$1:$J$139</definedName>
    <definedName name="_xlnm.Print_Area" localSheetId="38">'38-39'!$A$1:$J$152</definedName>
    <definedName name="_xlnm.Print_Area" localSheetId="2">'3a'!$A$1:$F$62</definedName>
    <definedName name="_xlnm.Print_Area" localSheetId="3">'3b'!$A$1:$D$209</definedName>
    <definedName name="_xlnm.Print_Area" localSheetId="39">'40-41'!$A$1:$EM$41</definedName>
    <definedName name="_xlnm.Print_Area" localSheetId="40">'42-43-44'!$A$1:$F$63</definedName>
    <definedName name="_xlnm.Print_Area" localSheetId="41">'45-46'!$A$1:$J$43</definedName>
    <definedName name="_xlnm.Print_Area" localSheetId="42">'47'!$A$2:$J$24</definedName>
    <definedName name="_xlnm.Print_Area" localSheetId="43">'48a-b'!$A$1:$M$67</definedName>
    <definedName name="_xlnm.Print_Area" localSheetId="44">'49a-b'!$A$1:$M$66</definedName>
    <definedName name="_xlnm.Print_Area" localSheetId="4">'4a&amp;4b'!$A$1:$Y$245</definedName>
    <definedName name="_xlnm.Print_Area" localSheetId="5">'5'!$A$1:$H$150</definedName>
    <definedName name="_xlnm.Print_Area" localSheetId="45">'50'!$A$2:$D$17</definedName>
    <definedName name="_xlnm.Print_Area" localSheetId="46">'51'!$A$1:$H$125</definedName>
    <definedName name="_xlnm.Print_Area" localSheetId="47">'52a-b'!$A$1:$AD$41</definedName>
    <definedName name="_xlnm.Print_Area" localSheetId="48">'53a'!$A$1:$J$63</definedName>
    <definedName name="_xlnm.Print_Area" localSheetId="49">'53b'!$A$1:$H$72</definedName>
    <definedName name="_xlnm.Print_Area" localSheetId="6">'6'!$A$1:$DF$143</definedName>
    <definedName name="_xlnm.Print_Area" localSheetId="7">'7'!$A$1:$BG$67</definedName>
    <definedName name="_xlnm.Print_Area" localSheetId="8">'8'!$A$1:$DG$67</definedName>
    <definedName name="_xlnm.Print_Area" localSheetId="9">'9'!$A$1:$DI$66</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45621"/>
</workbook>
</file>

<file path=xl/calcChain.xml><?xml version="1.0" encoding="utf-8"?>
<calcChain xmlns="http://schemas.openxmlformats.org/spreadsheetml/2006/main">
  <c r="S31" i="51" l="1"/>
  <c r="S29" i="51"/>
  <c r="S25" i="51"/>
  <c r="AD30" i="47" l="1"/>
  <c r="AC30" i="47"/>
  <c r="AB30" i="47"/>
  <c r="AA30" i="47"/>
  <c r="Z30" i="47"/>
  <c r="Y30" i="47"/>
  <c r="X30" i="47"/>
  <c r="W30" i="47"/>
  <c r="V30" i="47"/>
  <c r="U30" i="47"/>
  <c r="T30" i="47"/>
  <c r="S30" i="47"/>
  <c r="R30" i="47"/>
  <c r="Q30" i="47"/>
  <c r="Z19" i="47"/>
  <c r="Y13" i="47"/>
  <c r="Y12" i="47"/>
  <c r="X12" i="47"/>
  <c r="X13" i="47" s="1"/>
  <c r="G120" i="46" l="1"/>
  <c r="G119" i="46"/>
  <c r="G118" i="46"/>
  <c r="G117" i="46"/>
  <c r="G116" i="46"/>
  <c r="H115" i="46"/>
  <c r="F115" i="46"/>
  <c r="E115" i="46"/>
  <c r="D115" i="46"/>
  <c r="G115" i="46" s="1"/>
  <c r="C115" i="46"/>
  <c r="G114" i="46"/>
  <c r="G113" i="46"/>
  <c r="H112" i="46"/>
  <c r="H108" i="46" s="1"/>
  <c r="H100" i="46" s="1"/>
  <c r="G112" i="46"/>
  <c r="G111" i="46"/>
  <c r="G110" i="46"/>
  <c r="G109" i="46"/>
  <c r="F108" i="46"/>
  <c r="E108" i="46"/>
  <c r="E100" i="46" s="1"/>
  <c r="D108" i="46"/>
  <c r="C108" i="46"/>
  <c r="G108" i="46" s="1"/>
  <c r="G107" i="46"/>
  <c r="G106" i="46"/>
  <c r="H105" i="46"/>
  <c r="G105" i="46"/>
  <c r="G104" i="46"/>
  <c r="G103" i="46"/>
  <c r="G102" i="46"/>
  <c r="H101" i="46"/>
  <c r="F101" i="46"/>
  <c r="F100" i="46" s="1"/>
  <c r="E101" i="46"/>
  <c r="D101" i="46"/>
  <c r="G101" i="46" s="1"/>
  <c r="C101" i="46"/>
  <c r="C100" i="46" s="1"/>
  <c r="D100" i="46"/>
  <c r="G99" i="46"/>
  <c r="H98" i="46"/>
  <c r="G98" i="46"/>
  <c r="G97" i="46"/>
  <c r="H96" i="46"/>
  <c r="H95" i="46" s="1"/>
  <c r="F96" i="46"/>
  <c r="F95" i="46" s="1"/>
  <c r="F89" i="46" s="1"/>
  <c r="E95" i="46"/>
  <c r="E89" i="46" s="1"/>
  <c r="D95" i="46"/>
  <c r="C95" i="46"/>
  <c r="G94" i="46"/>
  <c r="H93" i="46"/>
  <c r="H90" i="46" s="1"/>
  <c r="G93" i="46"/>
  <c r="G92" i="46"/>
  <c r="H91" i="46"/>
  <c r="G91" i="46"/>
  <c r="E90" i="46"/>
  <c r="D90" i="46"/>
  <c r="G90" i="46" s="1"/>
  <c r="C90" i="46"/>
  <c r="G88" i="46"/>
  <c r="H87" i="46"/>
  <c r="G87" i="46"/>
  <c r="G86" i="46"/>
  <c r="H85" i="46"/>
  <c r="H84" i="46" s="1"/>
  <c r="G85" i="46"/>
  <c r="F84" i="46"/>
  <c r="E84" i="46"/>
  <c r="D84" i="46"/>
  <c r="G84" i="46" s="1"/>
  <c r="C84" i="46"/>
  <c r="G82" i="46"/>
  <c r="H81" i="46"/>
  <c r="F81" i="46"/>
  <c r="E81" i="46"/>
  <c r="D81" i="46"/>
  <c r="C81" i="46"/>
  <c r="G81" i="46" s="1"/>
  <c r="G79" i="46"/>
  <c r="H78" i="46"/>
  <c r="H76" i="46" s="1"/>
  <c r="G78" i="46"/>
  <c r="G77" i="46"/>
  <c r="F76" i="46"/>
  <c r="E76" i="46"/>
  <c r="D76" i="46"/>
  <c r="C76" i="46"/>
  <c r="G76" i="46" s="1"/>
  <c r="G75" i="46"/>
  <c r="G74" i="46"/>
  <c r="H73" i="46"/>
  <c r="F73" i="46"/>
  <c r="F72" i="46" s="1"/>
  <c r="E73" i="46"/>
  <c r="E72" i="46" s="1"/>
  <c r="D73" i="46"/>
  <c r="C73" i="46"/>
  <c r="G73" i="46" s="1"/>
  <c r="D72" i="46"/>
  <c r="G71" i="46"/>
  <c r="H70" i="46"/>
  <c r="H66" i="46" s="1"/>
  <c r="G70" i="46"/>
  <c r="G69" i="46"/>
  <c r="G68" i="46"/>
  <c r="G67" i="46"/>
  <c r="F66" i="46"/>
  <c r="E66" i="46"/>
  <c r="G66" i="46" s="1"/>
  <c r="D66" i="46"/>
  <c r="C66" i="46"/>
  <c r="G65" i="46"/>
  <c r="H64" i="46"/>
  <c r="H60" i="46" s="1"/>
  <c r="G64" i="46"/>
  <c r="G63" i="46"/>
  <c r="H62" i="46"/>
  <c r="G62" i="46"/>
  <c r="G61" i="46"/>
  <c r="F60" i="46"/>
  <c r="G60" i="46" s="1"/>
  <c r="G54" i="46"/>
  <c r="H53" i="46"/>
  <c r="H49" i="46" s="1"/>
  <c r="H43" i="46" s="1"/>
  <c r="H42" i="46" s="1"/>
  <c r="G53" i="46"/>
  <c r="G52" i="46"/>
  <c r="G51" i="46"/>
  <c r="G50" i="46"/>
  <c r="F49" i="46"/>
  <c r="F43" i="46" s="1"/>
  <c r="F42" i="46" s="1"/>
  <c r="E49" i="46"/>
  <c r="E43" i="46" s="1"/>
  <c r="E42" i="46" s="1"/>
  <c r="D49" i="46"/>
  <c r="C49" i="46"/>
  <c r="G49" i="46" s="1"/>
  <c r="G48" i="46"/>
  <c r="H47" i="46"/>
  <c r="G47" i="46"/>
  <c r="G46" i="46"/>
  <c r="H45" i="46"/>
  <c r="G45" i="46"/>
  <c r="G44" i="46"/>
  <c r="D43" i="46"/>
  <c r="D42" i="46" s="1"/>
  <c r="G41" i="46"/>
  <c r="G40" i="46"/>
  <c r="H39" i="46"/>
  <c r="F39" i="46"/>
  <c r="E39" i="46"/>
  <c r="D39" i="46"/>
  <c r="G39" i="46" s="1"/>
  <c r="C39" i="46"/>
  <c r="G38" i="46"/>
  <c r="G37" i="46"/>
  <c r="H36" i="46"/>
  <c r="F36" i="46"/>
  <c r="F31" i="46" s="1"/>
  <c r="F19" i="46" s="1"/>
  <c r="E36" i="46"/>
  <c r="D36" i="46"/>
  <c r="G36" i="46" s="1"/>
  <c r="C36" i="46"/>
  <c r="G35" i="46"/>
  <c r="G34" i="46"/>
  <c r="G33" i="46"/>
  <c r="H32" i="46"/>
  <c r="G32" i="46"/>
  <c r="F32" i="46"/>
  <c r="E32" i="46"/>
  <c r="D32" i="46"/>
  <c r="D31" i="46" s="1"/>
  <c r="C32" i="46"/>
  <c r="C31" i="46" s="1"/>
  <c r="H31" i="46"/>
  <c r="E31" i="46"/>
  <c r="G30" i="46"/>
  <c r="G29" i="46"/>
  <c r="H28" i="46"/>
  <c r="F28" i="46"/>
  <c r="E28" i="46"/>
  <c r="G28" i="46" s="1"/>
  <c r="D28" i="46"/>
  <c r="C28" i="46"/>
  <c r="G27" i="46"/>
  <c r="G26" i="46"/>
  <c r="H25" i="46"/>
  <c r="F25" i="46"/>
  <c r="E25" i="46"/>
  <c r="E20" i="46" s="1"/>
  <c r="E19" i="46" s="1"/>
  <c r="D25" i="46"/>
  <c r="C25" i="46"/>
  <c r="G24" i="46"/>
  <c r="G23" i="46"/>
  <c r="G22" i="46"/>
  <c r="H21" i="46"/>
  <c r="G21" i="46"/>
  <c r="H20" i="46"/>
  <c r="H19" i="46" s="1"/>
  <c r="F20" i="46"/>
  <c r="D20" i="46"/>
  <c r="C20" i="46"/>
  <c r="G20" i="46" s="1"/>
  <c r="G18" i="46"/>
  <c r="G17" i="46"/>
  <c r="G16" i="46"/>
  <c r="H15" i="46"/>
  <c r="G15" i="46"/>
  <c r="F15" i="46"/>
  <c r="E15" i="46"/>
  <c r="D15" i="46"/>
  <c r="C15" i="46"/>
  <c r="G14" i="46"/>
  <c r="G13" i="46"/>
  <c r="H12" i="46"/>
  <c r="G12" i="46"/>
  <c r="F12" i="46"/>
  <c r="E12" i="46"/>
  <c r="D12" i="46"/>
  <c r="C12" i="46"/>
  <c r="H11" i="46"/>
  <c r="G11" i="46"/>
  <c r="H10" i="46"/>
  <c r="H9" i="46" s="1"/>
  <c r="G10" i="46"/>
  <c r="F9" i="46"/>
  <c r="F8" i="46" s="1"/>
  <c r="E9" i="46"/>
  <c r="E8" i="46" s="1"/>
  <c r="D9" i="46"/>
  <c r="C9" i="46"/>
  <c r="G9" i="46" s="1"/>
  <c r="E7" i="46" l="1"/>
  <c r="D19" i="46"/>
  <c r="G31" i="46"/>
  <c r="H72" i="46"/>
  <c r="F7" i="46"/>
  <c r="C83" i="46"/>
  <c r="D8" i="46"/>
  <c r="D7" i="46" s="1"/>
  <c r="H89" i="46"/>
  <c r="H8" i="46"/>
  <c r="F83" i="46"/>
  <c r="G95" i="46"/>
  <c r="F80" i="46"/>
  <c r="H83" i="46"/>
  <c r="H80" i="46" s="1"/>
  <c r="E83" i="46"/>
  <c r="E80" i="46" s="1"/>
  <c r="E121" i="46" s="1"/>
  <c r="G100" i="46"/>
  <c r="C89" i="46"/>
  <c r="G96" i="46"/>
  <c r="G25" i="46"/>
  <c r="C72" i="46"/>
  <c r="G72" i="46" s="1"/>
  <c r="D89" i="46"/>
  <c r="D83" i="46" s="1"/>
  <c r="D80" i="46" s="1"/>
  <c r="C43" i="46"/>
  <c r="C8" i="46"/>
  <c r="C19" i="46"/>
  <c r="G8" i="46" l="1"/>
  <c r="G43" i="46"/>
  <c r="C42" i="46"/>
  <c r="G42" i="46" s="1"/>
  <c r="G83" i="46"/>
  <c r="D121" i="46"/>
  <c r="C80" i="46"/>
  <c r="F121" i="46"/>
  <c r="H7" i="46"/>
  <c r="H121" i="46" s="1"/>
  <c r="G19" i="46"/>
  <c r="G89" i="46"/>
  <c r="G80" i="46" l="1"/>
  <c r="C7" i="46"/>
  <c r="G7" i="46" s="1"/>
  <c r="C121" i="46" l="1"/>
  <c r="G121" i="46" s="1"/>
  <c r="J62" i="44" l="1"/>
  <c r="J61" i="44"/>
  <c r="G61" i="44"/>
  <c r="E61" i="44"/>
  <c r="E59" i="44" s="1"/>
  <c r="J59" i="44"/>
  <c r="G59" i="44"/>
  <c r="G55" i="44" s="1"/>
  <c r="J57" i="44"/>
  <c r="J56" i="44"/>
  <c r="G56" i="44"/>
  <c r="F56" i="44"/>
  <c r="F55" i="44" s="1"/>
  <c r="E56" i="44"/>
  <c r="D56" i="44"/>
  <c r="K55" i="44"/>
  <c r="J55" i="44"/>
  <c r="D55" i="44"/>
  <c r="C55" i="44"/>
  <c r="J54" i="44"/>
  <c r="K53" i="44"/>
  <c r="K52" i="44" s="1"/>
  <c r="K51" i="44" s="1"/>
  <c r="J53" i="44"/>
  <c r="J52" i="44" s="1"/>
  <c r="J51" i="44" s="1"/>
  <c r="C52" i="44"/>
  <c r="G51" i="44"/>
  <c r="F51" i="44"/>
  <c r="E51" i="44"/>
  <c r="D51" i="44"/>
  <c r="J50" i="44"/>
  <c r="J49" i="44"/>
  <c r="J48" i="44"/>
  <c r="J47" i="44"/>
  <c r="J42" i="44" s="1"/>
  <c r="J41" i="44" s="1"/>
  <c r="J45" i="44"/>
  <c r="K42" i="44"/>
  <c r="K41" i="44" s="1"/>
  <c r="G42" i="44"/>
  <c r="G41" i="44" s="1"/>
  <c r="G32" i="44" s="1"/>
  <c r="F42" i="44"/>
  <c r="E42" i="44"/>
  <c r="E41" i="44" s="1"/>
  <c r="E32" i="44" s="1"/>
  <c r="D42" i="44"/>
  <c r="D41" i="44" s="1"/>
  <c r="D32" i="44" s="1"/>
  <c r="C42" i="44"/>
  <c r="C41" i="44" s="1"/>
  <c r="C32" i="44" s="1"/>
  <c r="F41" i="44"/>
  <c r="J40" i="44"/>
  <c r="K39" i="44"/>
  <c r="J39" i="44"/>
  <c r="F39" i="44"/>
  <c r="E39" i="44"/>
  <c r="J38" i="44"/>
  <c r="J37" i="44"/>
  <c r="J36" i="44"/>
  <c r="K35" i="44"/>
  <c r="K34" i="44" s="1"/>
  <c r="K33" i="44" s="1"/>
  <c r="J35" i="44"/>
  <c r="J34" i="44"/>
  <c r="J33" i="44" s="1"/>
  <c r="J32" i="44" s="1"/>
  <c r="F34" i="44"/>
  <c r="F33" i="44" s="1"/>
  <c r="F32" i="44" s="1"/>
  <c r="E34" i="44"/>
  <c r="G33" i="44"/>
  <c r="E33" i="44"/>
  <c r="D33" i="44"/>
  <c r="I32" i="44"/>
  <c r="H32" i="44"/>
  <c r="K24" i="44"/>
  <c r="I24" i="44"/>
  <c r="H24" i="44"/>
  <c r="G24" i="44"/>
  <c r="F24" i="44"/>
  <c r="D24" i="44"/>
  <c r="C24" i="44"/>
  <c r="J21" i="44"/>
  <c r="J18" i="44"/>
  <c r="E13" i="44"/>
  <c r="J12" i="44"/>
  <c r="J24" i="44" s="1"/>
  <c r="E11" i="44"/>
  <c r="E7" i="44"/>
  <c r="E6" i="44"/>
  <c r="E24" i="44" s="1"/>
  <c r="K32" i="44" l="1"/>
  <c r="E55" i="44"/>
  <c r="J62" i="43" l="1"/>
  <c r="J61" i="43"/>
  <c r="F61" i="43"/>
  <c r="E61" i="43"/>
  <c r="D61" i="43"/>
  <c r="J60" i="43"/>
  <c r="K59" i="43"/>
  <c r="J59" i="43"/>
  <c r="G59" i="43"/>
  <c r="G61" i="43" s="1"/>
  <c r="F59" i="43"/>
  <c r="E59" i="43"/>
  <c r="E56" i="43" s="1"/>
  <c r="D59" i="43"/>
  <c r="C59" i="43"/>
  <c r="J58" i="43"/>
  <c r="K57" i="43"/>
  <c r="K56" i="43" s="1"/>
  <c r="K53" i="43" s="1"/>
  <c r="K52" i="43" s="1"/>
  <c r="J57" i="43"/>
  <c r="C57" i="43"/>
  <c r="C56" i="43" s="1"/>
  <c r="J56" i="43"/>
  <c r="J53" i="43" s="1"/>
  <c r="J52" i="43" s="1"/>
  <c r="G56" i="43"/>
  <c r="F56" i="43"/>
  <c r="D56" i="43"/>
  <c r="K54" i="43"/>
  <c r="J54" i="43"/>
  <c r="F54" i="43"/>
  <c r="E54" i="43"/>
  <c r="F52" i="43"/>
  <c r="E52" i="43"/>
  <c r="J49" i="43"/>
  <c r="F49" i="43"/>
  <c r="E49" i="43"/>
  <c r="J48" i="43"/>
  <c r="J47" i="43"/>
  <c r="J45" i="43" s="1"/>
  <c r="J44" i="43" s="1"/>
  <c r="J46" i="43"/>
  <c r="K45" i="43"/>
  <c r="G45" i="43"/>
  <c r="G44" i="43" s="1"/>
  <c r="F45" i="43"/>
  <c r="F44" i="43" s="1"/>
  <c r="E45" i="43"/>
  <c r="E44" i="43" s="1"/>
  <c r="D45" i="43"/>
  <c r="C45" i="43"/>
  <c r="C44" i="43" s="1"/>
  <c r="D44" i="43"/>
  <c r="J43" i="43"/>
  <c r="J42" i="43" s="1"/>
  <c r="K42" i="43"/>
  <c r="F42" i="43"/>
  <c r="E42" i="43"/>
  <c r="J41" i="43"/>
  <c r="J40" i="43"/>
  <c r="J39" i="43"/>
  <c r="G39" i="43"/>
  <c r="F39" i="43"/>
  <c r="E39" i="43"/>
  <c r="J38" i="43"/>
  <c r="J37" i="43"/>
  <c r="J36" i="43"/>
  <c r="J35" i="43"/>
  <c r="J34" i="43" s="1"/>
  <c r="J33" i="43" s="1"/>
  <c r="J32" i="43" s="1"/>
  <c r="K34" i="43"/>
  <c r="K33" i="43" s="1"/>
  <c r="K32" i="43" s="1"/>
  <c r="G33" i="43"/>
  <c r="F33" i="43"/>
  <c r="F32" i="43" s="1"/>
  <c r="E33" i="43"/>
  <c r="E32" i="43" s="1"/>
  <c r="D33" i="43"/>
  <c r="D32" i="43" s="1"/>
  <c r="D31" i="43" s="1"/>
  <c r="C33" i="43"/>
  <c r="G32" i="43"/>
  <c r="G31" i="43" s="1"/>
  <c r="C32" i="43"/>
  <c r="I31" i="43"/>
  <c r="H31" i="43"/>
  <c r="K22" i="43"/>
  <c r="J22" i="43"/>
  <c r="I22" i="43"/>
  <c r="H22" i="43"/>
  <c r="G22" i="43"/>
  <c r="F22" i="43"/>
  <c r="E22" i="43"/>
  <c r="D22" i="43"/>
  <c r="C22" i="43"/>
  <c r="G14" i="43"/>
  <c r="C31" i="43" l="1"/>
  <c r="J31" i="43"/>
  <c r="E31" i="43"/>
  <c r="K44" i="43"/>
  <c r="K31" i="43" s="1"/>
  <c r="F31" i="43"/>
  <c r="I19" i="42" l="1"/>
  <c r="H19" i="42"/>
  <c r="G19" i="42"/>
  <c r="F19" i="42"/>
  <c r="D19" i="42"/>
  <c r="C19" i="42"/>
  <c r="B19" i="42"/>
  <c r="D54" i="40" l="1"/>
  <c r="C54" i="40"/>
  <c r="D21" i="40"/>
  <c r="D20" i="40"/>
  <c r="D19" i="40"/>
  <c r="D18" i="40"/>
  <c r="D17" i="40"/>
  <c r="D16" i="40"/>
  <c r="D15" i="40"/>
  <c r="D14" i="40"/>
  <c r="D13" i="40"/>
  <c r="D12" i="40"/>
  <c r="D11" i="40"/>
  <c r="D10" i="40"/>
  <c r="DR25" i="39" l="1"/>
  <c r="DQ25" i="39"/>
  <c r="DP25" i="39"/>
  <c r="DO25" i="39"/>
  <c r="DN25" i="39"/>
  <c r="DM25" i="39"/>
  <c r="DL25" i="39"/>
  <c r="DK25" i="39"/>
  <c r="DJ25" i="39"/>
  <c r="DI25" i="39"/>
  <c r="DH25" i="39"/>
  <c r="DG25" i="39"/>
  <c r="DF25" i="39"/>
  <c r="DS4" i="39"/>
  <c r="DS25" i="39" s="1"/>
  <c r="DT4" i="39" l="1"/>
  <c r="DT25" i="39" l="1"/>
  <c r="DU4" i="39"/>
  <c r="DU25" i="39" l="1"/>
  <c r="DV4" i="39"/>
  <c r="DV25" i="39" l="1"/>
  <c r="DW4" i="39"/>
  <c r="DW25" i="39" l="1"/>
  <c r="DX4" i="39"/>
  <c r="DY4" i="39" l="1"/>
  <c r="DX25" i="39"/>
  <c r="DY25" i="39" l="1"/>
  <c r="DZ4" i="39"/>
  <c r="DZ25" i="39" l="1"/>
  <c r="EA4" i="39"/>
  <c r="EA25" i="39" l="1"/>
  <c r="EB4" i="39"/>
  <c r="EB25" i="39" l="1"/>
  <c r="EC4" i="39"/>
  <c r="EC25" i="39" l="1"/>
  <c r="ED4" i="39"/>
  <c r="EE4" i="39" l="1"/>
  <c r="ED25" i="39"/>
  <c r="EE25" i="39" l="1"/>
  <c r="EF4" i="39"/>
  <c r="EG4" i="39" l="1"/>
  <c r="EF25" i="39"/>
  <c r="EG25" i="39" l="1"/>
  <c r="EH4" i="39"/>
  <c r="EH25" i="39" l="1"/>
  <c r="EI4" i="39"/>
  <c r="EI25" i="39" l="1"/>
  <c r="EJ4" i="39"/>
  <c r="EK4" i="39" l="1"/>
  <c r="EJ25" i="39"/>
  <c r="EK25" i="39" l="1"/>
  <c r="EL4" i="39"/>
  <c r="EL25" i="39" l="1"/>
  <c r="EM4" i="39"/>
  <c r="EM25" i="39" s="1"/>
  <c r="D119" i="38"/>
  <c r="D118" i="38"/>
  <c r="H60" i="36" l="1"/>
  <c r="H59" i="36"/>
  <c r="H58" i="36"/>
  <c r="H57" i="36"/>
  <c r="H56" i="36"/>
  <c r="H55" i="36"/>
  <c r="I55" i="36" s="1"/>
  <c r="I54" i="36"/>
  <c r="H54" i="36"/>
  <c r="H53" i="36"/>
  <c r="I53" i="36" s="1"/>
  <c r="H52" i="36"/>
  <c r="I52" i="36" s="1"/>
  <c r="H51" i="36"/>
  <c r="H50" i="36"/>
  <c r="H49" i="36"/>
  <c r="H48" i="36"/>
  <c r="H47" i="36"/>
  <c r="H46" i="36"/>
  <c r="H45" i="36"/>
  <c r="H44" i="36"/>
  <c r="H43" i="36"/>
  <c r="H42" i="36"/>
  <c r="H41" i="36"/>
  <c r="H40" i="36"/>
  <c r="H39" i="36"/>
  <c r="H38" i="36"/>
  <c r="H36" i="36"/>
  <c r="H35" i="36"/>
  <c r="I35" i="36" s="1"/>
  <c r="H34" i="36"/>
  <c r="I34" i="36" s="1"/>
  <c r="E33" i="36"/>
  <c r="H33" i="36" s="1"/>
  <c r="I33" i="36" s="1"/>
  <c r="E32" i="36"/>
  <c r="H32" i="36" s="1"/>
  <c r="I32" i="36" s="1"/>
  <c r="H31" i="36"/>
  <c r="I31" i="36" s="1"/>
  <c r="E31" i="36"/>
  <c r="E30" i="36"/>
  <c r="H30" i="36" s="1"/>
  <c r="I30" i="36" s="1"/>
  <c r="E29" i="36"/>
  <c r="H29" i="36" s="1"/>
  <c r="I29" i="36" s="1"/>
  <c r="E28" i="36"/>
  <c r="H28" i="36" s="1"/>
  <c r="I28" i="36" s="1"/>
  <c r="H27" i="36"/>
  <c r="I27" i="36" s="1"/>
  <c r="E27" i="36"/>
  <c r="E26" i="36"/>
  <c r="H26" i="36" s="1"/>
  <c r="I26" i="36" s="1"/>
  <c r="E25" i="36"/>
  <c r="H25" i="36" s="1"/>
  <c r="I25" i="36" s="1"/>
  <c r="E24" i="36"/>
  <c r="H24" i="36" s="1"/>
  <c r="I24" i="36" s="1"/>
  <c r="H23" i="36"/>
  <c r="I23" i="36" s="1"/>
  <c r="E23" i="36"/>
  <c r="E22" i="36"/>
  <c r="H22" i="36" s="1"/>
  <c r="I22" i="36" s="1"/>
  <c r="H21" i="36"/>
  <c r="I21" i="36" s="1"/>
  <c r="H20" i="36"/>
  <c r="I20" i="36" s="1"/>
  <c r="D20" i="36"/>
  <c r="H19" i="36"/>
  <c r="I19" i="36" s="1"/>
  <c r="D19" i="36"/>
  <c r="H18" i="36"/>
  <c r="I18" i="36" s="1"/>
  <c r="I17" i="36"/>
  <c r="I16" i="36"/>
  <c r="I15" i="36"/>
  <c r="I14" i="36"/>
  <c r="H13" i="36"/>
  <c r="I13" i="36" s="1"/>
  <c r="H12" i="36"/>
  <c r="I12" i="36" s="1"/>
  <c r="I10" i="36"/>
  <c r="I9" i="36"/>
  <c r="H9" i="36"/>
  <c r="H8" i="36"/>
  <c r="I8" i="36" s="1"/>
  <c r="J116" i="35" l="1"/>
  <c r="I116" i="35"/>
  <c r="H116" i="35"/>
  <c r="G116" i="35"/>
  <c r="F116" i="35"/>
  <c r="E116" i="35"/>
  <c r="D116" i="35"/>
  <c r="C116" i="35"/>
  <c r="B116" i="35"/>
  <c r="G17" i="34" l="1"/>
  <c r="F17" i="34"/>
  <c r="E17" i="34"/>
  <c r="D17" i="34"/>
  <c r="C17" i="34"/>
  <c r="B17" i="34"/>
  <c r="C216" i="33"/>
  <c r="B216" i="33"/>
  <c r="D216" i="33" s="1"/>
  <c r="D215" i="33"/>
  <c r="D214" i="33"/>
  <c r="D213" i="33"/>
  <c r="D212" i="33"/>
  <c r="D211" i="33"/>
  <c r="D210" i="33"/>
  <c r="D209" i="33"/>
  <c r="D208" i="33"/>
  <c r="D207" i="33"/>
  <c r="D206" i="33"/>
  <c r="D205" i="33"/>
  <c r="D204" i="33"/>
  <c r="D203" i="33"/>
  <c r="D202" i="33"/>
  <c r="D201" i="33"/>
  <c r="D200" i="33"/>
  <c r="D199" i="33"/>
  <c r="D198" i="33"/>
  <c r="D197" i="33"/>
  <c r="D196" i="33"/>
  <c r="D195" i="33"/>
  <c r="D194" i="33"/>
  <c r="H147" i="33"/>
  <c r="G147" i="33"/>
  <c r="H146" i="33"/>
  <c r="G146" i="33"/>
  <c r="G142" i="33"/>
  <c r="H141" i="33"/>
  <c r="G141" i="33"/>
  <c r="I18" i="32"/>
  <c r="H18" i="32"/>
  <c r="G18" i="32"/>
  <c r="F18" i="32"/>
  <c r="E18" i="32"/>
  <c r="D18" i="32"/>
  <c r="C18" i="32"/>
  <c r="B18" i="32"/>
  <c r="J17" i="32"/>
  <c r="J16" i="32"/>
  <c r="J15" i="32"/>
  <c r="J14" i="32"/>
  <c r="J13" i="32"/>
  <c r="J12" i="32"/>
  <c r="J11" i="32"/>
  <c r="J10" i="32"/>
  <c r="J9" i="32"/>
  <c r="J8" i="32"/>
  <c r="J7" i="32"/>
  <c r="J18" i="32" s="1"/>
  <c r="M22" i="30" l="1"/>
  <c r="M21" i="30"/>
  <c r="M20" i="30"/>
  <c r="M19" i="30"/>
  <c r="M18" i="30"/>
  <c r="M17" i="30"/>
  <c r="M16" i="30"/>
  <c r="M15" i="30"/>
  <c r="M14" i="30"/>
  <c r="M13" i="30"/>
  <c r="M12" i="30"/>
  <c r="M206" i="26" l="1"/>
  <c r="N206" i="26" s="1"/>
  <c r="K206" i="26"/>
  <c r="N14" i="26"/>
  <c r="O14" i="26" s="1"/>
  <c r="L14" i="26"/>
  <c r="E28" i="25" l="1"/>
  <c r="D28" i="25"/>
  <c r="C28" i="25"/>
  <c r="B15" i="25"/>
  <c r="B28" i="25" s="1"/>
  <c r="F14" i="25"/>
  <c r="B14" i="25"/>
  <c r="F13" i="25"/>
  <c r="B13" i="25"/>
  <c r="F12" i="25"/>
  <c r="B12" i="25"/>
  <c r="F11" i="25"/>
  <c r="F28" i="25" s="1"/>
  <c r="B11" i="25"/>
  <c r="C182" i="24"/>
  <c r="D17" i="24"/>
  <c r="C17" i="24"/>
  <c r="E76" i="23" l="1"/>
  <c r="D76" i="23"/>
  <c r="C76" i="23"/>
  <c r="B76" i="23"/>
  <c r="F75" i="23"/>
  <c r="F74" i="23"/>
  <c r="F73" i="23"/>
  <c r="F72" i="23"/>
  <c r="F71" i="23"/>
  <c r="F69" i="23"/>
  <c r="F68" i="23"/>
  <c r="F67" i="23"/>
  <c r="F66" i="23"/>
  <c r="F65" i="23"/>
  <c r="F64" i="23"/>
  <c r="F63" i="23"/>
  <c r="F62" i="23"/>
  <c r="F61" i="23"/>
  <c r="F60" i="23"/>
  <c r="F76" i="23" s="1"/>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F15" i="23"/>
  <c r="F14" i="23"/>
  <c r="F13" i="23"/>
  <c r="F12" i="23"/>
  <c r="F11" i="23"/>
  <c r="F10" i="23"/>
  <c r="F9" i="23"/>
  <c r="F8" i="23"/>
  <c r="F7" i="23"/>
  <c r="F6" i="23"/>
  <c r="F5" i="23"/>
  <c r="F4" i="23"/>
  <c r="O27" i="18"/>
  <c r="N27" i="18"/>
  <c r="M27" i="18"/>
  <c r="O26" i="18"/>
  <c r="O22" i="18"/>
  <c r="H10" i="18"/>
  <c r="F10" i="18"/>
  <c r="E10" i="18"/>
  <c r="D10" i="18"/>
  <c r="C10" i="18"/>
  <c r="H9" i="18"/>
  <c r="H8" i="18"/>
  <c r="H7" i="18"/>
  <c r="H6" i="18"/>
  <c r="X90" i="17" l="1"/>
  <c r="J90" i="17"/>
  <c r="Y90" i="17" s="1"/>
  <c r="X89" i="17"/>
  <c r="J89" i="17"/>
  <c r="Y89" i="17" s="1"/>
  <c r="X88" i="17"/>
  <c r="Y88" i="17" s="1"/>
  <c r="J88" i="17"/>
  <c r="X87" i="17"/>
  <c r="J87" i="17"/>
  <c r="Y87" i="17" s="1"/>
  <c r="X86" i="17"/>
  <c r="J86" i="17"/>
  <c r="Y86" i="17" s="1"/>
  <c r="Y85" i="17"/>
  <c r="X85" i="17"/>
  <c r="J85" i="17"/>
  <c r="X84" i="17"/>
  <c r="J84" i="17"/>
  <c r="Y84" i="17" s="1"/>
  <c r="X83" i="17"/>
  <c r="J83" i="17"/>
  <c r="Y83" i="17" s="1"/>
  <c r="X82" i="17"/>
  <c r="J82" i="17"/>
  <c r="Y82" i="17" s="1"/>
  <c r="X81" i="17"/>
  <c r="J81" i="17"/>
  <c r="Y81" i="17" s="1"/>
  <c r="X80" i="17"/>
  <c r="Y80" i="17" s="1"/>
  <c r="J80" i="17"/>
  <c r="X79" i="17"/>
  <c r="J79" i="17"/>
  <c r="Y79" i="17" s="1"/>
  <c r="X78" i="17"/>
  <c r="J78" i="17"/>
  <c r="Y78" i="17" s="1"/>
  <c r="Y77" i="17"/>
  <c r="X77" i="17"/>
  <c r="J77" i="17"/>
  <c r="X76" i="17"/>
  <c r="J76" i="17"/>
  <c r="Y76" i="17" s="1"/>
  <c r="X75" i="17"/>
  <c r="J75" i="17"/>
  <c r="Y75" i="17" s="1"/>
  <c r="X74" i="17"/>
  <c r="J74" i="17"/>
  <c r="Y74" i="17" s="1"/>
  <c r="X73" i="17"/>
  <c r="J73" i="17"/>
  <c r="Y73" i="17" s="1"/>
  <c r="X72" i="17"/>
  <c r="Y72" i="17" s="1"/>
  <c r="J72" i="17"/>
  <c r="X71" i="17"/>
  <c r="J71" i="17"/>
  <c r="Y71" i="17" s="1"/>
  <c r="X70" i="17"/>
  <c r="J70" i="17"/>
  <c r="Y70" i="17" s="1"/>
  <c r="Y69" i="17"/>
  <c r="X69" i="17"/>
  <c r="J69" i="17"/>
  <c r="X68" i="17"/>
  <c r="J68" i="17"/>
  <c r="Y68" i="17" s="1"/>
  <c r="Y66" i="17"/>
  <c r="BC33" i="16" l="1"/>
  <c r="BB33" i="16"/>
  <c r="BA33" i="16"/>
  <c r="AZ33" i="16"/>
  <c r="AY33" i="16"/>
  <c r="AX33" i="16"/>
  <c r="AW33" i="16"/>
  <c r="AV33" i="16"/>
  <c r="AU33" i="16"/>
  <c r="AS33" i="16"/>
  <c r="AR33" i="16"/>
  <c r="AQ33" i="16"/>
  <c r="AP33" i="16"/>
  <c r="AO33" i="16"/>
  <c r="AN33" i="16"/>
  <c r="AM33" i="16"/>
  <c r="AL33" i="16"/>
  <c r="AK33" i="16"/>
  <c r="AJ33" i="16"/>
  <c r="AI33" i="16"/>
  <c r="AH33" i="16"/>
  <c r="AG33" i="16"/>
  <c r="AF33" i="16"/>
  <c r="AE33" i="16"/>
  <c r="AD33" i="16"/>
  <c r="AC33" i="16"/>
  <c r="AB33" i="16"/>
  <c r="AA33" i="16"/>
  <c r="Z33" i="16"/>
  <c r="Y33" i="16"/>
  <c r="W33" i="16"/>
  <c r="V33" i="16"/>
  <c r="U33" i="16"/>
  <c r="T33" i="16"/>
  <c r="S33" i="16"/>
  <c r="R33" i="16"/>
  <c r="Q33" i="16"/>
  <c r="P33" i="16"/>
  <c r="O33" i="16"/>
  <c r="N33" i="16"/>
  <c r="M33" i="16"/>
  <c r="J33" i="16"/>
  <c r="I33" i="16"/>
  <c r="H33" i="16"/>
  <c r="G33" i="16"/>
  <c r="F33" i="16"/>
  <c r="E33" i="16"/>
  <c r="D33" i="16"/>
  <c r="C33" i="16"/>
  <c r="B33" i="16"/>
  <c r="P16" i="15" l="1"/>
  <c r="O16" i="15"/>
  <c r="N16" i="15"/>
  <c r="M16" i="15"/>
  <c r="L16" i="15"/>
  <c r="I16" i="15"/>
  <c r="H16" i="15"/>
  <c r="F16" i="15"/>
  <c r="E16" i="15"/>
  <c r="D16" i="15"/>
  <c r="N14" i="15"/>
  <c r="N20" i="15" s="1"/>
  <c r="N24" i="15" s="1"/>
  <c r="N28" i="15" s="1"/>
  <c r="M14" i="15"/>
  <c r="M20" i="15" s="1"/>
  <c r="M24" i="15" s="1"/>
  <c r="M28" i="15" s="1"/>
  <c r="P10" i="15"/>
  <c r="O10" i="15"/>
  <c r="N10" i="15"/>
  <c r="M10" i="15"/>
  <c r="L10" i="15"/>
  <c r="I10" i="15"/>
  <c r="H10" i="15"/>
  <c r="F10" i="15"/>
  <c r="F14" i="15" s="1"/>
  <c r="F20" i="15" s="1"/>
  <c r="F24" i="15" s="1"/>
  <c r="F28" i="15" s="1"/>
  <c r="E10" i="15"/>
  <c r="D10" i="15"/>
  <c r="D14" i="15" s="1"/>
  <c r="D20" i="15" s="1"/>
  <c r="D24" i="15" s="1"/>
  <c r="D28" i="15" s="1"/>
  <c r="P8" i="15"/>
  <c r="P14" i="15" s="1"/>
  <c r="P20" i="15" s="1"/>
  <c r="P24" i="15" s="1"/>
  <c r="P28" i="15" s="1"/>
  <c r="O8" i="15"/>
  <c r="O14" i="15" s="1"/>
  <c r="O20" i="15" s="1"/>
  <c r="O24" i="15" s="1"/>
  <c r="O28" i="15" s="1"/>
  <c r="N8" i="15"/>
  <c r="M8" i="15"/>
  <c r="L8" i="15"/>
  <c r="L14" i="15" s="1"/>
  <c r="L20" i="15" s="1"/>
  <c r="L24" i="15" s="1"/>
  <c r="L28" i="15" s="1"/>
  <c r="J8" i="15"/>
  <c r="I8" i="15"/>
  <c r="I14" i="15" s="1"/>
  <c r="I20" i="15" s="1"/>
  <c r="I24" i="15" s="1"/>
  <c r="I28" i="15" s="1"/>
  <c r="H8" i="15"/>
  <c r="H14" i="15" s="1"/>
  <c r="H20" i="15" s="1"/>
  <c r="H24" i="15" s="1"/>
  <c r="H28" i="15" s="1"/>
  <c r="F8" i="15"/>
  <c r="E8" i="15"/>
  <c r="E14" i="15" s="1"/>
  <c r="E20" i="15" s="1"/>
  <c r="E24" i="15" s="1"/>
  <c r="E28" i="15" s="1"/>
  <c r="D8" i="15"/>
  <c r="N23" i="14" l="1"/>
  <c r="M23" i="14"/>
  <c r="AC22" i="14"/>
  <c r="AC21" i="14"/>
  <c r="AC20" i="14"/>
  <c r="AC19" i="14"/>
  <c r="AC18" i="14"/>
  <c r="AC17" i="14"/>
  <c r="AC16" i="14"/>
  <c r="AC15" i="14"/>
  <c r="AC23" i="14" s="1"/>
  <c r="N11" i="14"/>
  <c r="M11" i="14"/>
  <c r="AC10" i="14"/>
  <c r="AC9" i="14"/>
  <c r="AC11" i="14" s="1"/>
  <c r="AC8" i="14"/>
  <c r="AC7" i="14"/>
  <c r="AC6" i="14"/>
  <c r="AC5" i="14"/>
  <c r="O71" i="13" l="1"/>
  <c r="O70" i="13"/>
  <c r="O69" i="13"/>
  <c r="O68" i="13"/>
  <c r="CX68" i="10" l="1"/>
  <c r="CW68" i="10"/>
  <c r="CV68" i="10"/>
  <c r="CU68" i="10"/>
  <c r="CT68" i="10"/>
  <c r="CS68" i="10"/>
  <c r="CR68" i="10"/>
  <c r="CQ68" i="10"/>
  <c r="CP68" i="10"/>
  <c r="CO68" i="10"/>
  <c r="CN68" i="10"/>
  <c r="CM68" i="10"/>
  <c r="CL68" i="10"/>
  <c r="CK68" i="10"/>
  <c r="CJ68" i="10"/>
  <c r="CI68" i="10"/>
  <c r="CH68" i="10"/>
  <c r="CG68" i="10"/>
  <c r="CF68" i="10"/>
  <c r="CE68" i="10"/>
  <c r="CD68" i="10"/>
  <c r="CC68" i="10"/>
  <c r="CB68" i="10"/>
  <c r="CA68" i="10"/>
  <c r="BZ68" i="10"/>
  <c r="BY68" i="10"/>
  <c r="BX68" i="10"/>
  <c r="BW68" i="10"/>
  <c r="BV68" i="10"/>
  <c r="BU68" i="10"/>
  <c r="BT68" i="10"/>
  <c r="BS68" i="10"/>
  <c r="BR68" i="10"/>
  <c r="BQ68" i="10"/>
  <c r="BP68" i="10"/>
  <c r="BO68" i="10"/>
  <c r="BN68" i="10"/>
  <c r="BM68" i="10"/>
  <c r="BL68" i="10"/>
  <c r="BK68" i="10"/>
  <c r="BJ68" i="10"/>
  <c r="BI68" i="10"/>
  <c r="BH68" i="10"/>
  <c r="BG68" i="10"/>
  <c r="BF68" i="10"/>
  <c r="BE68" i="10"/>
  <c r="BD68" i="10"/>
  <c r="BC68" i="10"/>
  <c r="BB68" i="10"/>
  <c r="BA68" i="10"/>
  <c r="AZ68" i="10"/>
  <c r="AY68" i="10"/>
  <c r="AX68" i="10"/>
  <c r="AW68" i="10"/>
  <c r="AV68" i="10"/>
  <c r="AU68" i="10"/>
  <c r="AT68" i="10"/>
  <c r="AS68" i="10"/>
  <c r="AR68" i="10"/>
  <c r="AQ68" i="10"/>
  <c r="AP68" i="10"/>
  <c r="AO68" i="10"/>
  <c r="AN68" i="10"/>
  <c r="AM68" i="10"/>
  <c r="AL68" i="10"/>
  <c r="AK68" i="10"/>
  <c r="AJ68" i="10"/>
  <c r="AI68" i="10"/>
  <c r="AH68" i="10"/>
  <c r="AG68" i="10"/>
  <c r="AF68"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D68" i="10"/>
  <c r="C68" i="10"/>
  <c r="AI67" i="10"/>
  <c r="AH67" i="10"/>
  <c r="AG67" i="10"/>
  <c r="AF67" i="10"/>
  <c r="AE67" i="10"/>
  <c r="AD67" i="10"/>
  <c r="AC67" i="10"/>
  <c r="AB67" i="10"/>
  <c r="AA67" i="10"/>
  <c r="Z67" i="10"/>
  <c r="Y67" i="10"/>
  <c r="X67" i="10"/>
  <c r="W67" i="10"/>
  <c r="V67" i="10"/>
  <c r="U67" i="10"/>
  <c r="T67" i="10"/>
  <c r="S67" i="10"/>
  <c r="R67" i="10"/>
  <c r="Q67" i="10"/>
  <c r="P67" i="10"/>
  <c r="O67" i="10"/>
  <c r="N67" i="10"/>
  <c r="M67" i="10"/>
  <c r="L67" i="10"/>
  <c r="K67" i="10"/>
  <c r="J67" i="10"/>
  <c r="I67" i="10"/>
  <c r="H67" i="10"/>
  <c r="G67" i="10"/>
  <c r="F67" i="10"/>
  <c r="E67" i="10"/>
  <c r="D67" i="10"/>
  <c r="C67" i="10"/>
  <c r="DB33" i="10"/>
  <c r="DA33" i="10"/>
  <c r="CZ33" i="10"/>
  <c r="CY33" i="10"/>
  <c r="CW33" i="10"/>
  <c r="CV33" i="10"/>
  <c r="CU33" i="10"/>
  <c r="CT33" i="10"/>
  <c r="CS33" i="10"/>
  <c r="CR33" i="10"/>
  <c r="CQ33"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U33" i="10"/>
  <c r="AT33" i="10"/>
  <c r="AS33" i="10"/>
  <c r="AR33" i="10"/>
  <c r="AQ33" i="10"/>
  <c r="AP33" i="10"/>
  <c r="AO33" i="10"/>
  <c r="AN33"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E33" i="10"/>
  <c r="D33" i="10"/>
  <c r="C33" i="10"/>
  <c r="AI133" i="9" l="1"/>
  <c r="AH133" i="9"/>
  <c r="AG133" i="9"/>
  <c r="AF133" i="9"/>
  <c r="AE133" i="9"/>
  <c r="AD133" i="9"/>
  <c r="AC133" i="9"/>
  <c r="AB133" i="9"/>
  <c r="AA133" i="9"/>
  <c r="Z133" i="9"/>
  <c r="Y133" i="9"/>
  <c r="X133" i="9"/>
  <c r="W133" i="9"/>
  <c r="V133" i="9"/>
  <c r="U133" i="9"/>
  <c r="T133" i="9"/>
  <c r="S133" i="9"/>
  <c r="R133" i="9"/>
  <c r="Q133" i="9"/>
  <c r="P133" i="9"/>
  <c r="O133" i="9"/>
  <c r="N133" i="9"/>
  <c r="M133" i="9"/>
  <c r="L133" i="9"/>
  <c r="K133" i="9"/>
  <c r="J133" i="9"/>
  <c r="I133" i="9"/>
  <c r="H133" i="9"/>
  <c r="G133" i="9"/>
  <c r="F133" i="9"/>
  <c r="E133" i="9"/>
  <c r="D133" i="9"/>
  <c r="C133" i="9"/>
  <c r="CX131" i="9"/>
  <c r="CW131" i="9"/>
  <c r="CV131" i="9"/>
  <c r="CU131" i="9"/>
  <c r="CT131" i="9"/>
  <c r="CS131" i="9"/>
  <c r="CR131" i="9"/>
  <c r="CQ131" i="9"/>
  <c r="CP131" i="9"/>
  <c r="CO131" i="9"/>
  <c r="CN131" i="9"/>
  <c r="CM131" i="9"/>
  <c r="CL131" i="9"/>
  <c r="CK131" i="9"/>
  <c r="CJ131" i="9"/>
  <c r="CI131" i="9"/>
  <c r="CH131" i="9"/>
  <c r="CG131" i="9"/>
  <c r="CF131" i="9"/>
  <c r="CE131" i="9"/>
  <c r="CD131" i="9"/>
  <c r="CC131" i="9"/>
  <c r="CB131" i="9"/>
  <c r="CA131" i="9"/>
  <c r="BZ131" i="9"/>
  <c r="BY131" i="9"/>
  <c r="BX131" i="9"/>
  <c r="BW131" i="9"/>
  <c r="BV131" i="9"/>
  <c r="BU131" i="9"/>
  <c r="BT131" i="9"/>
  <c r="BS131" i="9"/>
  <c r="BR131" i="9"/>
  <c r="BQ131" i="9"/>
  <c r="BP131" i="9"/>
  <c r="BO131" i="9"/>
  <c r="BN131" i="9"/>
  <c r="BM131" i="9"/>
  <c r="BL131" i="9"/>
  <c r="BK131" i="9"/>
  <c r="BJ131" i="9"/>
  <c r="BI131" i="9"/>
  <c r="BH131" i="9"/>
  <c r="BG131" i="9"/>
  <c r="BF131" i="9"/>
  <c r="BE131" i="9"/>
  <c r="BD131" i="9"/>
  <c r="BC131" i="9"/>
  <c r="BB131" i="9"/>
  <c r="BA131" i="9"/>
  <c r="AZ131" i="9"/>
  <c r="AY131" i="9"/>
  <c r="AX131" i="9"/>
  <c r="AW131" i="9"/>
  <c r="AV131" i="9"/>
  <c r="AU131" i="9"/>
  <c r="AT131" i="9"/>
  <c r="AS131" i="9"/>
  <c r="AR131" i="9"/>
  <c r="AQ131" i="9"/>
  <c r="AP131" i="9"/>
  <c r="AO131" i="9"/>
  <c r="AN131" i="9"/>
  <c r="AM131" i="9"/>
  <c r="AL131" i="9"/>
  <c r="AK131" i="9"/>
  <c r="AJ131" i="9"/>
  <c r="AI131" i="9"/>
  <c r="AH131" i="9"/>
  <c r="AG131" i="9"/>
  <c r="AF131" i="9"/>
  <c r="AE131" i="9"/>
  <c r="AD131" i="9"/>
  <c r="AC131" i="9"/>
  <c r="AB131" i="9"/>
  <c r="AA131" i="9"/>
  <c r="Z131" i="9"/>
  <c r="Y131" i="9"/>
  <c r="X131" i="9"/>
  <c r="W131" i="9"/>
  <c r="V131" i="9"/>
  <c r="U131" i="9"/>
  <c r="T131" i="9"/>
  <c r="S131" i="9"/>
  <c r="R131" i="9"/>
  <c r="Q131" i="9"/>
  <c r="P131" i="9"/>
  <c r="O131" i="9"/>
  <c r="N131" i="9"/>
  <c r="M131" i="9"/>
  <c r="L131" i="9"/>
  <c r="K131" i="9"/>
  <c r="J131" i="9"/>
  <c r="I131" i="9"/>
  <c r="H131" i="9"/>
  <c r="G131" i="9"/>
  <c r="F131" i="9"/>
  <c r="E131" i="9"/>
  <c r="D131" i="9"/>
  <c r="C131" i="9"/>
  <c r="DB33" i="9"/>
  <c r="DA33" i="9"/>
  <c r="CZ33" i="9"/>
  <c r="CY33" i="9"/>
  <c r="CW33" i="9"/>
  <c r="CV33" i="9"/>
  <c r="CU33" i="9"/>
  <c r="CT33" i="9"/>
  <c r="CS33" i="9"/>
  <c r="CR33" i="9"/>
  <c r="CQ33" i="9"/>
  <c r="CP33"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CX68" i="8" l="1"/>
  <c r="CW68" i="8"/>
  <c r="CV68" i="8"/>
  <c r="CU68" i="8"/>
  <c r="CT68" i="8"/>
  <c r="CS68" i="8"/>
  <c r="CR68" i="8"/>
  <c r="CQ68" i="8"/>
  <c r="CP68" i="8"/>
  <c r="CO68" i="8"/>
  <c r="CN68" i="8"/>
  <c r="CM68" i="8"/>
  <c r="CL68" i="8"/>
  <c r="CK68" i="8"/>
  <c r="CJ68" i="8"/>
  <c r="CI68" i="8"/>
  <c r="CH68" i="8"/>
  <c r="CG68" i="8"/>
  <c r="CF68" i="8"/>
  <c r="CE68" i="8"/>
  <c r="CD68" i="8"/>
  <c r="CC68" i="8"/>
  <c r="CB68" i="8"/>
  <c r="CA68" i="8"/>
  <c r="BZ68" i="8"/>
  <c r="BY68" i="8"/>
  <c r="BX68" i="8"/>
  <c r="BW68" i="8"/>
  <c r="BV68" i="8"/>
  <c r="BU68" i="8"/>
  <c r="BT68" i="8"/>
  <c r="BS68" i="8"/>
  <c r="BR68" i="8"/>
  <c r="BQ68" i="8"/>
  <c r="BP68" i="8"/>
  <c r="BO68" i="8"/>
  <c r="BN68" i="8"/>
  <c r="BM68" i="8"/>
  <c r="BL68" i="8"/>
  <c r="BK68" i="8"/>
  <c r="BJ68" i="8"/>
  <c r="BI68" i="8"/>
  <c r="BH68" i="8"/>
  <c r="BG68" i="8"/>
  <c r="BF68" i="8"/>
  <c r="BE68" i="8"/>
  <c r="BD68" i="8"/>
  <c r="BC68" i="8"/>
  <c r="BB68" i="8"/>
  <c r="BA68" i="8"/>
  <c r="AZ68" i="8"/>
  <c r="AY68" i="8"/>
  <c r="AX68" i="8"/>
  <c r="AW68" i="8"/>
  <c r="AV68" i="8"/>
  <c r="AU68" i="8"/>
  <c r="AT68" i="8"/>
  <c r="AS68" i="8"/>
  <c r="AR68" i="8"/>
  <c r="AQ68" i="8"/>
  <c r="AP68" i="8"/>
  <c r="AO68" i="8"/>
  <c r="AN68" i="8"/>
  <c r="AM68" i="8"/>
  <c r="AL68" i="8"/>
  <c r="AK68" i="8"/>
  <c r="AJ68" i="8"/>
  <c r="AI68" i="8"/>
  <c r="AH68" i="8"/>
  <c r="AG68" i="8"/>
  <c r="AF68" i="8"/>
  <c r="AE68" i="8"/>
  <c r="AD68" i="8"/>
  <c r="AC68" i="8"/>
  <c r="AB68" i="8"/>
  <c r="AA68" i="8"/>
  <c r="Z68" i="8"/>
  <c r="Y68" i="8"/>
  <c r="X68" i="8"/>
  <c r="W68" i="8"/>
  <c r="V68" i="8"/>
  <c r="U68" i="8"/>
  <c r="T68" i="8"/>
  <c r="S68" i="8"/>
  <c r="R68" i="8"/>
  <c r="Q68" i="8"/>
  <c r="P68" i="8"/>
  <c r="O68" i="8"/>
  <c r="N68" i="8"/>
  <c r="M68" i="8"/>
  <c r="L68" i="8"/>
  <c r="K68" i="8"/>
  <c r="J68" i="8"/>
  <c r="I68" i="8"/>
  <c r="H68" i="8"/>
  <c r="G68" i="8"/>
  <c r="F68" i="8"/>
  <c r="E68" i="8"/>
  <c r="D68" i="8"/>
  <c r="C68"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E66" i="8"/>
  <c r="D66" i="8"/>
  <c r="C66" i="8"/>
  <c r="AV33" i="7" l="1"/>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G33" i="7"/>
  <c r="F33" i="7"/>
  <c r="E33" i="7"/>
  <c r="D33" i="7"/>
  <c r="C33" i="7"/>
  <c r="BB25" i="7"/>
  <c r="BB23" i="7"/>
  <c r="BB21" i="7"/>
  <c r="BB19" i="7"/>
  <c r="BB17" i="7"/>
  <c r="BB15" i="7"/>
  <c r="BB13" i="7"/>
  <c r="BB10" i="7"/>
  <c r="BB9" i="7"/>
  <c r="BB8" i="7"/>
  <c r="BB7" i="7" s="1"/>
  <c r="BB5" i="7"/>
  <c r="BB27" i="7" l="1"/>
  <c r="AH142" i="6"/>
  <c r="AM142" i="6" s="1"/>
  <c r="CB140" i="6"/>
  <c r="H139" i="6"/>
  <c r="E104" i="6"/>
  <c r="D104" i="6"/>
  <c r="C104" i="6"/>
  <c r="B104" i="6"/>
  <c r="E93" i="6"/>
  <c r="D93" i="6"/>
  <c r="C93" i="6"/>
  <c r="B93" i="6"/>
  <c r="E83" i="6"/>
  <c r="D83" i="6"/>
  <c r="C83" i="6"/>
  <c r="B83" i="6"/>
  <c r="H79" i="6"/>
  <c r="H69" i="6"/>
  <c r="E69" i="6"/>
  <c r="D69" i="6"/>
  <c r="C69" i="6"/>
  <c r="B69" i="6"/>
  <c r="CX68" i="6"/>
  <c r="CT68" i="6"/>
  <c r="CS68" i="6"/>
  <c r="BY68" i="6"/>
  <c r="BX68" i="6"/>
  <c r="BW68" i="6"/>
  <c r="BV68" i="6"/>
  <c r="BU68" i="6"/>
  <c r="BT68" i="6"/>
  <c r="BS68" i="6"/>
  <c r="BR68" i="6"/>
  <c r="BQ68" i="6"/>
  <c r="BP68" i="6"/>
  <c r="BO68" i="6"/>
  <c r="BN68" i="6"/>
  <c r="BM68" i="6"/>
  <c r="BK68" i="6"/>
  <c r="BJ68" i="6"/>
  <c r="BI68" i="6"/>
  <c r="BH68" i="6"/>
  <c r="BG68" i="6"/>
  <c r="BF68" i="6"/>
  <c r="BE68" i="6"/>
  <c r="BD68" i="6"/>
  <c r="BC68" i="6"/>
  <c r="BB68" i="6"/>
  <c r="BA68" i="6"/>
  <c r="AZ68" i="6"/>
  <c r="AY68" i="6"/>
  <c r="AX68" i="6"/>
  <c r="AW68" i="6"/>
  <c r="AV68" i="6"/>
  <c r="AU68" i="6"/>
  <c r="AT68" i="6"/>
  <c r="AS68" i="6"/>
  <c r="AR68" i="6"/>
  <c r="AQ68" i="6"/>
  <c r="AP68" i="6"/>
  <c r="E53" i="6"/>
  <c r="D53" i="6"/>
  <c r="C53" i="6"/>
  <c r="B53" i="6"/>
  <c r="E46" i="6"/>
  <c r="D46" i="6"/>
  <c r="C46" i="6"/>
  <c r="B46" i="6"/>
  <c r="E36" i="6"/>
  <c r="D36" i="6"/>
  <c r="C36" i="6"/>
  <c r="B36" i="6"/>
  <c r="E16" i="6"/>
  <c r="D16" i="6"/>
  <c r="C16" i="6"/>
  <c r="C139" i="6" s="1"/>
  <c r="B16" i="6"/>
  <c r="E4" i="6"/>
  <c r="E139" i="6" s="1"/>
  <c r="D4" i="6"/>
  <c r="D139" i="6" s="1"/>
  <c r="C4" i="6"/>
  <c r="B4" i="6"/>
  <c r="B139" i="6" s="1"/>
  <c r="J915" i="5" l="1"/>
  <c r="J914" i="5"/>
  <c r="J913" i="5"/>
  <c r="J912" i="5"/>
  <c r="J911" i="5"/>
  <c r="J910" i="5"/>
  <c r="J909" i="5"/>
  <c r="J908" i="5"/>
  <c r="J907" i="5"/>
  <c r="J906" i="5"/>
  <c r="J905" i="5"/>
  <c r="J904" i="5"/>
  <c r="J903" i="5"/>
  <c r="J902" i="5"/>
  <c r="J901" i="5"/>
  <c r="J900" i="5"/>
  <c r="J899" i="5"/>
  <c r="I143" i="5"/>
  <c r="J143" i="5" s="1"/>
  <c r="I141" i="5"/>
  <c r="J141" i="5" s="1"/>
  <c r="I139" i="5"/>
  <c r="J139" i="5" s="1"/>
  <c r="J137" i="5"/>
  <c r="I137" i="5"/>
  <c r="I136" i="5"/>
  <c r="J136" i="5" s="1"/>
  <c r="I134" i="5"/>
  <c r="J134" i="5" s="1"/>
  <c r="I123" i="5"/>
  <c r="J123" i="5" s="1"/>
  <c r="E134" i="4" l="1"/>
  <c r="D134" i="4"/>
  <c r="C134" i="4"/>
  <c r="G134" i="4" s="1"/>
  <c r="O134" i="4" s="1"/>
  <c r="E133" i="4"/>
  <c r="D133" i="4"/>
  <c r="C133" i="4"/>
  <c r="G133" i="4" s="1"/>
  <c r="O133" i="4" s="1"/>
  <c r="Y84" i="4"/>
  <c r="X84" i="4"/>
  <c r="W84" i="4"/>
  <c r="V84" i="4"/>
  <c r="U84" i="4"/>
  <c r="T84" i="4"/>
  <c r="S84" i="4"/>
  <c r="R84" i="4"/>
  <c r="Q84" i="4"/>
  <c r="P84" i="4"/>
  <c r="O84" i="4"/>
  <c r="N84" i="4"/>
  <c r="M84" i="4"/>
  <c r="L84" i="4"/>
  <c r="K84" i="4"/>
  <c r="J84" i="4"/>
  <c r="I84" i="4"/>
  <c r="H84" i="4"/>
  <c r="G84" i="4"/>
  <c r="F84" i="4"/>
  <c r="E84" i="4"/>
  <c r="D84" i="4"/>
  <c r="C84" i="4"/>
  <c r="B84" i="4"/>
  <c r="T12" i="4"/>
  <c r="R12" i="4"/>
  <c r="O12" i="4"/>
  <c r="X12" i="4" s="1"/>
  <c r="K12" i="4"/>
  <c r="E12" i="4"/>
  <c r="R11" i="4"/>
  <c r="T11" i="4" s="1"/>
  <c r="O11" i="4"/>
  <c r="K11" i="4"/>
  <c r="E11" i="4"/>
  <c r="X11" i="4" s="1"/>
  <c r="R10" i="4"/>
  <c r="T10" i="4" s="1"/>
  <c r="O10" i="4"/>
  <c r="K10" i="4"/>
  <c r="E10" i="4"/>
  <c r="X10" i="4" l="1"/>
</calcChain>
</file>

<file path=xl/sharedStrings.xml><?xml version="1.0" encoding="utf-8"?>
<sst xmlns="http://schemas.openxmlformats.org/spreadsheetml/2006/main" count="9209" uniqueCount="4210">
  <si>
    <t>Table 2: Bank of Mauritius Assets and Liabilities as at end July 2014</t>
  </si>
  <si>
    <t>(Provisional)</t>
  </si>
  <si>
    <t xml:space="preserve">Rupees        </t>
  </si>
  <si>
    <t>CAPITAL AND RESERVES</t>
  </si>
  <si>
    <t>Authorised and Paid up Capital</t>
  </si>
  <si>
    <t>Reserves</t>
  </si>
  <si>
    <t>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</si>
  <si>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</si>
  <si>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</si>
  <si>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</si>
  <si>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</si>
  <si>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</si>
  <si>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</si>
  <si>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</si>
  <si>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</si>
  <si>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</si>
  <si>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</si>
  <si>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</si>
  <si>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</si>
  <si>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</si>
  <si>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</si>
  <si>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</si>
  <si>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</si>
  <si>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</si>
  <si>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</si>
  <si>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</si>
  <si>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</si>
  <si>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</si>
  <si>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</si>
  <si>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</si>
  <si>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3a: Consolidated Statement of Assets and Liabilities of Banks as at end - June 2014</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</si>
  <si>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</si>
  <si>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</si>
  <si>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</si>
  <si>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</si>
  <si>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</si>
  <si>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</si>
  <si>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</si>
  <si>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</si>
  <si>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</si>
  <si>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</si>
  <si>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</si>
  <si>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</si>
  <si>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</si>
  <si>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</si>
  <si>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</si>
  <si>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</si>
  <si>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</si>
  <si>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</si>
  <si>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</si>
  <si>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</si>
  <si>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</si>
  <si>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</si>
  <si>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</si>
  <si>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</si>
  <si>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</si>
  <si>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</si>
  <si>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</si>
  <si>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</si>
  <si>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</si>
  <si>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</si>
  <si>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</si>
  <si>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</si>
  <si>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</si>
  <si>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</si>
  <si>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</si>
  <si>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</si>
  <si>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</si>
  <si>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</si>
  <si>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</si>
  <si>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</si>
  <si>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</si>
  <si>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</si>
  <si>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 June  2014</t>
  </si>
  <si>
    <t>(Rs million)</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</si>
  <si>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</si>
  <si>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</si>
  <si>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</si>
  <si>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</si>
  <si>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</si>
  <si>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</si>
  <si>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</si>
  <si>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</si>
  <si>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</si>
  <si>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</si>
  <si>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</si>
  <si>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</si>
  <si>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</si>
  <si>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</si>
  <si>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</si>
  <si>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</si>
  <si>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</si>
  <si>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</si>
  <si>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</si>
  <si>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</si>
  <si>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</si>
  <si>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</si>
  <si>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</si>
  <si>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</si>
  <si>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</si>
  <si>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</si>
  <si>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</si>
  <si>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</si>
  <si>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</si>
  <si>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</si>
  <si>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</si>
  <si>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</si>
  <si>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</si>
  <si>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</si>
  <si>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</si>
  <si>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</si>
  <si>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</si>
  <si>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</si>
  <si>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</si>
  <si>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</si>
  <si>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</si>
  <si>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</si>
  <si>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</si>
  <si>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</si>
  <si>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</si>
  <si>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</si>
  <si>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</si>
  <si>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</si>
  <si>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</si>
  <si>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</si>
  <si>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</si>
  <si>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</si>
  <si>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</si>
  <si>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</si>
  <si>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</si>
  <si>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</si>
  <si>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</si>
  <si>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</si>
  <si>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</si>
  <si>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</si>
  <si>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</si>
  <si>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</si>
  <si>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</si>
  <si>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</si>
  <si>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</si>
  <si>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</si>
  <si>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</si>
  <si>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</si>
  <si>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</si>
  <si>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</si>
  <si>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</si>
  <si>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</si>
  <si>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</si>
  <si>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</si>
  <si>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</si>
  <si>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</si>
  <si>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</si>
  <si>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</si>
  <si>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</si>
  <si>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</si>
  <si>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</si>
  <si>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</si>
  <si>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</si>
  <si>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</si>
  <si>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</si>
  <si>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</si>
  <si>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</si>
  <si>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</si>
  <si>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</si>
  <si>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</si>
  <si>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</si>
  <si>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</si>
  <si>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</si>
  <si>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</si>
  <si>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</si>
  <si>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</si>
  <si>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</si>
  <si>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</si>
  <si>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</si>
  <si>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</si>
  <si>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</si>
  <si>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</si>
  <si>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</si>
  <si>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</si>
  <si>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</si>
  <si>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</si>
  <si>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</si>
  <si>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</si>
  <si>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June 2013 - June 2014</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</si>
  <si>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</si>
  <si>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</si>
  <si>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</si>
  <si>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</si>
  <si>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</si>
  <si>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</si>
  <si>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</si>
  <si>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</si>
  <si>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</si>
  <si>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</si>
  <si>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</si>
  <si>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</si>
  <si>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</si>
  <si>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</si>
  <si>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</si>
  <si>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</si>
  <si>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</si>
  <si>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</si>
  <si>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</si>
  <si>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</si>
  <si>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</si>
  <si>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</si>
  <si>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</si>
  <si>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</si>
  <si>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</si>
  <si>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</si>
  <si>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rFont val="Times New Roman"/>
        <family val="1"/>
      </rPr>
      <t>2</t>
    </r>
  </si>
  <si>
    <t>Documentary</t>
  </si>
  <si>
    <t>Period</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</si>
  <si>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</si>
  <si>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</si>
  <si>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</si>
  <si>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</si>
  <si>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</si>
  <si>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</si>
  <si>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</si>
  <si>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</si>
  <si>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</si>
  <si>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</si>
  <si>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</si>
  <si>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</si>
  <si>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</si>
  <si>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</si>
  <si>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</si>
  <si>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</si>
  <si>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</si>
  <si>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</si>
  <si>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</si>
  <si>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</si>
  <si>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</si>
  <si>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</si>
  <si>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</si>
  <si>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</si>
  <si>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</si>
  <si>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</si>
  <si>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</si>
  <si>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</si>
  <si>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June 2013 - June 2014</t>
  </si>
  <si>
    <t>Capital</t>
  </si>
  <si>
    <t>DEPOSITS</t>
  </si>
  <si>
    <t xml:space="preserve">Interbank </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</si>
  <si>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</si>
  <si>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</si>
  <si>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</si>
  <si>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</si>
  <si>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</si>
  <si>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</si>
  <si>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</si>
  <si>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</si>
  <si>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</si>
  <si>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</si>
  <si>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</si>
  <si>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</si>
  <si>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</si>
  <si>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</si>
  <si>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</si>
  <si>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</si>
  <si>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</si>
  <si>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June 2014</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</si>
  <si>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</si>
  <si>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</si>
  <si>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</si>
  <si>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</si>
  <si>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</si>
  <si>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</si>
  <si>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</si>
  <si>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</si>
  <si>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</si>
  <si>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</si>
  <si>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</si>
  <si>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</si>
  <si>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</si>
  <si>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</si>
  <si>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</si>
  <si>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</si>
  <si>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</si>
  <si>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</si>
  <si>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</si>
  <si>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</si>
  <si>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</si>
  <si>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</si>
  <si>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</si>
  <si>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</si>
  <si>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</si>
  <si>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</si>
  <si>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</si>
  <si>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</si>
  <si>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</si>
  <si>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</si>
  <si>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</si>
  <si>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</si>
  <si>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</si>
  <si>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</si>
  <si>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</si>
  <si>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</si>
  <si>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</si>
  <si>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</si>
  <si>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</si>
  <si>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</si>
  <si>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</si>
  <si>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</si>
  <si>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</si>
  <si>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</si>
  <si>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</si>
  <si>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</si>
  <si>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</si>
  <si>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</si>
  <si>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</si>
  <si>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</si>
  <si>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</si>
  <si>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</si>
  <si>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</si>
  <si>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</si>
  <si>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</si>
  <si>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</si>
  <si>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</si>
  <si>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</si>
  <si>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</si>
  <si>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</si>
  <si>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</si>
  <si>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</si>
  <si>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</si>
  <si>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</si>
  <si>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</si>
  <si>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</si>
  <si>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</si>
  <si>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</si>
  <si>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</si>
  <si>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</si>
  <si>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</si>
  <si>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</si>
  <si>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</si>
  <si>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</si>
  <si>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</si>
  <si>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</si>
  <si>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</si>
  <si>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</si>
  <si>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</si>
  <si>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</si>
  <si>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</si>
  <si>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</si>
  <si>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</si>
  <si>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</si>
  <si>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</si>
  <si>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</si>
  <si>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</si>
  <si>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</si>
  <si>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</si>
  <si>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</si>
  <si>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</si>
  <si>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</si>
  <si>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</si>
  <si>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</si>
  <si>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</si>
  <si>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</si>
  <si>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</si>
  <si>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</si>
  <si>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</si>
  <si>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</si>
  <si>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</si>
  <si>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</si>
  <si>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</si>
  <si>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</si>
  <si>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</si>
  <si>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</si>
  <si>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</si>
  <si>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</si>
  <si>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Rs34,493.7 million at the end of June 2014.</t>
  </si>
  <si>
    <t>Source:Statistics division</t>
  </si>
  <si>
    <t>Table 6: Banks - Sectorwise Distribution of Credit to the Private Sector: June 2013 - June 2014</t>
  </si>
  <si>
    <t xml:space="preserve">Nov-10 </t>
  </si>
  <si>
    <t>Dec-10</t>
  </si>
  <si>
    <t>Jan-11</t>
  </si>
  <si>
    <t>Mar-13</t>
  </si>
  <si>
    <t>Apr-13</t>
  </si>
  <si>
    <t>May-13</t>
  </si>
  <si>
    <t>June-13</t>
  </si>
  <si>
    <t>July-13</t>
  </si>
  <si>
    <t>Aug-13</t>
  </si>
  <si>
    <t>Sep-13</t>
  </si>
  <si>
    <t>Oct-13</t>
  </si>
  <si>
    <t>Feb-14</t>
  </si>
  <si>
    <t>Mar-14</t>
  </si>
  <si>
    <t>Apr-14</t>
  </si>
  <si>
    <t>May-14</t>
  </si>
  <si>
    <t>June-14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</si>
  <si>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</si>
  <si>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</si>
  <si>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</si>
  <si>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</si>
  <si>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</si>
  <si>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</si>
  <si>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</si>
  <si>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</si>
  <si>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</si>
  <si>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</si>
  <si>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June 2013 - June 2014</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</si>
  <si>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</si>
  <si>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</si>
  <si>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</si>
  <si>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</si>
  <si>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</si>
  <si>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</si>
  <si>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</si>
  <si>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</si>
  <si>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</si>
  <si>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</si>
  <si>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</si>
  <si>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</si>
  <si>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</si>
  <si>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</si>
  <si>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</si>
  <si>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</si>
  <si>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</si>
  <si>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</si>
  <si>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</si>
  <si>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</si>
  <si>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</si>
  <si>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</si>
  <si>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</si>
  <si>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</si>
  <si>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</si>
  <si>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</si>
  <si>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</si>
  <si>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</si>
  <si>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</si>
  <si>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</si>
  <si>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</si>
  <si>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</si>
  <si>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</si>
  <si>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</si>
  <si>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</si>
  <si>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</si>
  <si>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</si>
  <si>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</si>
  <si>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</si>
  <si>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</si>
  <si>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</si>
  <si>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</si>
  <si>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</si>
  <si>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</si>
  <si>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</si>
  <si>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</si>
  <si>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</si>
  <si>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</si>
  <si>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</si>
  <si>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</si>
  <si>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</si>
  <si>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</si>
  <si>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</si>
  <si>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</si>
  <si>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</si>
  <si>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</si>
  <si>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</si>
  <si>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</si>
  <si>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June 2013 - June 2014</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</si>
  <si>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</si>
  <si>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</si>
  <si>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</si>
  <si>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</si>
  <si>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</si>
  <si>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</si>
  <si>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</si>
  <si>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June 2013 - June 2014</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</si>
  <si>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</si>
  <si>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</si>
  <si>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</si>
  <si>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June 2013 - June 2014</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</si>
  <si>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</si>
  <si>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</si>
  <si>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</si>
  <si>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</si>
  <si>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June 2013 - June 2014</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</si>
  <si>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</si>
  <si>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</si>
  <si>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</si>
  <si>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</si>
  <si>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</si>
  <si>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</si>
  <si>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</si>
  <si>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</si>
  <si>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</si>
  <si>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</si>
  <si>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</si>
  <si>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</si>
  <si>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</si>
  <si>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</si>
  <si>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</si>
  <si>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</si>
  <si>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</si>
  <si>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</si>
  <si>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</si>
  <si>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</si>
  <si>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</si>
  <si>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</si>
  <si>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</si>
  <si>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</si>
  <si>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June 2013 - June 2014</t>
    </r>
  </si>
  <si>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</si>
  <si>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</si>
  <si>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</si>
  <si>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</si>
  <si>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</si>
  <si>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</si>
  <si>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</si>
  <si>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</si>
  <si>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</si>
  <si>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</si>
  <si>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</si>
  <si>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</si>
  <si>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</si>
  <si>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</si>
  <si>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</si>
  <si>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</si>
  <si>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</si>
  <si>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</si>
  <si>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</si>
  <si>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</si>
  <si>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</si>
  <si>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</si>
  <si>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June 2013 - June 2014</t>
    </r>
  </si>
  <si>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</si>
  <si>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</si>
  <si>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</si>
  <si>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</si>
  <si>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</si>
  <si>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</si>
  <si>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</si>
  <si>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</si>
  <si>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</si>
  <si>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</si>
  <si>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</si>
  <si>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</si>
  <si>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</si>
  <si>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</si>
  <si>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</si>
  <si>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</si>
  <si>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</si>
  <si>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</si>
  <si>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June  2013 - May  2014</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</si>
  <si>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</si>
  <si>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</si>
  <si>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</si>
  <si>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</si>
  <si>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</si>
  <si>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</si>
  <si>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</si>
  <si>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</si>
  <si>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</si>
  <si>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</si>
  <si>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</si>
  <si>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March 2014</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</si>
  <si>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</si>
  <si>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</si>
  <si>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</si>
  <si>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</si>
  <si>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</si>
  <si>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</si>
  <si>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</si>
  <si>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</si>
  <si>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</si>
  <si>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</si>
  <si>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</si>
  <si>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</si>
  <si>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</si>
  <si>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</si>
  <si>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</si>
  <si>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</si>
  <si>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r>
      <t xml:space="preserve">Table 16a: Components and Sources of Monetary Base </t>
    </r>
    <r>
      <rPr>
        <b/>
        <vertAlign val="superscript"/>
        <sz val="16"/>
        <rFont val="Times New Roman"/>
        <family val="1"/>
      </rPr>
      <t xml:space="preserve">1 2 </t>
    </r>
    <r>
      <rPr>
        <b/>
        <sz val="16"/>
        <rFont val="Times New Roman"/>
        <family val="1"/>
      </rPr>
      <t>: June 2013 - June 2014</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</si>
  <si>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</si>
  <si>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</si>
  <si>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</si>
  <si>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</si>
  <si>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</si>
  <si>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</si>
  <si>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</si>
  <si>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</si>
  <si>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</si>
  <si>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</si>
  <si>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</si>
  <si>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</si>
  <si>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</si>
  <si>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</si>
  <si>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</si>
  <si>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</si>
  <si>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June 2013 - June 2014</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</si>
  <si>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</si>
  <si>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</si>
  <si>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</si>
  <si>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</si>
  <si>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</si>
  <si>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</si>
  <si>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</si>
  <si>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</si>
  <si>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</si>
  <si>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</si>
  <si>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</si>
  <si>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</si>
  <si>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</si>
  <si>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</si>
  <si>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</si>
  <si>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</si>
  <si>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</si>
  <si>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</si>
  <si>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</si>
  <si>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</si>
  <si>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 xml:space="preserve"> Table 17: Currency in Circulation: July 2013 - July 2014</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</si>
  <si>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</si>
  <si>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</si>
  <si>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</si>
  <si>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</si>
  <si>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</si>
  <si>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</si>
  <si>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</si>
  <si>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</si>
  <si>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</si>
  <si>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</si>
  <si>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</si>
  <si>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</si>
  <si>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</si>
  <si>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</si>
  <si>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</si>
  <si>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</si>
  <si>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</si>
  <si>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</si>
  <si>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</si>
  <si>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</si>
  <si>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</si>
  <si>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</si>
  <si>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</si>
  <si>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</si>
  <si>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</si>
  <si>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</si>
  <si>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</si>
  <si>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</si>
  <si>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</si>
  <si>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</si>
  <si>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</si>
  <si>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</si>
  <si>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June 2014 &amp; July 2014</t>
  </si>
  <si>
    <t xml:space="preserve">                (Rs million)</t>
  </si>
  <si>
    <t>Auctions held for period</t>
  </si>
  <si>
    <t>01-04 July 14</t>
  </si>
  <si>
    <t>07-11 July 14</t>
  </si>
  <si>
    <t>14-18 July 14</t>
  </si>
  <si>
    <t>21-25 July 14</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</si>
  <si>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</si>
  <si>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</si>
  <si>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</si>
  <si>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</si>
  <si>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</si>
  <si>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</si>
  <si>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July 2013 - July 2014</t>
  </si>
  <si>
    <t xml:space="preserve">                                                  (Rs million)</t>
  </si>
  <si>
    <t>Amount of Bills put on Tender</t>
  </si>
  <si>
    <t>Total Value of Bids Received</t>
  </si>
  <si>
    <t xml:space="preserve">     91-day</t>
  </si>
  <si>
    <t>-</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</si>
  <si>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</si>
  <si>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</si>
  <si>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</si>
  <si>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</si>
  <si>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</si>
  <si>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</si>
  <si>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</si>
  <si>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</si>
  <si>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Bank Rate (Simple Average) *</t>
  </si>
  <si>
    <t>* Effective 1 July 2014, Bank of Mauritius has discontinued the publication of the Bank Rate.</t>
  </si>
  <si>
    <t>Table 19: Weighted Average Yields on Government of Mauritius Treasury Bills: July 2014</t>
  </si>
  <si>
    <t>(per cent per annum)</t>
  </si>
  <si>
    <t>Auctions held on</t>
  </si>
  <si>
    <t>Weighted Yield :</t>
  </si>
  <si>
    <t xml:space="preserve">91-day </t>
  </si>
  <si>
    <t xml:space="preserve">182-day </t>
  </si>
  <si>
    <t xml:space="preserve">273-day </t>
  </si>
  <si>
    <t xml:space="preserve">364-day </t>
  </si>
  <si>
    <t>Source: Financial Markets Operations Division.</t>
  </si>
  <si>
    <t>Table 20a: Auctions of  Government of Mauritius Treasury Notes: June 2014 &amp; July 2014</t>
  </si>
  <si>
    <t xml:space="preserve">Amount of Treasury Notes put on Tender </t>
  </si>
  <si>
    <r>
      <t xml:space="preserve">18 June 2014 </t>
    </r>
    <r>
      <rPr>
        <b/>
        <vertAlign val="superscript"/>
        <sz val="11"/>
        <rFont val="Times New Roman"/>
        <family val="1"/>
      </rPr>
      <t xml:space="preserve">1 </t>
    </r>
    <r>
      <rPr>
        <b/>
        <sz val="11"/>
        <rFont val="Times New Roman"/>
        <family val="1"/>
      </rPr>
      <t>- Rs1,300 mn</t>
    </r>
  </si>
  <si>
    <r>
      <t xml:space="preserve">23 July 2014 </t>
    </r>
    <r>
      <rPr>
        <b/>
        <vertAlign val="superscript"/>
        <sz val="11"/>
        <rFont val="Times New Roman"/>
        <family val="1"/>
      </rPr>
      <t xml:space="preserve">2 </t>
    </r>
    <r>
      <rPr>
        <b/>
        <sz val="11"/>
        <rFont val="Times New Roman"/>
        <family val="1"/>
      </rPr>
      <t>- Rs1,200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</si>
  <si>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</si>
  <si>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</si>
  <si>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</si>
  <si>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</si>
  <si>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</si>
  <si>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</si>
  <si>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</si>
  <si>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100.100</t>
  </si>
  <si>
    <t>99.860</t>
  </si>
  <si>
    <r>
      <t xml:space="preserve">1 </t>
    </r>
    <r>
      <rPr>
        <i/>
        <sz val="12"/>
        <rFont val="Times New Roman"/>
        <family val="1"/>
      </rPr>
      <t>4.10% 3-Year Government of Mauritius Treasury Notes due 11 April 2017  (Re-Opening)- Issued on 20 June 2014</t>
    </r>
  </si>
  <si>
    <r>
      <t xml:space="preserve">2 </t>
    </r>
    <r>
      <rPr>
        <i/>
        <sz val="12"/>
        <rFont val="Times New Roman"/>
        <family val="1"/>
      </rPr>
      <t xml:space="preserve">3.88% 3-Year Government of Mauritius Treasury Notes due 25 July 2017 (New Benchmark) - Issued on 25 July 2014 </t>
    </r>
  </si>
  <si>
    <t>Table 20b: Auctions of Five-Year Government of Mauritius Bonds: August 2013- June 2014</t>
  </si>
  <si>
    <t>Auction held on</t>
  </si>
  <si>
    <r>
      <t>28 Aug-13</t>
    </r>
    <r>
      <rPr>
        <b/>
        <vertAlign val="superscript"/>
        <sz val="12"/>
        <rFont val="Times New Roman"/>
        <family val="1"/>
      </rPr>
      <t>1</t>
    </r>
  </si>
  <si>
    <r>
      <t>16 Oct-13</t>
    </r>
    <r>
      <rPr>
        <b/>
        <vertAlign val="superscript"/>
        <sz val="12"/>
        <rFont val="Times New Roman"/>
        <family val="1"/>
      </rPr>
      <t>2</t>
    </r>
  </si>
  <si>
    <r>
      <t>18 Dec-13</t>
    </r>
    <r>
      <rPr>
        <b/>
        <vertAlign val="superscript"/>
        <sz val="12"/>
        <rFont val="Times New Roman"/>
        <family val="1"/>
      </rPr>
      <t>3</t>
    </r>
  </si>
  <si>
    <r>
      <t>19 Feb-14</t>
    </r>
    <r>
      <rPr>
        <b/>
        <vertAlign val="superscript"/>
        <sz val="12"/>
        <rFont val="Times New Roman"/>
        <family val="1"/>
      </rPr>
      <t>4</t>
    </r>
  </si>
  <si>
    <r>
      <t>23 Apr-14</t>
    </r>
    <r>
      <rPr>
        <b/>
        <vertAlign val="superscript"/>
        <sz val="12"/>
        <rFont val="Times New Roman"/>
        <family val="1"/>
      </rPr>
      <t>5</t>
    </r>
  </si>
  <si>
    <r>
      <t>25 Jun-14</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</si>
  <si>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</si>
  <si>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</si>
  <si>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</si>
  <si>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</si>
  <si>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</si>
  <si>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</si>
  <si>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</si>
  <si>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2"/>
        <rFont val="Times New Roman"/>
        <family val="1"/>
      </rPr>
      <t>Issue of 30 August 2013 (Re-opening)</t>
    </r>
  </si>
  <si>
    <r>
      <t xml:space="preserve">4 </t>
    </r>
    <r>
      <rPr>
        <i/>
        <sz val="12"/>
        <rFont val="Times New Roman"/>
        <family val="1"/>
      </rPr>
      <t>Issue of 21 February 2014 (Re-opening)</t>
    </r>
  </si>
  <si>
    <r>
      <t xml:space="preserve">2 </t>
    </r>
    <r>
      <rPr>
        <i/>
        <sz val="12"/>
        <rFont val="Times New Roman"/>
        <family val="1"/>
      </rPr>
      <t>Issue of 18 October 2013 (New Benchmark)</t>
    </r>
  </si>
  <si>
    <r>
      <t xml:space="preserve">5 </t>
    </r>
    <r>
      <rPr>
        <i/>
        <sz val="12"/>
        <rFont val="Times New Roman"/>
        <family val="1"/>
      </rPr>
      <t>Issue of 25 April 2014 (New Benchmark)</t>
    </r>
  </si>
  <si>
    <r>
      <t xml:space="preserve">3 </t>
    </r>
    <r>
      <rPr>
        <i/>
        <sz val="12"/>
        <rFont val="Times New Roman"/>
        <family val="1"/>
      </rPr>
      <t>Issue of 20 December 2013 (Re-opening)</t>
    </r>
  </si>
  <si>
    <r>
      <t xml:space="preserve">6 </t>
    </r>
    <r>
      <rPr>
        <i/>
        <sz val="12"/>
        <rFont val="Times New Roman"/>
        <family val="1"/>
      </rPr>
      <t>Issue of 27 June 2014 (Re-opening)</t>
    </r>
  </si>
  <si>
    <t>Table 20c: Auction of Ten-Year Government of Mauritius Bonds: January 2014 &amp; May 2014</t>
  </si>
  <si>
    <r>
      <t>22-January-14</t>
    </r>
    <r>
      <rPr>
        <b/>
        <vertAlign val="superscript"/>
        <sz val="12"/>
        <rFont val="Times New Roman"/>
        <family val="1"/>
      </rPr>
      <t xml:space="preserve"> 1</t>
    </r>
  </si>
  <si>
    <r>
      <t xml:space="preserve">28-May-14 </t>
    </r>
    <r>
      <rPr>
        <b/>
        <vertAlign val="superscript"/>
        <sz val="12"/>
        <rFont val="Times New Roman"/>
        <family val="1"/>
      </rPr>
      <t>2</t>
    </r>
  </si>
  <si>
    <r>
      <t>Amount of Bonds put on Tender</t>
    </r>
    <r>
      <rPr>
        <b/>
        <i/>
        <sz val="12"/>
        <rFont val="Times New Roman"/>
        <family val="1"/>
      </rPr>
      <t xml:space="preserve"> (Rs mn)</t>
    </r>
    <r>
      <rPr>
        <b/>
        <sz val="12"/>
        <rFont val="Times New Roman"/>
        <family val="1"/>
      </rPr>
      <t xml:space="preserve"> </t>
    </r>
  </si>
  <si>
    <t>1,400.0*</t>
  </si>
  <si>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</si>
  <si>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</si>
  <si>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</si>
  <si>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</si>
  <si>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</si>
  <si>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</si>
  <si>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2"/>
        <rFont val="Times New Roman"/>
        <family val="1"/>
      </rPr>
      <t>Issue of  24 January 2014  due 24 January 2024</t>
    </r>
  </si>
  <si>
    <r>
      <t xml:space="preserve">2 </t>
    </r>
    <r>
      <rPr>
        <i/>
        <sz val="12"/>
        <rFont val="Times New Roman"/>
        <family val="1"/>
      </rPr>
      <t>Issue of  30 May 2014  due 30 May 2024</t>
    </r>
  </si>
  <si>
    <r>
      <t xml:space="preserve">* </t>
    </r>
    <r>
      <rPr>
        <i/>
        <sz val="12"/>
        <rFont val="Times New Roman"/>
        <family val="1"/>
      </rPr>
      <t xml:space="preserve">Tender Amount was for Rs1,400 mn with option to accept </t>
    </r>
  </si>
  <si>
    <t xml:space="preserve">  a higher amount</t>
  </si>
  <si>
    <t>Table 20d: Auctions of Long-Term Government of Mauritius Bonds: September and December 2009</t>
  </si>
  <si>
    <r>
      <t xml:space="preserve">Amount of Long-Term Government of Mauritius Bonds put on Tender </t>
    </r>
    <r>
      <rPr>
        <b/>
        <i/>
        <sz val="12"/>
        <rFont val="Times New Roman"/>
        <family val="1"/>
      </rPr>
      <t xml:space="preserve">(Rs mn)  </t>
    </r>
  </si>
  <si>
    <r>
      <t xml:space="preserve">23 September 2009 </t>
    </r>
    <r>
      <rPr>
        <b/>
        <vertAlign val="superscript"/>
        <sz val="12"/>
        <rFont val="Times New Roman"/>
        <family val="1"/>
      </rPr>
      <t xml:space="preserve">1 </t>
    </r>
    <r>
      <rPr>
        <b/>
        <vertAlign val="subscript"/>
        <sz val="12"/>
        <rFont val="Times New Roman"/>
        <family val="1"/>
      </rPr>
      <t>-</t>
    </r>
    <r>
      <rPr>
        <b/>
        <sz val="12"/>
        <rFont val="Times New Roman"/>
        <family val="1"/>
      </rPr>
      <t xml:space="preserve"> Rs1,000 mn</t>
    </r>
  </si>
  <si>
    <r>
      <t xml:space="preserve">02 December 2009 </t>
    </r>
    <r>
      <rPr>
        <b/>
        <vertAlign val="superscript"/>
        <sz val="12"/>
        <rFont val="Times New Roman"/>
        <family val="1"/>
      </rPr>
      <t xml:space="preserve">2 </t>
    </r>
    <r>
      <rPr>
        <b/>
        <vertAlign val="subscript"/>
        <sz val="12"/>
        <rFont val="Times New Roman"/>
        <family val="1"/>
      </rPr>
      <t>-</t>
    </r>
    <r>
      <rPr>
        <b/>
        <sz val="12"/>
        <rFont val="Times New Roman"/>
        <family val="1"/>
      </rPr>
      <t xml:space="preserve"> Rs1,000 mn</t>
    </r>
  </si>
  <si>
    <t>7-Yr Bonds</t>
  </si>
  <si>
    <t>13-Yr Bonds</t>
  </si>
  <si>
    <t>20-Yr Bonds</t>
  </si>
  <si>
    <r>
      <t xml:space="preserve"> Weighted Price of Bids Accepted </t>
    </r>
    <r>
      <rPr>
        <b/>
        <i/>
        <sz val="12"/>
        <rFont val="Times New Roman"/>
        <family val="1"/>
      </rPr>
      <t>( % )</t>
    </r>
  </si>
  <si>
    <r>
      <t>1</t>
    </r>
    <r>
      <rPr>
        <i/>
        <sz val="12"/>
        <rFont val="Times New Roman"/>
        <family val="1"/>
      </rPr>
      <t xml:space="preserve"> Issue of 25 September 2009</t>
    </r>
  </si>
  <si>
    <r>
      <t xml:space="preserve">2 </t>
    </r>
    <r>
      <rPr>
        <i/>
        <sz val="12"/>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</si>
  <si>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</si>
  <si>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</si>
  <si>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</si>
  <si>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</si>
  <si>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</si>
  <si>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</si>
  <si>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September 2013 &amp; March 2014</t>
  </si>
  <si>
    <r>
      <t xml:space="preserve">25-September-13 </t>
    </r>
    <r>
      <rPr>
        <b/>
        <vertAlign val="superscript"/>
        <sz val="12"/>
        <rFont val="Times New Roman"/>
        <family val="1"/>
      </rPr>
      <t>1</t>
    </r>
  </si>
  <si>
    <r>
      <t>05-March-14</t>
    </r>
    <r>
      <rPr>
        <b/>
        <vertAlign val="superscript"/>
        <sz val="12"/>
        <rFont val="Times New Roman"/>
        <family val="1"/>
      </rPr>
      <t xml:space="preserve"> 2</t>
    </r>
  </si>
  <si>
    <r>
      <rPr>
        <i/>
        <vertAlign val="superscript"/>
        <sz val="12"/>
        <rFont val="Times New Roman"/>
        <family val="1"/>
      </rPr>
      <t>1</t>
    </r>
    <r>
      <rPr>
        <i/>
        <sz val="12"/>
        <rFont val="Times New Roman"/>
        <family val="1"/>
      </rPr>
      <t xml:space="preserve"> Issue of 27 September 2013 due 27 September 2028</t>
    </r>
  </si>
  <si>
    <r>
      <rPr>
        <i/>
        <vertAlign val="superscript"/>
        <sz val="12"/>
        <rFont val="Times New Roman"/>
        <family val="1"/>
      </rPr>
      <t>2</t>
    </r>
    <r>
      <rPr>
        <i/>
        <sz val="12"/>
        <rFont val="Times New Roman"/>
        <family val="1"/>
      </rPr>
      <t xml:space="preserve"> Issue of 07 March 2014 due 07 March 2029</t>
    </r>
  </si>
  <si>
    <t>Table 20e: Auction of Fifteen -Year Inflation-Indexed Government of Mauritius Bonds: May 2013 &amp; July 2014</t>
  </si>
  <si>
    <r>
      <t xml:space="preserve">15-May-2013 </t>
    </r>
    <r>
      <rPr>
        <b/>
        <vertAlign val="superscript"/>
        <sz val="12"/>
        <rFont val="Times New Roman"/>
        <family val="1"/>
      </rPr>
      <t>1</t>
    </r>
  </si>
  <si>
    <r>
      <t xml:space="preserve">2-July-2014 </t>
    </r>
    <r>
      <rPr>
        <b/>
        <vertAlign val="superscript"/>
        <sz val="12"/>
        <rFont val="Times New Roman"/>
        <family val="1"/>
      </rPr>
      <t>2</t>
    </r>
    <r>
      <rPr>
        <sz val="10"/>
        <rFont val="Arial"/>
        <family val="2"/>
      </rPr>
      <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</si>
  <si>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</si>
  <si>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</si>
  <si>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</si>
  <si>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2"/>
        <rFont val="Times New Roman"/>
        <family val="1"/>
      </rPr>
      <t>Issue of 17 May 2013 due 17 May 2028</t>
    </r>
  </si>
  <si>
    <r>
      <t xml:space="preserve">2 </t>
    </r>
    <r>
      <rPr>
        <i/>
        <sz val="12"/>
        <rFont val="Times New Roman"/>
        <family val="1"/>
      </rPr>
      <t>Issue of 04 July 2014 due 04 July 2029</t>
    </r>
  </si>
  <si>
    <t>Table 21a: Special Deposits Facility: March 2008 -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</si>
  <si>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</si>
  <si>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</si>
  <si>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</si>
  <si>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</si>
  <si>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</si>
  <si>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</si>
  <si>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</si>
  <si>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</si>
  <si>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</si>
  <si>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</si>
  <si>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</si>
  <si>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</si>
  <si>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</si>
  <si>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</si>
  <si>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</si>
  <si>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</si>
  <si>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</si>
  <si>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</si>
  <si>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</si>
  <si>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</si>
  <si>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</si>
  <si>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</si>
  <si>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</si>
  <si>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</si>
  <si>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</si>
  <si>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</si>
  <si>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(Per cent per annum)</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</si>
  <si>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</si>
  <si>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</si>
  <si>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May 2014 &amp; June 2014</t>
  </si>
  <si>
    <t>Tenor</t>
  </si>
  <si>
    <t>91-Day</t>
  </si>
  <si>
    <t xml:space="preserve">182-Day </t>
  </si>
  <si>
    <t xml:space="preserve">273-Day </t>
  </si>
  <si>
    <t xml:space="preserve">364-Day </t>
  </si>
  <si>
    <t>Value of Bids Accepted (Rs mn)</t>
  </si>
  <si>
    <t>Range of  Yields  Accepted (% p.a.)</t>
  </si>
  <si>
    <t>Range of  Prices  Accepted (%)</t>
  </si>
  <si>
    <t>97.189</t>
  </si>
  <si>
    <t>Table 22b: Issue of Bank of Mauritius Notes: February 2014 &amp; May 2014</t>
  </si>
  <si>
    <r>
      <t xml:space="preserve"> Auction held on 12 February 2014 </t>
    </r>
    <r>
      <rPr>
        <b/>
        <vertAlign val="superscript"/>
        <sz val="10"/>
        <rFont val="Times New Roman"/>
        <family val="1"/>
      </rPr>
      <t>1</t>
    </r>
  </si>
  <si>
    <r>
      <t xml:space="preserve"> Auction held on 21 May 2014 </t>
    </r>
    <r>
      <rPr>
        <b/>
        <vertAlign val="superscript"/>
        <sz val="10"/>
        <rFont val="Times New Roman"/>
        <family val="1"/>
      </rPr>
      <t>2</t>
    </r>
  </si>
  <si>
    <t>3Y-BOMN</t>
  </si>
  <si>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</si>
  <si>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</si>
  <si>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Yield on Bids Accepted </t>
    </r>
    <r>
      <rPr>
        <b/>
        <i/>
        <sz val="11"/>
        <rFont val="Times New Roman"/>
        <family val="1"/>
      </rPr>
      <t>(% p.a.)</t>
    </r>
  </si>
  <si>
    <r>
      <t xml:space="preserve"> Price of Bids Accepted </t>
    </r>
    <r>
      <rPr>
        <b/>
        <i/>
        <sz val="11"/>
        <rFont val="Times New Roman"/>
        <family val="1"/>
      </rPr>
      <t>(%)</t>
    </r>
  </si>
  <si>
    <t>4.50%  3-Year Bank of Mauritius Notes due 20 January 2017</t>
  </si>
  <si>
    <t>4.10%  3-Year Bank of Mauritius Notes due 11 April 2017</t>
  </si>
  <si>
    <r>
      <t>1</t>
    </r>
    <r>
      <rPr>
        <i/>
        <sz val="10"/>
        <rFont val="Times New Roman"/>
        <family val="1"/>
      </rPr>
      <t xml:space="preserve"> Issue of 14 February 2014 (Re-opening)</t>
    </r>
  </si>
  <si>
    <r>
      <t>2</t>
    </r>
    <r>
      <rPr>
        <i/>
        <sz val="10"/>
        <rFont val="Times New Roman"/>
        <family val="1"/>
      </rPr>
      <t xml:space="preserve"> Issue of 23 May 2014 (Re-opening)</t>
    </r>
  </si>
  <si>
    <t>Table 22c: Issue of 5-Year Bank of Mauritius Bonds: June 2013 &amp; August 2013</t>
  </si>
  <si>
    <r>
      <t xml:space="preserve"> Auction held on 19 June 2013 </t>
    </r>
    <r>
      <rPr>
        <b/>
        <vertAlign val="superscript"/>
        <sz val="9"/>
        <rFont val="Times New Roman"/>
        <family val="1"/>
      </rPr>
      <t>1</t>
    </r>
  </si>
  <si>
    <r>
      <t xml:space="preserve"> Auction held on 28 August 2013 </t>
    </r>
    <r>
      <rPr>
        <b/>
        <vertAlign val="superscript"/>
        <sz val="9"/>
        <rFont val="Times New Roman"/>
        <family val="1"/>
      </rPr>
      <t>2</t>
    </r>
  </si>
  <si>
    <t>5Y-BOM Bonds</t>
  </si>
  <si>
    <t>4.30% 5-Year Bank  of Mauritius Bonds due 22 February 2018</t>
  </si>
  <si>
    <r>
      <t>1</t>
    </r>
    <r>
      <rPr>
        <i/>
        <sz val="10"/>
        <rFont val="Times New Roman"/>
        <family val="1"/>
      </rPr>
      <t xml:space="preserve"> Issue of 21 June 2013 (Re-opening)</t>
    </r>
  </si>
  <si>
    <r>
      <t>2</t>
    </r>
    <r>
      <rPr>
        <i/>
        <sz val="10"/>
        <rFont val="Times New Roman"/>
        <family val="1"/>
      </rPr>
      <t xml:space="preserve"> Issue of 30 August 2013 (Re-opening)</t>
    </r>
  </si>
  <si>
    <t>Table 22d: Issue of 15-Year Bank of Mauritius Bonds: March 2014</t>
  </si>
  <si>
    <r>
      <t xml:space="preserve"> Auction held on 05 March 2014 </t>
    </r>
    <r>
      <rPr>
        <b/>
        <vertAlign val="superscript"/>
        <sz val="9"/>
        <rFont val="Times New Roman"/>
        <family val="1"/>
      </rPr>
      <t>1</t>
    </r>
  </si>
  <si>
    <t>15Y-BOM Bonds</t>
  </si>
  <si>
    <t>6.95% 15-Year Bank  of Mauritius Bonds due 07 March 2029</t>
  </si>
  <si>
    <r>
      <t>1</t>
    </r>
    <r>
      <rPr>
        <i/>
        <sz val="10"/>
        <rFont val="Times New Roman"/>
        <family val="1"/>
      </rPr>
      <t xml:space="preserve"> Issue of 07 March 2014</t>
    </r>
  </si>
  <si>
    <t>Table 23: Outstanding Government of Mauritius Securities: July 2013 - July 2014</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</si>
  <si>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</si>
  <si>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</si>
  <si>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</si>
  <si>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</si>
  <si>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</si>
  <si>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</si>
  <si>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July 2014</t>
  </si>
  <si>
    <t>5-Year GoM Bonds*</t>
  </si>
  <si>
    <t>MDLS/GOM Bonds</t>
  </si>
  <si>
    <t>2014-15</t>
  </si>
  <si>
    <t>2015-16</t>
  </si>
  <si>
    <t>2016-17</t>
  </si>
  <si>
    <t>2017-18</t>
  </si>
  <si>
    <t>2018-19</t>
  </si>
  <si>
    <t>2019-20</t>
  </si>
  <si>
    <t>2020-21</t>
  </si>
  <si>
    <t>2021-22</t>
  </si>
  <si>
    <t>2022-23</t>
  </si>
  <si>
    <t>2023-24</t>
  </si>
  <si>
    <t>2024-25</t>
  </si>
  <si>
    <t>2025-26</t>
  </si>
  <si>
    <t>2026-27</t>
  </si>
  <si>
    <t>2027-28</t>
  </si>
  <si>
    <t>2028-29</t>
  </si>
  <si>
    <t>2029-30</t>
  </si>
  <si>
    <r>
      <rPr>
        <b/>
        <i/>
        <sz val="10"/>
        <rFont val="Times New Roman"/>
        <family val="1"/>
      </rPr>
      <t>*</t>
    </r>
    <r>
      <rPr>
        <i/>
        <sz val="10"/>
        <rFont val="Times New Roman"/>
        <family val="1"/>
      </rPr>
      <t>5-year GOM Bonds were previously included in MDLS/GOM Bonds</t>
    </r>
  </si>
  <si>
    <t>Table 25a: Primary Dealers Transactions : July 2014</t>
  </si>
  <si>
    <t>Band</t>
  </si>
  <si>
    <t>Duration</t>
  </si>
  <si>
    <t>Number of</t>
  </si>
  <si>
    <t>Value</t>
  </si>
  <si>
    <t>(No of Days)</t>
  </si>
  <si>
    <t>Up to 30</t>
  </si>
  <si>
    <t xml:space="preserve">31 to 60 </t>
  </si>
  <si>
    <t>61 to 90</t>
  </si>
  <si>
    <t>91 to 135</t>
  </si>
  <si>
    <t>136 to 180</t>
  </si>
  <si>
    <t>2.18-2.30</t>
  </si>
  <si>
    <t xml:space="preserve">181 to 240  </t>
  </si>
  <si>
    <t>2.05-2.30</t>
  </si>
  <si>
    <t xml:space="preserve">241 to 300 </t>
  </si>
  <si>
    <t>1.98-2.43</t>
  </si>
  <si>
    <t>301 to 364</t>
  </si>
  <si>
    <t>1.85-2.10</t>
  </si>
  <si>
    <t>365 to 485</t>
  </si>
  <si>
    <t>486 to 606</t>
  </si>
  <si>
    <t>607 to 728</t>
  </si>
  <si>
    <t>4.65-4.76</t>
  </si>
  <si>
    <t>1.85-2.43</t>
  </si>
  <si>
    <t>Table 25b: Primary Dealers Transactions : July 2013 - July 2014</t>
  </si>
  <si>
    <t>2.18-2.43</t>
  </si>
  <si>
    <t>2.05-2.24</t>
  </si>
  <si>
    <t>1.85-2.16</t>
  </si>
  <si>
    <t>1.85-2.00</t>
  </si>
  <si>
    <t>28-31 July 14</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</si>
  <si>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</si>
  <si>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</si>
  <si>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</si>
  <si>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</si>
  <si>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</si>
  <si>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</si>
  <si>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</si>
  <si>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</si>
  <si>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</si>
  <si>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</si>
  <si>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</si>
  <si>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</si>
  <si>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</si>
  <si>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</si>
  <si>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</si>
  <si>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</si>
  <si>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</si>
  <si>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</si>
  <si>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</si>
  <si>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</si>
  <si>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</si>
  <si>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</si>
  <si>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</si>
  <si>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</si>
  <si>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</si>
  <si>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</si>
  <si>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</si>
  <si>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</si>
  <si>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</si>
  <si>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</si>
  <si>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</si>
  <si>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</si>
  <si>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</si>
  <si>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</si>
  <si>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</si>
  <si>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</si>
  <si>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</si>
  <si>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</si>
  <si>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</si>
  <si>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</si>
  <si>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</si>
  <si>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</si>
  <si>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</si>
  <si>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</si>
  <si>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</si>
  <si>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</si>
  <si>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</si>
  <si>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</si>
  <si>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</si>
  <si>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</si>
  <si>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</si>
  <si>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</si>
  <si>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</si>
  <si>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</si>
  <si>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</si>
  <si>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</si>
  <si>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</si>
  <si>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</si>
  <si>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</si>
  <si>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</si>
  <si>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</si>
  <si>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</si>
  <si>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</si>
  <si>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</si>
  <si>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</si>
  <si>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</si>
  <si>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</si>
  <si>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</si>
  <si>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</si>
  <si>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</si>
  <si>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</si>
  <si>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</si>
  <si>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</si>
  <si>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</si>
  <si>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</si>
  <si>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</si>
  <si>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</si>
  <si>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</si>
  <si>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</si>
  <si>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</si>
  <si>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</si>
  <si>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</si>
  <si>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</si>
  <si>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</si>
  <si>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</si>
  <si>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</si>
  <si>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</si>
  <si>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</si>
  <si>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</si>
  <si>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</si>
  <si>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</si>
  <si>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</si>
  <si>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</si>
  <si>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</si>
  <si>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</si>
  <si>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</si>
  <si>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</si>
  <si>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</si>
  <si>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</si>
  <si>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</si>
  <si>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</si>
  <si>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</si>
  <si>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</si>
  <si>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</si>
  <si>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</si>
  <si>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</si>
  <si>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</si>
  <si>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</si>
  <si>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</si>
  <si>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</si>
  <si>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</si>
  <si>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</si>
  <si>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</si>
  <si>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</si>
  <si>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</si>
  <si>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</si>
  <si>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</si>
  <si>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</si>
  <si>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</si>
  <si>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</si>
  <si>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</si>
  <si>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</si>
  <si>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</si>
  <si>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</si>
  <si>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</si>
  <si>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</si>
  <si>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</si>
  <si>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</si>
  <si>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</si>
  <si>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</si>
  <si>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</si>
  <si>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</si>
  <si>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</si>
  <si>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</si>
  <si>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</si>
  <si>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</si>
  <si>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</si>
  <si>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</si>
  <si>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</si>
  <si>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</si>
  <si>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</si>
  <si>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</si>
  <si>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</si>
  <si>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</si>
  <si>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Note: With effect from 24 July 2014, the number of Primary Dealers has decreased from eleven to ten</t>
  </si>
  <si>
    <t>Table 26: Secondary Market Activity: July 2013 - July 2014</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</si>
  <si>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</si>
  <si>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</si>
  <si>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</si>
  <si>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</si>
  <si>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</si>
  <si>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</si>
  <si>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</si>
  <si>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</si>
  <si>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</si>
  <si>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</si>
  <si>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</si>
  <si>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</si>
  <si>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</si>
  <si>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</si>
  <si>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</si>
  <si>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</si>
  <si>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</si>
  <si>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</si>
  <si>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</si>
  <si>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</si>
  <si>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</si>
  <si>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</si>
  <si>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</si>
  <si>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01-04 Jul</t>
  </si>
  <si>
    <t>07-11 Jul</t>
  </si>
  <si>
    <t>14-18 Jul</t>
  </si>
  <si>
    <t>21-25 Jul</t>
  </si>
  <si>
    <t>28-31 Jul</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</si>
  <si>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</si>
  <si>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</si>
  <si>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</si>
  <si>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</si>
  <si>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</si>
  <si>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July 2013 - July 2014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</si>
  <si>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</si>
  <si>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</si>
  <si>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</si>
  <si>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</si>
  <si>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</si>
  <si>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</si>
  <si>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</si>
  <si>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</si>
  <si>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</si>
  <si>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</si>
  <si>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01-03 July</t>
  </si>
  <si>
    <t>1.25-1.30</t>
  </si>
  <si>
    <t>04-10 July</t>
  </si>
  <si>
    <t>11-17 July</t>
  </si>
  <si>
    <t>1.20-1.50</t>
  </si>
  <si>
    <t>18-24 July</t>
  </si>
  <si>
    <t>1.10-1.20</t>
  </si>
  <si>
    <t>25-31 July</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</si>
  <si>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</si>
  <si>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</si>
  <si>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</si>
  <si>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</si>
  <si>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</si>
  <si>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</si>
  <si>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</si>
  <si>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</si>
  <si>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</si>
  <si>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</si>
  <si>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</si>
  <si>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</si>
  <si>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</si>
  <si>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</si>
  <si>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</si>
  <si>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</si>
  <si>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</si>
  <si>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</si>
  <si>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</si>
  <si>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</si>
  <si>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</si>
  <si>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</si>
  <si>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</si>
  <si>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</si>
  <si>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</si>
  <si>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</si>
  <si>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</si>
  <si>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</si>
  <si>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</si>
  <si>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</si>
  <si>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</si>
  <si>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</si>
  <si>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</si>
  <si>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</si>
  <si>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</si>
  <si>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</si>
  <si>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</si>
  <si>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</si>
  <si>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</si>
  <si>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</si>
  <si>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</si>
  <si>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</si>
  <si>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</si>
  <si>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</si>
  <si>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</si>
  <si>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</si>
  <si>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</si>
  <si>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</si>
  <si>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</si>
  <si>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</si>
  <si>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</si>
  <si>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</si>
  <si>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</si>
  <si>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</si>
  <si>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</si>
  <si>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</si>
  <si>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</si>
  <si>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</si>
  <si>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</si>
  <si>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</si>
  <si>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</si>
  <si>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</si>
  <si>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</si>
  <si>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</si>
  <si>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</si>
  <si>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</si>
  <si>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</si>
  <si>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</si>
  <si>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</si>
  <si>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</si>
  <si>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</si>
  <si>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</si>
  <si>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</si>
  <si>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</si>
  <si>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</si>
  <si>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</si>
  <si>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</si>
  <si>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</si>
  <si>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</si>
  <si>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</si>
  <si>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</si>
  <si>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</si>
  <si>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</si>
  <si>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</si>
  <si>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</si>
  <si>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</si>
  <si>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</si>
  <si>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</si>
  <si>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</si>
  <si>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</si>
  <si>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</si>
  <si>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</si>
  <si>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</si>
  <si>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</si>
  <si>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</si>
  <si>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</si>
  <si>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</si>
  <si>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</si>
  <si>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</si>
  <si>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</si>
  <si>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</si>
  <si>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</si>
  <si>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</si>
  <si>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</si>
  <si>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</si>
  <si>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</si>
  <si>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</si>
  <si>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</si>
  <si>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</si>
  <si>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</si>
  <si>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</si>
  <si>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</si>
  <si>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</si>
  <si>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</si>
  <si>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</si>
  <si>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</si>
  <si>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</si>
  <si>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</si>
  <si>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</si>
  <si>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</si>
  <si>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</si>
  <si>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</si>
  <si>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</si>
  <si>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</si>
  <si>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</si>
  <si>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</si>
  <si>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</si>
  <si>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</si>
  <si>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</si>
  <si>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</si>
  <si>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</si>
  <si>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</si>
  <si>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</si>
  <si>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</si>
  <si>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</si>
  <si>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</si>
  <si>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</si>
  <si>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</si>
  <si>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</si>
  <si>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</si>
  <si>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</si>
  <si>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</si>
  <si>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</si>
  <si>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</si>
  <si>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r>
      <t>1</t>
    </r>
    <r>
      <rPr>
        <i/>
        <sz val="11"/>
        <rFont val="Times New Roman"/>
        <family val="1"/>
      </rPr>
      <t xml:space="preserve"> For transactions days only.</t>
    </r>
  </si>
  <si>
    <r>
      <t>2</t>
    </r>
    <r>
      <rPr>
        <i/>
        <sz val="11"/>
        <rFont val="Times New Roman"/>
        <family val="1"/>
      </rPr>
      <t xml:space="preserve"> Interbank Weighted Average Interest Rate.</t>
    </r>
  </si>
  <si>
    <r>
      <t>3</t>
    </r>
    <r>
      <rPr>
        <i/>
        <sz val="11"/>
        <rFont val="Times New Roman"/>
        <family val="1"/>
      </rPr>
      <t xml:space="preserve"> Simple Average for the month, actual for the week.</t>
    </r>
  </si>
  <si>
    <t>Figures may not add up to totals due to rounding</t>
  </si>
  <si>
    <t>* The Bank of Mauritius has discontunied the publication of the  Bank Rate effective 01 July 2014</t>
  </si>
  <si>
    <t>Source: Statistics Division</t>
  </si>
  <si>
    <t xml:space="preserve">Table 27b: Overnight Transactions on the Interbank Money Market: July 2013 - July 2014  </t>
  </si>
  <si>
    <t>Average</t>
  </si>
  <si>
    <t>Interest Rate</t>
  </si>
  <si>
    <t>1.20-1.25</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</si>
  <si>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</si>
  <si>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</si>
  <si>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</si>
  <si>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</si>
  <si>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</si>
  <si>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</si>
  <si>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</si>
  <si>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</si>
  <si>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</si>
  <si>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</si>
  <si>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</si>
  <si>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</si>
  <si>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</si>
  <si>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</si>
  <si>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</si>
  <si>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</si>
  <si>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</si>
  <si>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</si>
  <si>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</si>
  <si>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</si>
  <si>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</si>
  <si>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</si>
  <si>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</si>
  <si>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</si>
  <si>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</si>
  <si>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</si>
  <si>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</si>
  <si>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</si>
  <si>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</si>
  <si>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</si>
  <si>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</si>
  <si>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</si>
  <si>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</si>
  <si>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</si>
  <si>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</si>
  <si>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</si>
  <si>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</si>
  <si>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</si>
  <si>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</si>
  <si>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</si>
  <si>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</si>
  <si>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</si>
  <si>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</si>
  <si>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1.20-2.35</t>
  </si>
  <si>
    <t>1.65-1.90</t>
  </si>
  <si>
    <t>1.60-1.70</t>
  </si>
  <si>
    <t>2.75-3.90</t>
  </si>
  <si>
    <t>2.55-3.75</t>
  </si>
  <si>
    <t>2.60-3.75</t>
  </si>
  <si>
    <t>1.25-1.65</t>
  </si>
  <si>
    <t>1.10-1.30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</si>
  <si>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</si>
  <si>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</si>
  <si>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</si>
  <si>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</si>
  <si>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</si>
  <si>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</si>
  <si>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</si>
  <si>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</si>
  <si>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</si>
  <si>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</si>
  <si>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</si>
  <si>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</si>
  <si>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</si>
  <si>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</si>
  <si>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</si>
  <si>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</si>
  <si>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</si>
  <si>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</si>
  <si>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</si>
  <si>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</si>
  <si>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</si>
  <si>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</si>
  <si>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</si>
  <si>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10 January 2013 - 24 July 2014</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</si>
  <si>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</si>
  <si>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</si>
  <si>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</si>
  <si>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</si>
  <si>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</si>
  <si>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</si>
  <si>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</si>
  <si>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</si>
  <si>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</si>
  <si>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</si>
  <si>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</si>
  <si>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</si>
  <si>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</si>
  <si>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</si>
  <si>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</si>
  <si>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</si>
  <si>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</si>
  <si>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</si>
  <si>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</si>
  <si>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</si>
  <si>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</si>
  <si>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</si>
  <si>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</si>
  <si>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</si>
  <si>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</si>
  <si>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</si>
  <si>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</si>
  <si>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</si>
  <si>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</si>
  <si>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cents.</t>
    </r>
  </si>
  <si>
    <t>Table 29: Cheque Clearances: January 2012 - July 2014</t>
  </si>
  <si>
    <t>Daily Average</t>
  </si>
  <si>
    <t>(Rs'000)</t>
  </si>
  <si>
    <t xml:space="preserve"> Number  of</t>
  </si>
  <si>
    <t>Cheques</t>
  </si>
  <si>
    <t>Days</t>
  </si>
  <si>
    <t xml:space="preserve"> (Rs'000)</t>
  </si>
  <si>
    <t>Source: Payment Systems &amp; MCIB Division.</t>
  </si>
  <si>
    <t>Table 30: Principal Interest Rates: June 2013 -June 2014</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</si>
  <si>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</si>
  <si>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</si>
  <si>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</si>
  <si>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</si>
  <si>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</si>
  <si>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</si>
  <si>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</si>
  <si>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</si>
  <si>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</si>
  <si>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</si>
  <si>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</si>
  <si>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</si>
  <si>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</si>
  <si>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</si>
  <si>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</si>
  <si>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</si>
  <si>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</si>
  <si>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</si>
  <si>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</si>
  <si>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</si>
  <si>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</si>
  <si>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</si>
  <si>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</si>
  <si>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</si>
  <si>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</si>
  <si>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</si>
  <si>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</si>
  <si>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I. LENDING</t>
  </si>
  <si>
    <t xml:space="preserve">       Lombard Rate*</t>
  </si>
  <si>
    <t xml:space="preserve">       Bank Rate</t>
  </si>
  <si>
    <r>
      <t xml:space="preserve">       Key Repo Rate</t>
    </r>
    <r>
      <rPr>
        <vertAlign val="superscript"/>
        <sz val="12.5"/>
        <rFont val="Times New Roman"/>
        <family val="1"/>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</si>
  <si>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</si>
  <si>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</si>
  <si>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</si>
  <si>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</si>
  <si>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</si>
  <si>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</si>
  <si>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</si>
  <si>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</si>
  <si>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</si>
  <si>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</si>
  <si>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</si>
  <si>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</si>
  <si>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</si>
  <si>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</si>
  <si>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</si>
  <si>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</si>
  <si>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</si>
  <si>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</si>
  <si>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</si>
  <si>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</si>
  <si>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</si>
  <si>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</si>
  <si>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</si>
  <si>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</si>
  <si>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</si>
  <si>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</si>
  <si>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</si>
  <si>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</si>
  <si>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</si>
  <si>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</si>
  <si>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</si>
  <si>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</si>
  <si>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</si>
  <si>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</si>
  <si>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</si>
  <si>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</si>
  <si>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</si>
  <si>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</si>
  <si>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</si>
  <si>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</si>
  <si>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</si>
  <si>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</si>
  <si>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</si>
  <si>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</si>
  <si>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</si>
  <si>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</si>
  <si>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</si>
  <si>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</si>
  <si>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</si>
  <si>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</si>
  <si>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</si>
  <si>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</si>
  <si>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</si>
  <si>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</si>
  <si>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</si>
  <si>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</si>
  <si>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</si>
  <si>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</si>
  <si>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</si>
  <si>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</si>
  <si>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</si>
  <si>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</si>
  <si>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</si>
  <si>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</si>
  <si>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</si>
  <si>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</si>
  <si>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</si>
  <si>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</si>
  <si>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</si>
  <si>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</si>
  <si>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</si>
  <si>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</si>
  <si>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</si>
  <si>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</si>
  <si>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</si>
  <si>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</si>
  <si>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</si>
  <si>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</si>
  <si>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</si>
  <si>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</si>
  <si>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</si>
  <si>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</si>
  <si>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</si>
  <si>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</si>
  <si>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</si>
  <si>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</si>
  <si>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</si>
  <si>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</si>
  <si>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</si>
  <si>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</si>
  <si>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</si>
  <si>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</si>
  <si>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</si>
  <si>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</si>
  <si>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</si>
  <si>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</si>
  <si>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</si>
  <si>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</si>
  <si>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</si>
  <si>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</si>
  <si>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</si>
  <si>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</si>
  <si>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</si>
  <si>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</si>
  <si>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</si>
  <si>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</si>
  <si>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</si>
  <si>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</si>
  <si>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</si>
  <si>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</si>
  <si>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</si>
  <si>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</si>
  <si>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</si>
  <si>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</si>
  <si>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</si>
  <si>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</si>
  <si>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</si>
  <si>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</si>
  <si>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</si>
  <si>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</si>
  <si>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</si>
  <si>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</si>
  <si>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</si>
  <si>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</si>
  <si>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</si>
  <si>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</si>
  <si>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</si>
  <si>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</si>
  <si>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</si>
  <si>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</si>
  <si>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</si>
  <si>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</si>
  <si>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</si>
  <si>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</si>
  <si>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</si>
  <si>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</si>
  <si>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</si>
  <si>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</si>
  <si>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</si>
  <si>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</si>
  <si>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</si>
  <si>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</si>
  <si>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</si>
  <si>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</si>
  <si>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</si>
  <si>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</si>
  <si>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</si>
  <si>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</si>
  <si>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</si>
  <si>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</si>
  <si>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</si>
  <si>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</si>
  <si>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</si>
  <si>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</si>
  <si>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</si>
  <si>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</si>
  <si>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</si>
  <si>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</si>
  <si>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</si>
  <si>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</si>
  <si>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</si>
  <si>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</si>
  <si>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</si>
  <si>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</si>
  <si>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</si>
  <si>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</si>
  <si>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</si>
  <si>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</si>
  <si>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</si>
  <si>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</si>
  <si>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</si>
  <si>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</si>
  <si>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</si>
  <si>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</si>
  <si>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</si>
  <si>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</si>
  <si>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</si>
  <si>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</si>
  <si>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</si>
  <si>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</si>
  <si>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</si>
  <si>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</si>
  <si>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</si>
  <si>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</si>
  <si>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</si>
  <si>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</si>
  <si>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</si>
  <si>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</si>
  <si>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</si>
  <si>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</si>
  <si>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</si>
  <si>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</si>
  <si>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</si>
  <si>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</si>
  <si>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</si>
  <si>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</si>
  <si>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</si>
  <si>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</si>
  <si>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</si>
  <si>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</si>
  <si>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</si>
  <si>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</si>
  <si>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</si>
  <si>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</si>
  <si>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</si>
  <si>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</si>
  <si>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</si>
  <si>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</si>
  <si>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</si>
  <si>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</si>
  <si>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</si>
  <si>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</si>
  <si>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</si>
  <si>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</si>
  <si>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</si>
  <si>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</si>
  <si>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</si>
  <si>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</si>
  <si>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</si>
  <si>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</si>
  <si>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</si>
  <si>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</si>
  <si>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</si>
  <si>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</si>
  <si>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</si>
  <si>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</si>
  <si>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</si>
  <si>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</si>
  <si>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</si>
  <si>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</si>
  <si>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</si>
  <si>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</si>
  <si>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</si>
  <si>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</si>
  <si>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</si>
  <si>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</si>
  <si>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</si>
  <si>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</si>
  <si>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</si>
  <si>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</si>
  <si>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</si>
  <si>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</si>
  <si>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</si>
  <si>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</si>
  <si>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</si>
  <si>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</si>
  <si>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</si>
  <si>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</si>
  <si>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</si>
  <si>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</si>
  <si>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</si>
  <si>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</si>
  <si>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</si>
  <si>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</si>
  <si>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</si>
  <si>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</si>
  <si>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</si>
  <si>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</si>
  <si>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</si>
  <si>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</si>
  <si>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</si>
  <si>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</si>
  <si>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</si>
  <si>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</si>
  <si>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</si>
  <si>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</si>
  <si>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</si>
  <si>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</si>
  <si>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</si>
  <si>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</si>
  <si>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</si>
  <si>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</si>
  <si>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</si>
  <si>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</si>
  <si>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</si>
  <si>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</si>
  <si>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</si>
  <si>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</si>
  <si>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</si>
  <si>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</si>
  <si>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</si>
  <si>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</si>
  <si>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</si>
  <si>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</si>
  <si>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</si>
  <si>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</si>
  <si>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</si>
  <si>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</si>
  <si>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</si>
  <si>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</si>
  <si>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</si>
  <si>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</si>
  <si>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</si>
  <si>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</si>
  <si>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</si>
  <si>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</si>
  <si>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</si>
  <si>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</si>
  <si>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</si>
  <si>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</si>
  <si>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</si>
  <si>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</si>
  <si>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</si>
  <si>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</si>
  <si>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</si>
  <si>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</si>
  <si>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</si>
  <si>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</si>
  <si>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</si>
  <si>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</si>
  <si>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</si>
  <si>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</si>
  <si>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</si>
  <si>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</si>
  <si>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</si>
  <si>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</si>
  <si>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</si>
  <si>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</si>
  <si>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</si>
  <si>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</si>
  <si>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</si>
  <si>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</si>
  <si>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</si>
  <si>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</si>
  <si>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</si>
  <si>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</si>
  <si>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</si>
  <si>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</si>
  <si>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</si>
  <si>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</si>
  <si>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</si>
  <si>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</si>
  <si>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</si>
  <si>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</si>
  <si>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</si>
  <si>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</si>
  <si>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</si>
  <si>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</si>
  <si>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</si>
  <si>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</si>
  <si>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</si>
  <si>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</si>
  <si>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</si>
  <si>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</si>
  <si>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</si>
  <si>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</si>
  <si>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</si>
  <si>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</si>
  <si>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</si>
  <si>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</si>
  <si>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</si>
  <si>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</si>
  <si>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</si>
  <si>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</si>
  <si>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</si>
  <si>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</si>
  <si>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</si>
  <si>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</si>
  <si>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</si>
  <si>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</si>
  <si>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</si>
  <si>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</si>
  <si>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</si>
  <si>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</si>
  <si>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</si>
  <si>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</si>
  <si>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</si>
  <si>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</si>
  <si>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</si>
  <si>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</si>
  <si>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</si>
  <si>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</si>
  <si>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</si>
  <si>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</si>
  <si>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</si>
  <si>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</si>
  <si>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</si>
  <si>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</si>
  <si>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</si>
  <si>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</si>
  <si>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</si>
  <si>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</si>
  <si>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</si>
  <si>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</si>
  <si>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</si>
  <si>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</si>
  <si>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</si>
  <si>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</si>
  <si>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</si>
  <si>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</si>
  <si>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</si>
  <si>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</si>
  <si>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</si>
  <si>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</si>
  <si>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</si>
  <si>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</si>
  <si>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</si>
  <si>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</si>
  <si>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</si>
  <si>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</si>
  <si>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</si>
  <si>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</si>
  <si>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</si>
  <si>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</si>
  <si>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</si>
  <si>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</si>
  <si>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</si>
  <si>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</si>
  <si>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</si>
  <si>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</si>
  <si>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</si>
  <si>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</si>
  <si>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</si>
  <si>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2.00-13.15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</si>
  <si>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</si>
  <si>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</si>
  <si>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</si>
  <si>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</si>
  <si>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</si>
  <si>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</si>
  <si>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</si>
  <si>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</si>
  <si>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</si>
  <si>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</si>
  <si>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</si>
  <si>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</si>
  <si>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</si>
  <si>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</si>
  <si>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</si>
  <si>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</si>
  <si>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</si>
  <si>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</si>
  <si>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</si>
  <si>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</si>
  <si>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</si>
  <si>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</si>
  <si>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</si>
  <si>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</si>
  <si>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</si>
  <si>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</si>
  <si>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</si>
  <si>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</si>
  <si>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</si>
  <si>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</si>
  <si>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</si>
  <si>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</si>
  <si>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</si>
  <si>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</si>
  <si>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</si>
  <si>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</si>
  <si>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</si>
  <si>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</si>
  <si>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</si>
  <si>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</si>
  <si>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</si>
  <si>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</si>
  <si>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</si>
  <si>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</si>
  <si>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</si>
  <si>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</si>
  <si>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</si>
  <si>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</si>
  <si>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</si>
  <si>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</si>
  <si>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</si>
  <si>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</si>
  <si>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</si>
  <si>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</si>
  <si>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</si>
  <si>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</si>
  <si>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</si>
  <si>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</si>
  <si>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</si>
  <si>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</si>
  <si>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</si>
  <si>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</si>
  <si>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</si>
  <si>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</si>
  <si>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</si>
  <si>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</si>
  <si>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</si>
  <si>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</si>
  <si>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</si>
  <si>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</si>
  <si>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</si>
  <si>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</si>
  <si>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</si>
  <si>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</si>
  <si>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</si>
  <si>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</si>
  <si>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</si>
  <si>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</si>
  <si>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</si>
  <si>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</si>
  <si>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</si>
  <si>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</si>
  <si>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</si>
  <si>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</si>
  <si>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</si>
  <si>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</si>
  <si>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</si>
  <si>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</si>
  <si>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</si>
  <si>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</si>
  <si>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</si>
  <si>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</si>
  <si>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</si>
  <si>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</si>
  <si>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</si>
  <si>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</si>
  <si>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</si>
  <si>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</si>
  <si>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</si>
  <si>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</si>
  <si>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</si>
  <si>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</si>
  <si>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</si>
  <si>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</si>
  <si>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</si>
  <si>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</si>
  <si>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</si>
  <si>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</si>
  <si>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</si>
  <si>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</si>
  <si>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</si>
  <si>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</si>
  <si>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</si>
  <si>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</si>
  <si>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</si>
  <si>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</si>
  <si>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</si>
  <si>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</si>
  <si>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</si>
  <si>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</si>
  <si>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</si>
  <si>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</si>
  <si>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</si>
  <si>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</si>
  <si>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</si>
  <si>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</si>
  <si>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</si>
  <si>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</si>
  <si>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</si>
  <si>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</si>
  <si>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</si>
  <si>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</si>
  <si>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</si>
  <si>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</si>
  <si>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</si>
  <si>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</si>
  <si>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</si>
  <si>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</si>
  <si>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3.40-18.69</t>
  </si>
  <si>
    <t>3.40-18.70</t>
  </si>
  <si>
    <t>3.40-18.68</t>
  </si>
  <si>
    <t>3.15-18.67</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</si>
  <si>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</si>
  <si>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</si>
  <si>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</si>
  <si>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</si>
  <si>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</si>
  <si>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</si>
  <si>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</si>
  <si>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</si>
  <si>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</si>
  <si>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</si>
  <si>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</si>
  <si>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</si>
  <si>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</si>
  <si>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</si>
  <si>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</si>
  <si>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</si>
  <si>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</si>
  <si>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</si>
  <si>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</si>
  <si>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</si>
  <si>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</si>
  <si>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</si>
  <si>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</si>
  <si>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</si>
  <si>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</si>
  <si>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</si>
  <si>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</si>
  <si>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</si>
  <si>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</si>
  <si>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</si>
  <si>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</si>
  <si>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</si>
  <si>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</si>
  <si>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</si>
  <si>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</si>
  <si>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</si>
  <si>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</si>
  <si>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</si>
  <si>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</si>
  <si>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</si>
  <si>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</si>
  <si>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</si>
  <si>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</si>
  <si>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</si>
  <si>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</si>
  <si>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</si>
  <si>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</si>
  <si>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</si>
  <si>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</si>
  <si>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</si>
  <si>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</si>
  <si>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</si>
  <si>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</si>
  <si>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</si>
  <si>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</si>
  <si>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</si>
  <si>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</si>
  <si>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</si>
  <si>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</si>
  <si>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</si>
  <si>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</si>
  <si>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</si>
  <si>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</si>
  <si>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</si>
  <si>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</si>
  <si>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</si>
  <si>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</si>
  <si>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</si>
  <si>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</si>
  <si>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</si>
  <si>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</si>
  <si>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</si>
  <si>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</si>
  <si>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</si>
  <si>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</si>
  <si>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</si>
  <si>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</si>
  <si>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</si>
  <si>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</si>
  <si>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</si>
  <si>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</si>
  <si>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</si>
  <si>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</si>
  <si>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</si>
  <si>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</si>
  <si>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</si>
  <si>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</si>
  <si>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</si>
  <si>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</si>
  <si>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</si>
  <si>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</si>
  <si>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</si>
  <si>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</si>
  <si>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</si>
  <si>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</si>
  <si>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</si>
  <si>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</si>
  <si>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</si>
  <si>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</si>
  <si>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</si>
  <si>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</si>
  <si>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</si>
  <si>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</si>
  <si>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</si>
  <si>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</si>
  <si>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</si>
  <si>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</si>
  <si>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</si>
  <si>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</si>
  <si>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</si>
  <si>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</si>
  <si>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</si>
  <si>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</si>
  <si>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</si>
  <si>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</si>
  <si>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</si>
  <si>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</si>
  <si>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</si>
  <si>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</si>
  <si>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</si>
  <si>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</si>
  <si>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</si>
  <si>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</si>
  <si>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</si>
  <si>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</si>
  <si>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</si>
  <si>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</si>
  <si>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</si>
  <si>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</si>
  <si>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</si>
  <si>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</si>
  <si>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</si>
  <si>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</si>
  <si>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</si>
  <si>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</si>
  <si>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</si>
  <si>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</si>
  <si>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</si>
  <si>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</si>
  <si>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</si>
  <si>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</si>
  <si>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</si>
  <si>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</si>
  <si>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</si>
  <si>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</si>
  <si>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</si>
  <si>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</si>
  <si>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</si>
  <si>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</si>
  <si>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</si>
  <si>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</si>
  <si>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</si>
  <si>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</si>
  <si>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</si>
  <si>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</si>
  <si>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</si>
  <si>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</si>
  <si>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</si>
  <si>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</si>
  <si>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</si>
  <si>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</si>
  <si>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</si>
  <si>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</si>
  <si>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</si>
  <si>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</si>
  <si>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</si>
  <si>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</si>
  <si>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</si>
  <si>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</si>
  <si>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</si>
  <si>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</si>
  <si>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</si>
  <si>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7.15-17.40</t>
  </si>
  <si>
    <t>7.00-17.40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</si>
  <si>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</si>
  <si>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</si>
  <si>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</si>
  <si>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</si>
  <si>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</si>
  <si>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</si>
  <si>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</si>
  <si>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</si>
  <si>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</si>
  <si>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</si>
  <si>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</si>
  <si>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</si>
  <si>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</si>
  <si>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</si>
  <si>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</si>
  <si>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</si>
  <si>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</si>
  <si>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</si>
  <si>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</si>
  <si>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</si>
  <si>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</si>
  <si>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</si>
  <si>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</si>
  <si>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</si>
  <si>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</si>
  <si>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</si>
  <si>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</si>
  <si>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</si>
  <si>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</si>
  <si>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</si>
  <si>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</si>
  <si>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</si>
  <si>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</si>
  <si>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</si>
  <si>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</si>
  <si>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</si>
  <si>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</si>
  <si>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</si>
  <si>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</si>
  <si>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</si>
  <si>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</si>
  <si>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</si>
  <si>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</si>
  <si>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7.15-13.00</t>
  </si>
  <si>
    <t>7.40-12.00</t>
  </si>
  <si>
    <t>7.40-11.65</t>
  </si>
  <si>
    <t>7.25-11.90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</si>
  <si>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</si>
  <si>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</si>
  <si>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</si>
  <si>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</si>
  <si>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</si>
  <si>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</si>
  <si>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</si>
  <si>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</si>
  <si>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</si>
  <si>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</si>
  <si>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</si>
  <si>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</si>
  <si>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</si>
  <si>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</si>
  <si>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</si>
  <si>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</si>
  <si>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</si>
  <si>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</si>
  <si>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</si>
  <si>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</si>
  <si>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</si>
  <si>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</si>
  <si>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</si>
  <si>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</si>
  <si>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</si>
  <si>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</si>
  <si>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</si>
  <si>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</si>
  <si>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</si>
  <si>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</si>
  <si>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</si>
  <si>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</si>
  <si>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</si>
  <si>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</si>
  <si>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</si>
  <si>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</si>
  <si>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</si>
  <si>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</si>
  <si>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</si>
  <si>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</si>
  <si>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</si>
  <si>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</si>
  <si>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</si>
  <si>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</si>
  <si>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</si>
  <si>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</si>
  <si>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</si>
  <si>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</si>
  <si>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</si>
  <si>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</si>
  <si>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</si>
  <si>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</si>
  <si>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</si>
  <si>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</si>
  <si>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</si>
  <si>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</si>
  <si>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</si>
  <si>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</si>
  <si>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</si>
  <si>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</si>
  <si>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</si>
  <si>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</si>
  <si>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</si>
  <si>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</si>
  <si>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</si>
  <si>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</si>
  <si>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</si>
  <si>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</si>
  <si>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</si>
  <si>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</si>
  <si>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</si>
  <si>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</si>
  <si>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</si>
  <si>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</si>
  <si>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</si>
  <si>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</si>
  <si>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</si>
  <si>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</si>
  <si>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</si>
  <si>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</si>
  <si>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</si>
  <si>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</si>
  <si>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</si>
  <si>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</si>
  <si>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</si>
  <si>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</si>
  <si>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</si>
  <si>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</si>
  <si>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</si>
  <si>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</si>
  <si>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</si>
  <si>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</si>
  <si>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</si>
  <si>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</si>
  <si>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</si>
  <si>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</si>
  <si>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</si>
  <si>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</si>
  <si>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</si>
  <si>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</si>
  <si>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</si>
  <si>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</si>
  <si>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</si>
  <si>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</si>
  <si>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</si>
  <si>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</si>
  <si>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</si>
  <si>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</si>
  <si>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</si>
  <si>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</si>
  <si>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</si>
  <si>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</si>
  <si>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</si>
  <si>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</si>
  <si>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</si>
  <si>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</si>
  <si>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</si>
  <si>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</si>
  <si>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</si>
  <si>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</si>
  <si>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</si>
  <si>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</si>
  <si>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</si>
  <si>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</si>
  <si>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</si>
  <si>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</si>
  <si>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</si>
  <si>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</si>
  <si>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</si>
  <si>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</si>
  <si>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</si>
  <si>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</si>
  <si>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</si>
  <si>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</si>
  <si>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</si>
  <si>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</si>
  <si>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</si>
  <si>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</si>
  <si>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</si>
  <si>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</si>
  <si>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</si>
  <si>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</si>
  <si>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</si>
  <si>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</si>
  <si>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</si>
  <si>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</si>
  <si>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</si>
  <si>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</si>
  <si>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</si>
  <si>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</si>
  <si>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</si>
  <si>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</si>
  <si>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</si>
  <si>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</si>
  <si>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</si>
  <si>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</si>
  <si>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</si>
  <si>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</si>
  <si>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</si>
  <si>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</si>
  <si>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</si>
  <si>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</si>
  <si>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</si>
  <si>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</si>
  <si>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</si>
  <si>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</si>
  <si>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</si>
  <si>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</si>
  <si>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</si>
  <si>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</si>
  <si>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</si>
  <si>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</si>
  <si>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</si>
  <si>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</si>
  <si>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</si>
  <si>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</si>
  <si>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</si>
  <si>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</si>
  <si>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</si>
  <si>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</si>
  <si>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</si>
  <si>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</si>
  <si>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</si>
  <si>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</si>
  <si>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</si>
  <si>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</si>
  <si>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</si>
  <si>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</si>
  <si>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</si>
  <si>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</si>
  <si>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</si>
  <si>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</si>
  <si>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</si>
  <si>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</si>
  <si>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</si>
  <si>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</si>
  <si>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</si>
  <si>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</si>
  <si>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</si>
  <si>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</si>
  <si>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</si>
  <si>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</si>
  <si>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</si>
  <si>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</si>
  <si>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</si>
  <si>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</si>
  <si>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</si>
  <si>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</si>
  <si>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</si>
  <si>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</si>
  <si>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</si>
  <si>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</si>
  <si>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</si>
  <si>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</si>
  <si>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</si>
  <si>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</si>
  <si>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</si>
  <si>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</si>
  <si>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</si>
  <si>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</si>
  <si>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</si>
  <si>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</si>
  <si>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6.25-18.00</t>
  </si>
  <si>
    <t>6.25-18.50</t>
  </si>
  <si>
    <t>4.50-17.95</t>
  </si>
  <si>
    <t>5.00-18.74</t>
  </si>
  <si>
    <t>5.00-18.50</t>
  </si>
  <si>
    <t>4.85-18.65</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</si>
  <si>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</si>
  <si>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</si>
  <si>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</si>
  <si>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</si>
  <si>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</si>
  <si>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</si>
  <si>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</si>
  <si>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</si>
  <si>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</si>
  <si>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</si>
  <si>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</si>
  <si>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</si>
  <si>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</si>
  <si>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</si>
  <si>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</si>
  <si>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</si>
  <si>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</si>
  <si>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</si>
  <si>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</si>
  <si>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</si>
  <si>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</si>
  <si>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</si>
  <si>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</si>
  <si>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</si>
  <si>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</si>
  <si>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</si>
  <si>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</si>
  <si>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</si>
  <si>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</si>
  <si>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</si>
  <si>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</si>
  <si>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</si>
  <si>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</si>
  <si>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</si>
  <si>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</si>
  <si>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</si>
  <si>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</si>
  <si>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</si>
  <si>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</si>
  <si>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</si>
  <si>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</si>
  <si>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</si>
  <si>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</si>
  <si>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</si>
  <si>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</si>
  <si>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</si>
  <si>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</si>
  <si>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</si>
  <si>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</si>
  <si>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</si>
  <si>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</si>
  <si>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</si>
  <si>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</si>
  <si>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</si>
  <si>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</si>
  <si>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</si>
  <si>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</si>
  <si>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</si>
  <si>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</si>
  <si>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</si>
  <si>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</si>
  <si>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</si>
  <si>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</si>
  <si>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</si>
  <si>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</si>
  <si>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</si>
  <si>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</si>
  <si>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</si>
  <si>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</si>
  <si>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</si>
  <si>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</si>
  <si>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</si>
  <si>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</si>
  <si>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</si>
  <si>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</si>
  <si>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</si>
  <si>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</si>
  <si>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</si>
  <si>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</si>
  <si>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</si>
  <si>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</si>
  <si>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</si>
  <si>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</si>
  <si>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</si>
  <si>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</si>
  <si>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</si>
  <si>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</si>
  <si>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</si>
  <si>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</si>
  <si>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</si>
  <si>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</si>
  <si>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</si>
  <si>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</si>
  <si>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</si>
  <si>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</si>
  <si>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</si>
  <si>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</si>
  <si>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</si>
  <si>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</si>
  <si>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</si>
  <si>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</si>
  <si>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</si>
  <si>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</si>
  <si>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</si>
  <si>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</si>
  <si>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</si>
  <si>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</si>
  <si>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</si>
  <si>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</si>
  <si>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</si>
  <si>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</si>
  <si>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</si>
  <si>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</si>
  <si>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</si>
  <si>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</si>
  <si>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</si>
  <si>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</si>
  <si>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</si>
  <si>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</si>
  <si>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</si>
  <si>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</si>
  <si>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</si>
  <si>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</si>
  <si>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</si>
  <si>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</si>
  <si>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</si>
  <si>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</si>
  <si>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</si>
  <si>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</si>
  <si>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</si>
  <si>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</si>
  <si>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</si>
  <si>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</si>
  <si>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</si>
  <si>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</si>
  <si>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</si>
  <si>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</si>
  <si>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</si>
  <si>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</si>
  <si>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</si>
  <si>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</si>
  <si>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</si>
  <si>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</si>
  <si>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</si>
  <si>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</si>
  <si>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</si>
  <si>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</si>
  <si>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</si>
  <si>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</si>
  <si>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</si>
  <si>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</si>
  <si>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</si>
  <si>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</si>
  <si>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</si>
  <si>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</si>
  <si>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</si>
  <si>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</si>
  <si>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</si>
  <si>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</si>
  <si>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</si>
  <si>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</si>
  <si>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</si>
  <si>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</si>
  <si>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</si>
  <si>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</si>
  <si>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</si>
  <si>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</si>
  <si>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</si>
  <si>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</si>
  <si>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</si>
  <si>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</si>
  <si>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</si>
  <si>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</si>
  <si>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</si>
  <si>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</si>
  <si>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</si>
  <si>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</si>
  <si>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</si>
  <si>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</si>
  <si>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</si>
  <si>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</si>
  <si>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</si>
  <si>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</si>
  <si>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</si>
  <si>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</si>
  <si>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</si>
  <si>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</si>
  <si>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</si>
  <si>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</si>
  <si>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</si>
  <si>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</si>
  <si>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</si>
  <si>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</si>
  <si>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</si>
  <si>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</si>
  <si>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</si>
  <si>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</si>
  <si>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</si>
  <si>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</si>
  <si>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</si>
  <si>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</si>
  <si>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</si>
  <si>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</si>
  <si>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</si>
  <si>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</si>
  <si>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</si>
  <si>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</si>
  <si>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</si>
  <si>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</si>
  <si>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</si>
  <si>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</si>
  <si>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</si>
  <si>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</si>
  <si>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</si>
  <si>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</si>
  <si>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</si>
  <si>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</si>
  <si>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</si>
  <si>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</si>
  <si>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</si>
  <si>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</si>
  <si>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</si>
  <si>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</si>
  <si>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</si>
  <si>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</si>
  <si>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</si>
  <si>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</si>
  <si>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</si>
  <si>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</si>
  <si>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</si>
  <si>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</si>
  <si>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</si>
  <si>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</si>
  <si>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</si>
  <si>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</si>
  <si>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</si>
  <si>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</si>
  <si>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</si>
  <si>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</si>
  <si>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</si>
  <si>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</si>
  <si>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</si>
  <si>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</si>
  <si>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</si>
  <si>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</si>
  <si>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</si>
  <si>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</si>
  <si>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</si>
  <si>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</si>
  <si>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</si>
  <si>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</si>
  <si>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</si>
  <si>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</si>
  <si>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</si>
  <si>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</si>
  <si>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</si>
  <si>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</si>
  <si>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</si>
  <si>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</si>
  <si>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</si>
  <si>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</si>
  <si>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</si>
  <si>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</si>
  <si>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</si>
  <si>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</si>
  <si>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</si>
  <si>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</si>
  <si>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</si>
  <si>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</si>
  <si>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</si>
  <si>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</si>
  <si>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</si>
  <si>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</si>
  <si>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</si>
  <si>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</si>
  <si>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</si>
  <si>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</si>
  <si>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</si>
  <si>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</si>
  <si>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</si>
  <si>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</si>
  <si>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</si>
  <si>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</si>
  <si>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</si>
  <si>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</si>
  <si>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</si>
  <si>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</si>
  <si>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</si>
  <si>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</si>
  <si>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</si>
  <si>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</si>
  <si>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</si>
  <si>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</si>
  <si>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</si>
  <si>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</si>
  <si>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</si>
  <si>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</si>
  <si>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</si>
  <si>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1.75-6.95</t>
  </si>
  <si>
    <t>2.00-6.95</t>
  </si>
  <si>
    <t>1.50- 6.95</t>
  </si>
  <si>
    <t>2.00-6.80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</si>
  <si>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</si>
  <si>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</si>
  <si>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</si>
  <si>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</si>
  <si>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</si>
  <si>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</si>
  <si>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</si>
  <si>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</si>
  <si>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</si>
  <si>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</si>
  <si>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</si>
  <si>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</si>
  <si>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</si>
  <si>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</si>
  <si>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</si>
  <si>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</si>
  <si>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</si>
  <si>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</si>
  <si>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</si>
  <si>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</si>
  <si>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</si>
  <si>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</si>
  <si>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</si>
  <si>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</si>
  <si>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</si>
  <si>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</si>
  <si>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</si>
  <si>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</si>
  <si>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</si>
  <si>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</si>
  <si>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</si>
  <si>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</si>
  <si>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</si>
  <si>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</si>
  <si>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</si>
  <si>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</si>
  <si>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1.90-8.60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</si>
  <si>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</si>
  <si>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</si>
  <si>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</si>
  <si>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</si>
  <si>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</si>
  <si>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</si>
  <si>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</si>
  <si>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</si>
  <si>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</si>
  <si>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</si>
  <si>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</si>
  <si>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</si>
  <si>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</si>
  <si>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</si>
  <si>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</si>
  <si>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</si>
  <si>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</si>
  <si>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</si>
  <si>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</si>
  <si>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</si>
  <si>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</si>
  <si>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</si>
  <si>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</si>
  <si>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</si>
  <si>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</si>
  <si>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</si>
  <si>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</si>
  <si>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</si>
  <si>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</si>
  <si>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</si>
  <si>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</si>
  <si>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</si>
  <si>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</si>
  <si>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</si>
  <si>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</si>
  <si>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</si>
  <si>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</si>
  <si>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</si>
  <si>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</si>
  <si>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</si>
  <si>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</si>
  <si>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</si>
  <si>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</si>
  <si>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</si>
  <si>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</si>
  <si>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</si>
  <si>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</si>
  <si>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</si>
  <si>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</si>
  <si>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</si>
  <si>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</si>
  <si>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</si>
  <si>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</si>
  <si>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</si>
  <si>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</si>
  <si>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</si>
  <si>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</si>
  <si>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</si>
  <si>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</si>
  <si>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</si>
  <si>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</si>
  <si>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</si>
  <si>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</si>
  <si>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</si>
  <si>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</si>
  <si>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2.55-6.50</t>
  </si>
  <si>
    <t>2.45-6.50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</si>
  <si>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</si>
  <si>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</si>
  <si>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</si>
  <si>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</si>
  <si>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</si>
  <si>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</si>
  <si>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</si>
  <si>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</si>
  <si>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</si>
  <si>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</si>
  <si>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</si>
  <si>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</si>
  <si>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</si>
  <si>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</si>
  <si>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</si>
  <si>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</si>
  <si>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</si>
  <si>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</si>
  <si>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</si>
  <si>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</si>
  <si>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</si>
  <si>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</si>
  <si>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</si>
  <si>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</si>
  <si>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</si>
  <si>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</si>
  <si>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</si>
  <si>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</si>
  <si>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</si>
  <si>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</si>
  <si>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</si>
  <si>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</si>
  <si>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</si>
  <si>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</si>
  <si>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</si>
  <si>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</si>
  <si>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</si>
  <si>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</si>
  <si>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</si>
  <si>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</si>
  <si>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</si>
  <si>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</si>
  <si>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</si>
  <si>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</si>
  <si>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</si>
  <si>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</si>
  <si>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</si>
  <si>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</si>
  <si>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</si>
  <si>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</si>
  <si>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</si>
  <si>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</si>
  <si>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</si>
  <si>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</si>
  <si>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</si>
  <si>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</si>
  <si>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</si>
  <si>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</si>
  <si>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</si>
  <si>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</si>
  <si>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</si>
  <si>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</si>
  <si>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</si>
  <si>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</si>
  <si>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</si>
  <si>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</si>
  <si>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</si>
  <si>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</si>
  <si>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</si>
  <si>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</si>
  <si>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</si>
  <si>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</si>
  <si>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</si>
  <si>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</si>
  <si>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</si>
  <si>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</si>
  <si>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</si>
  <si>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</si>
  <si>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</si>
  <si>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</si>
  <si>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</si>
  <si>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</si>
  <si>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</si>
  <si>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</si>
  <si>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</si>
  <si>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</si>
  <si>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</si>
  <si>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</si>
  <si>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</si>
  <si>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</si>
  <si>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</si>
  <si>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</si>
  <si>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</si>
  <si>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</si>
  <si>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</si>
  <si>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</si>
  <si>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</si>
  <si>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</si>
  <si>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</si>
  <si>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</si>
  <si>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</si>
  <si>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</si>
  <si>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</si>
  <si>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</si>
  <si>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</si>
  <si>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</si>
  <si>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</si>
  <si>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</si>
  <si>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</si>
  <si>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</si>
  <si>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</si>
  <si>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</si>
  <si>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</si>
  <si>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</si>
  <si>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</si>
  <si>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</si>
  <si>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</si>
  <si>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</si>
  <si>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</si>
  <si>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</si>
  <si>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</si>
  <si>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</si>
  <si>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</si>
  <si>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</si>
  <si>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</si>
  <si>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</si>
  <si>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</si>
  <si>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</si>
  <si>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</si>
  <si>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</si>
  <si>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</si>
  <si>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</si>
  <si>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</si>
  <si>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</si>
  <si>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</si>
  <si>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</si>
  <si>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</si>
  <si>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</si>
  <si>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</si>
  <si>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</si>
  <si>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</si>
  <si>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</si>
  <si>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</si>
  <si>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</si>
  <si>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</si>
  <si>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</si>
  <si>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</si>
  <si>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</si>
  <si>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</si>
  <si>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 The Lombard Rate has been abolished on 18 December 2006.</t>
  </si>
  <si>
    <r>
      <t>1</t>
    </r>
    <r>
      <rPr>
        <i/>
        <sz val="11"/>
        <rFont val="Times New Roman"/>
        <family val="1"/>
      </rPr>
      <t xml:space="preserve"> The key Repo Rate is used as the key policy rate of the Bank of Mauritius. </t>
    </r>
  </si>
  <si>
    <t xml:space="preserve">Table 31 : Other Interest Rates: June 2011 - June 2014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</si>
  <si>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</si>
  <si>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</si>
  <si>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</si>
  <si>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</si>
  <si>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</si>
  <si>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</si>
  <si>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</si>
  <si>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</si>
  <si>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</si>
  <si>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</si>
  <si>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</si>
  <si>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</si>
  <si>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</si>
  <si>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</si>
  <si>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</si>
  <si>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</si>
  <si>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</si>
  <si>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</si>
  <si>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</si>
  <si>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</si>
  <si>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</si>
  <si>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</si>
  <si>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</si>
  <si>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</si>
  <si>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</si>
  <si>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</si>
  <si>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</si>
  <si>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</si>
  <si>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</si>
  <si>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</si>
  <si>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</si>
  <si>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</si>
  <si>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</si>
  <si>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</si>
  <si>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</si>
  <si>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</si>
  <si>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</si>
  <si>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</si>
  <si>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</si>
  <si>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</si>
  <si>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</si>
  <si>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</si>
  <si>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</si>
  <si>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</si>
  <si>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</si>
  <si>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</si>
  <si>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</si>
  <si>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</si>
  <si>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</si>
  <si>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</si>
  <si>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</si>
  <si>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</si>
  <si>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</si>
  <si>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</si>
  <si>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</si>
  <si>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</si>
  <si>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</si>
  <si>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</si>
  <si>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</si>
  <si>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</si>
  <si>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</si>
  <si>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</si>
  <si>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</si>
  <si>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</si>
  <si>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</si>
  <si>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</si>
  <si>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</si>
  <si>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</si>
  <si>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</si>
  <si>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</si>
  <si>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</si>
  <si>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</si>
  <si>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</si>
  <si>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</si>
  <si>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</si>
  <si>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</si>
  <si>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</si>
  <si>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1.15-12.00</t>
  </si>
  <si>
    <t>2.00-21.18</t>
  </si>
  <si>
    <t>1.15-12.25</t>
  </si>
  <si>
    <t>1.00-12.00</t>
  </si>
  <si>
    <t>2.00-19.68</t>
  </si>
  <si>
    <t>`</t>
  </si>
  <si>
    <r>
      <t>Table 32: Maturity Pattern of  Banks' Foreign Currency  Deposits</t>
    </r>
    <r>
      <rPr>
        <b/>
        <vertAlign val="superscript"/>
        <sz val="12"/>
        <rFont val="Times New Roman"/>
        <family val="1"/>
      </rPr>
      <t>1</t>
    </r>
    <r>
      <rPr>
        <b/>
        <sz val="12"/>
        <rFont val="Times New Roman"/>
        <family val="1"/>
      </rPr>
      <t>: March 2014</t>
    </r>
  </si>
  <si>
    <t>(Rupees)</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</si>
  <si>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</si>
  <si>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</si>
  <si>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</si>
  <si>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</si>
  <si>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</si>
  <si>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</si>
  <si>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</si>
  <si>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</si>
  <si>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</si>
  <si>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</si>
  <si>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</si>
  <si>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</si>
  <si>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</si>
  <si>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</si>
  <si>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</si>
  <si>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</si>
  <si>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</si>
  <si>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</si>
  <si>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</si>
  <si>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</si>
  <si>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</si>
  <si>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</si>
  <si>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</si>
  <si>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</si>
  <si>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</si>
  <si>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33: Sectorwise Distribution of Credit to Non Residents: March 2014</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</si>
  <si>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</si>
  <si>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</si>
  <si>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</si>
  <si>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</si>
  <si>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</si>
  <si>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</si>
  <si>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</si>
  <si>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 Off-Site  Division, Supervision Department.</t>
  </si>
  <si>
    <t>Table 34a: Transactions on the Stock Exchange of Mauritius: July 2013 - July 2014</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</si>
  <si>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</si>
  <si>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</si>
  <si>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</si>
  <si>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</si>
  <si>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</si>
  <si>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</si>
  <si>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</si>
  <si>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</si>
  <si>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</si>
  <si>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</si>
  <si>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</si>
  <si>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</si>
  <si>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</si>
  <si>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</si>
  <si>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</si>
  <si>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July 2013 - July 2014</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</si>
  <si>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</si>
  <si>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</si>
  <si>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</si>
  <si>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</si>
  <si>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</si>
  <si>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</si>
  <si>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</si>
  <si>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</si>
  <si>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</si>
  <si>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</si>
  <si>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</si>
  <si>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</si>
  <si>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</si>
  <si>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</si>
  <si>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</si>
  <si>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</si>
  <si>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</si>
  <si>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</si>
  <si>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</si>
  <si>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</si>
  <si>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</si>
  <si>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</si>
  <si>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</si>
  <si>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</si>
  <si>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</si>
  <si>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</si>
  <si>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</si>
  <si>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</si>
  <si>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</si>
  <si>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</si>
  <si>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</si>
  <si>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</si>
  <si>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</si>
  <si>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2007 - July 2014</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</si>
  <si>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</si>
  <si>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</si>
  <si>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</si>
  <si>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</si>
  <si>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</si>
  <si>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</si>
  <si>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</si>
  <si>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</si>
  <si>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</si>
  <si>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</si>
  <si>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</si>
  <si>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</si>
  <si>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</si>
  <si>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</si>
  <si>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</si>
  <si>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</si>
  <si>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</si>
  <si>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</si>
  <si>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</si>
  <si>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</si>
  <si>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</si>
  <si>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+3.1</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</si>
  <si>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</si>
  <si>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</si>
  <si>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</si>
  <si>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</si>
  <si>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</si>
  <si>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</si>
  <si>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</si>
  <si>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</si>
  <si>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+3.9</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</si>
  <si>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</si>
  <si>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</si>
  <si>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July 2014.</t>
    </r>
  </si>
  <si>
    <r>
      <rPr>
        <i/>
        <vertAlign val="superscript"/>
        <sz val="9"/>
        <rFont val="Arial"/>
        <family val="2"/>
      </rPr>
      <t xml:space="preserve">3 </t>
    </r>
    <r>
      <rPr>
        <i/>
        <sz val="9"/>
        <rFont val="Arial"/>
        <family val="2"/>
      </rPr>
      <t>Headline Inflation Rate for the twelve-month period ended July 2014.</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</si>
  <si>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</si>
  <si>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</si>
  <si>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</si>
  <si>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</si>
  <si>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</si>
  <si>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July 2014</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</si>
  <si>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</si>
  <si>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</si>
  <si>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</si>
  <si>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</si>
  <si>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</si>
  <si>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</si>
  <si>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</si>
  <si>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</si>
  <si>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</si>
  <si>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</si>
  <si>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</si>
  <si>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 July 2014</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</si>
  <si>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</si>
  <si>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</si>
  <si>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</si>
  <si>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</si>
  <si>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</si>
  <si>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</si>
  <si>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</si>
  <si>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</si>
  <si>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</si>
  <si>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</si>
  <si>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2012 - July 2014</t>
  </si>
  <si>
    <t>Monthly Average</t>
  </si>
  <si>
    <t>ICE Brent Crude (US$ per barrel)</t>
  </si>
  <si>
    <t>NYMEX Oil (US$ per barrel)</t>
  </si>
  <si>
    <t>COMEX Gold (US$/Oz)</t>
  </si>
  <si>
    <t>2012-13</t>
  </si>
  <si>
    <t>2013-14</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</si>
  <si>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</si>
  <si>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</si>
  <si>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</si>
  <si>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</si>
  <si>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July 2013 - July 2014</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</si>
  <si>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</si>
  <si>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</si>
  <si>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</si>
  <si>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</si>
  <si>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</si>
  <si>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</si>
  <si>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</si>
  <si>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</si>
  <si>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</si>
  <si>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</si>
  <si>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</si>
  <si>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July 2013 - July 2014</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</si>
  <si>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</si>
  <si>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</si>
  <si>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</si>
  <si>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</si>
  <si>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</si>
  <si>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</si>
  <si>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</si>
  <si>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</si>
  <si>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</si>
  <si>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</si>
  <si>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</si>
  <si>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</si>
  <si>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</si>
  <si>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</si>
  <si>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</si>
  <si>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</si>
  <si>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</si>
  <si>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</si>
  <si>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</si>
  <si>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</si>
  <si>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</si>
  <si>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</si>
  <si>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</si>
  <si>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</si>
  <si>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</si>
  <si>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</si>
  <si>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</si>
  <si>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</si>
  <si>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</si>
  <si>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</si>
  <si>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</si>
  <si>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</si>
  <si>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</si>
  <si>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</si>
  <si>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</si>
  <si>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</si>
  <si>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</si>
  <si>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</si>
  <si>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r>
      <t xml:space="preserve">Jun-14 </t>
    </r>
    <r>
      <rPr>
        <b/>
        <vertAlign val="superscript"/>
        <sz val="10"/>
        <rFont val="Arial"/>
        <family val="2"/>
      </rPr>
      <t>2</t>
    </r>
  </si>
  <si>
    <r>
      <t>Jul-14</t>
    </r>
    <r>
      <rPr>
        <b/>
        <vertAlign val="superscript"/>
        <sz val="10"/>
        <rFont val="Arial"/>
        <family val="2"/>
      </rPr>
      <t xml:space="preserve"> 3</t>
    </r>
  </si>
  <si>
    <r>
      <rPr>
        <i/>
        <vertAlign val="superscript"/>
        <sz val="10"/>
        <rFont val="Arial"/>
        <family val="2"/>
      </rPr>
      <t xml:space="preserve">1 </t>
    </r>
    <r>
      <rPr>
        <i/>
        <sz val="10"/>
        <rFont val="Arial"/>
        <family val="2"/>
      </rPr>
      <t>Valued at end-of-period exchange rate.</t>
    </r>
  </si>
  <si>
    <r>
      <t xml:space="preserve">2  </t>
    </r>
    <r>
      <rPr>
        <i/>
        <sz val="10"/>
        <rFont val="Arial"/>
        <family val="2"/>
      </rPr>
      <t>Revised.</t>
    </r>
  </si>
  <si>
    <r>
      <t xml:space="preserve">3 </t>
    </r>
    <r>
      <rPr>
        <i/>
        <sz val="10"/>
        <rFont val="Arial"/>
        <family val="2"/>
      </rPr>
      <t>Provisional.</t>
    </r>
  </si>
  <si>
    <t>Table 37: Transactions on the Interbank Foreign Exchange Market:</t>
  </si>
  <si>
    <t>July 2013 - July 2014</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</si>
  <si>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</si>
  <si>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</si>
  <si>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</si>
  <si>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</si>
  <si>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</si>
  <si>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</si>
  <si>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</si>
  <si>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</si>
  <si>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</si>
  <si>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</si>
  <si>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</si>
  <si>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</si>
  <si>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</si>
  <si>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</si>
  <si>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</si>
  <si>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01 Jul-04 Jul</t>
  </si>
  <si>
    <t>30.3550-30.3825</t>
  </si>
  <si>
    <t>07 Jul-11 Jul</t>
  </si>
  <si>
    <t>30.3825-30.4025</t>
  </si>
  <si>
    <t>14 Jul-18 Jul</t>
  </si>
  <si>
    <t>30.3825-30.4625</t>
  </si>
  <si>
    <t>21 Jul-25 Jul</t>
  </si>
  <si>
    <t>30.4700-30.5425</t>
  </si>
  <si>
    <t>28 Jul-31 Jul</t>
  </si>
  <si>
    <t>30.5400-30.5825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</si>
  <si>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</si>
  <si>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</si>
  <si>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</si>
  <si>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</si>
  <si>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</si>
  <si>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</si>
  <si>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</si>
  <si>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</si>
  <si>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</si>
  <si>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</si>
  <si>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</si>
  <si>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</si>
  <si>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</si>
  <si>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</si>
  <si>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</si>
  <si>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</si>
  <si>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</si>
  <si>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</si>
  <si>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</si>
  <si>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</si>
  <si>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</si>
  <si>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</si>
  <si>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</si>
  <si>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</si>
  <si>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</si>
  <si>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</si>
  <si>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</si>
  <si>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</si>
  <si>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</si>
  <si>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</si>
  <si>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</si>
  <si>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</si>
  <si>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</si>
  <si>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</si>
  <si>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</si>
  <si>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</si>
  <si>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</si>
  <si>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</si>
  <si>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</si>
  <si>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</si>
  <si>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</si>
  <si>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</si>
  <si>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</si>
  <si>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</si>
  <si>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</si>
  <si>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</si>
  <si>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</si>
  <si>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</si>
  <si>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</si>
  <si>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</si>
  <si>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</si>
  <si>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</si>
  <si>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</si>
  <si>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</si>
  <si>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</si>
  <si>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</si>
  <si>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</si>
  <si>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</si>
  <si>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</si>
  <si>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</si>
  <si>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</si>
  <si>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</si>
  <si>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</si>
  <si>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</si>
  <si>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</si>
  <si>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</si>
  <si>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</si>
  <si>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</si>
  <si>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</si>
  <si>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</si>
  <si>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</si>
  <si>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</si>
  <si>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</si>
  <si>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</si>
  <si>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</si>
  <si>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</si>
  <si>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</si>
  <si>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</si>
  <si>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</si>
  <si>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</si>
  <si>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</si>
  <si>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</si>
  <si>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</si>
  <si>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</si>
  <si>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</si>
  <si>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</si>
  <si>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</si>
  <si>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</si>
  <si>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</si>
  <si>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</si>
  <si>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</si>
  <si>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</si>
  <si>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</si>
  <si>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</si>
  <si>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</si>
  <si>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</si>
  <si>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</si>
  <si>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</si>
  <si>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</si>
  <si>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</si>
  <si>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</si>
  <si>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</si>
  <si>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</si>
  <si>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</si>
  <si>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</si>
  <si>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</si>
  <si>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</si>
  <si>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</si>
  <si>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</si>
  <si>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</si>
  <si>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</si>
  <si>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</si>
  <si>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</si>
  <si>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</si>
  <si>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</si>
  <si>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</si>
  <si>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</si>
  <si>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</si>
  <si>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</si>
  <si>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</si>
  <si>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</si>
  <si>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</si>
  <si>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</si>
  <si>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</si>
  <si>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</si>
  <si>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</si>
  <si>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</si>
  <si>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</si>
  <si>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</si>
  <si>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</si>
  <si>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</si>
  <si>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</si>
  <si>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</si>
  <si>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</si>
  <si>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</si>
  <si>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</si>
  <si>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</si>
  <si>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</si>
  <si>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</si>
  <si>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</si>
  <si>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</si>
  <si>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</si>
  <si>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</si>
  <si>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</si>
  <si>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</si>
  <si>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</si>
  <si>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</si>
  <si>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</si>
  <si>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</si>
  <si>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</si>
  <si>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</si>
  <si>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</si>
  <si>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</si>
  <si>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</si>
  <si>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</si>
  <si>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</si>
  <si>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</si>
  <si>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</si>
  <si>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</si>
  <si>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</si>
  <si>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</si>
  <si>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</si>
  <si>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</si>
  <si>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</si>
  <si>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</si>
  <si>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</si>
  <si>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</si>
  <si>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</si>
  <si>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</si>
  <si>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</si>
  <si>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</si>
  <si>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</si>
  <si>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</si>
  <si>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</si>
  <si>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</si>
  <si>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</si>
  <si>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</si>
  <si>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</si>
  <si>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</si>
  <si>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</si>
  <si>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</si>
  <si>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</si>
  <si>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</si>
  <si>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</si>
  <si>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</si>
  <si>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</si>
  <si>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</si>
  <si>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</si>
  <si>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</si>
  <si>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</si>
  <si>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r>
      <t>1</t>
    </r>
    <r>
      <rPr>
        <i/>
        <sz val="10"/>
        <rFont val="Times New Roman"/>
        <family val="1"/>
      </rPr>
      <t xml:space="preserve"> 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</si>
  <si>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</si>
  <si>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</si>
  <si>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</si>
  <si>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</si>
  <si>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</si>
  <si>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</si>
  <si>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</si>
  <si>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</si>
  <si>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</si>
  <si>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</si>
  <si>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</si>
  <si>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</si>
  <si>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</si>
  <si>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</si>
  <si>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</si>
  <si>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</si>
  <si>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</si>
  <si>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</si>
  <si>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</si>
  <si>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</si>
  <si>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</si>
  <si>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</si>
  <si>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</si>
  <si>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</si>
  <si>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</si>
  <si>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</si>
  <si>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</si>
  <si>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</si>
  <si>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</si>
  <si>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</si>
  <si>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</si>
  <si>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</si>
  <si>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</si>
  <si>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</si>
  <si>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</si>
  <si>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</si>
  <si>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</si>
  <si>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</si>
  <si>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</si>
  <si>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</si>
  <si>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</si>
  <si>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</si>
  <si>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</si>
  <si>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</si>
  <si>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</si>
  <si>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</si>
  <si>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</si>
  <si>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</si>
  <si>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</si>
  <si>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</si>
  <si>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</si>
  <si>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</si>
  <si>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</si>
  <si>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</si>
  <si>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</si>
  <si>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</si>
  <si>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</si>
  <si>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</si>
  <si>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</si>
  <si>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</si>
  <si>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</si>
  <si>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</si>
  <si>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</si>
  <si>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</si>
  <si>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</si>
  <si>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</si>
  <si>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</si>
  <si>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</si>
  <si>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</si>
  <si>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</si>
  <si>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</si>
  <si>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</si>
  <si>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</si>
  <si>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</si>
  <si>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</si>
  <si>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</si>
  <si>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</si>
  <si>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</si>
  <si>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</si>
  <si>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</si>
  <si>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</si>
  <si>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</si>
  <si>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</si>
  <si>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</si>
  <si>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</si>
  <si>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</si>
  <si>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</si>
  <si>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</si>
  <si>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</si>
  <si>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</si>
  <si>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</si>
  <si>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</si>
  <si>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</si>
  <si>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</si>
  <si>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</si>
  <si>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</si>
  <si>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</si>
  <si>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</si>
  <si>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</si>
  <si>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</si>
  <si>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</si>
  <si>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</si>
  <si>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</si>
  <si>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</si>
  <si>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</si>
  <si>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</si>
  <si>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</si>
  <si>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</si>
  <si>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</si>
  <si>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</si>
  <si>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</si>
  <si>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</si>
  <si>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</si>
  <si>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</si>
  <si>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</si>
  <si>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</si>
  <si>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</si>
  <si>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</si>
  <si>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</si>
  <si>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</si>
  <si>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</si>
  <si>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</si>
  <si>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</si>
  <si>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</si>
  <si>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</si>
  <si>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</si>
  <si>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</si>
  <si>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</si>
  <si>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</si>
  <si>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30.78-30.99</t>
  </si>
  <si>
    <t>30.49-30.84</t>
  </si>
  <si>
    <t>40.80-41.03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</si>
  <si>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</si>
  <si>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</si>
  <si>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</si>
  <si>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</si>
  <si>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</si>
  <si>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</si>
  <si>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</si>
  <si>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</si>
  <si>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</si>
  <si>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</si>
  <si>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</si>
  <si>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</si>
  <si>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</si>
  <si>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</si>
  <si>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</si>
  <si>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</si>
  <si>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</si>
  <si>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</si>
  <si>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</si>
  <si>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</si>
  <si>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</si>
  <si>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</si>
  <si>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</si>
  <si>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</si>
  <si>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</si>
  <si>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</si>
  <si>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</si>
  <si>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</si>
  <si>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</si>
  <si>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</si>
  <si>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</si>
  <si>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</si>
  <si>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r>
      <rPr>
        <i/>
        <vertAlign val="superscript"/>
        <sz val="11"/>
        <rFont val="Times New Roman"/>
        <family val="1"/>
      </rPr>
      <t>1</t>
    </r>
    <r>
      <rPr>
        <i/>
        <sz val="11"/>
        <rFont val="Times New Roman"/>
        <family val="1"/>
      </rPr>
      <t xml:space="preserve"> includes Government transactions </t>
    </r>
  </si>
  <si>
    <r>
      <t>Table 39: Weighted Average Dealt Selling Rates of the Rupee</t>
    </r>
    <r>
      <rPr>
        <b/>
        <vertAlign val="superscript"/>
        <sz val="14"/>
        <rFont val="Times New Roman"/>
        <family val="1"/>
      </rPr>
      <t>1</t>
    </r>
    <r>
      <rPr>
        <b/>
        <sz val="14"/>
        <rFont val="Times New Roman"/>
        <family val="1"/>
      </rPr>
      <t>:</t>
    </r>
  </si>
  <si>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</si>
  <si>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</si>
  <si>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</si>
  <si>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</si>
  <si>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</si>
  <si>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</si>
  <si>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forex dealers and the Bank of Mauritius.</t>
  </si>
  <si>
    <t>Table 40: Exchange Rate of the Rupee (End of Period): July 2013 - July 2014</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</si>
  <si>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</si>
  <si>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</si>
  <si>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</si>
  <si>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</si>
  <si>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</si>
  <si>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</si>
  <si>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</si>
  <si>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</si>
  <si>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</si>
  <si>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</si>
  <si>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</si>
  <si>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</si>
  <si>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</si>
  <si>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</si>
  <si>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July 2013 - July 2014</t>
  </si>
  <si>
    <t xml:space="preserve">Table 42: Exchange Rate of the Rupee vis-à-vis Major Trading Partner Currencies: </t>
  </si>
  <si>
    <t xml:space="preserve">               July 2013 - July 2014</t>
  </si>
  <si>
    <t>Average for</t>
  </si>
  <si>
    <t>Appreciation/</t>
  </si>
  <si>
    <t>12 Months</t>
  </si>
  <si>
    <t>(Depreciation)</t>
  </si>
  <si>
    <t>ended July 2013</t>
  </si>
  <si>
    <t>ended July 2014</t>
  </si>
  <si>
    <t>of Rupee</t>
  </si>
  <si>
    <t>between [1] &amp; [2]</t>
  </si>
  <si>
    <t>[1]</t>
  </si>
  <si>
    <t>[2]</t>
  </si>
  <si>
    <t>Per Cent</t>
  </si>
  <si>
    <t>Hong Kong dollar</t>
  </si>
  <si>
    <t>Notes: (i)   [1] is calculated on the basis of the daily average exchange rates for the period August 2012 to July 2013.</t>
  </si>
  <si>
    <t xml:space="preserve">                   [2] is calculated on the basis of the daily average exchange rates for the period August 2013 to July 2014.</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</si>
  <si>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</si>
  <si>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</si>
  <si>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</si>
  <si>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</si>
  <si>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July 2014</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</si>
  <si>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</si>
  <si>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</si>
  <si>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</si>
  <si>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</si>
  <si>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</si>
  <si>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</si>
  <si>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</si>
  <si>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</si>
  <si>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</si>
  <si>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</si>
  <si>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June and July 2014</t>
  </si>
  <si>
    <t>Low</t>
  </si>
  <si>
    <t>High</t>
  </si>
  <si>
    <t>USD / YEN</t>
  </si>
  <si>
    <t>102.76/78</t>
  </si>
  <si>
    <t>101.19/21</t>
  </si>
  <si>
    <t>101.67/69</t>
  </si>
  <si>
    <t>102.04/06</t>
  </si>
  <si>
    <t>EUR / USD</t>
  </si>
  <si>
    <t>1.3395/97</t>
  </si>
  <si>
    <t>1.3683/85</t>
  </si>
  <si>
    <t>1.3553/55</t>
  </si>
  <si>
    <t>1.3597/99</t>
  </si>
  <si>
    <t>GBP / USD</t>
  </si>
  <si>
    <t>1.6922/26</t>
  </si>
  <si>
    <t>1.7173/75</t>
  </si>
  <si>
    <t>1.7088/92</t>
  </si>
  <si>
    <t>1.6900/04</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</si>
  <si>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</si>
  <si>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2012 - July 2014</t>
    </r>
  </si>
  <si>
    <t>EUR/USD</t>
  </si>
  <si>
    <t>GBP/USD</t>
  </si>
  <si>
    <t>USD/JPY</t>
  </si>
  <si>
    <t>1.2903/06</t>
  </si>
  <si>
    <t>1.3287/89</t>
  </si>
  <si>
    <t>1.3621/23</t>
  </si>
  <si>
    <t>1.5509/12</t>
  </si>
  <si>
    <t>1.5954/57</t>
  </si>
  <si>
    <t>1.6471/74</t>
  </si>
  <si>
    <t>76.91/93</t>
  </si>
  <si>
    <t>89.05/07</t>
  </si>
  <si>
    <t>103.94/97</t>
  </si>
  <si>
    <t>1.3244/47</t>
  </si>
  <si>
    <t>1.3347/49</t>
  </si>
  <si>
    <t>1.3659/61</t>
  </si>
  <si>
    <t>1.5795/99</t>
  </si>
  <si>
    <t>1.5478/81</t>
  </si>
  <si>
    <t>1.6561/65</t>
  </si>
  <si>
    <t>78.58/61</t>
  </si>
  <si>
    <t>93.11/14</t>
  </si>
  <si>
    <t>102.10/12</t>
  </si>
  <si>
    <t>1.3221/23</t>
  </si>
  <si>
    <t>1.2960/63</t>
  </si>
  <si>
    <t>1.3827/29</t>
  </si>
  <si>
    <t>1.5830/32</t>
  </si>
  <si>
    <t>1.5091/95</t>
  </si>
  <si>
    <t>1.6619/22</t>
  </si>
  <si>
    <t>82.47/50</t>
  </si>
  <si>
    <t>94.63/66</t>
  </si>
  <si>
    <t>102.22/25</t>
  </si>
  <si>
    <t>1.3160/63</t>
  </si>
  <si>
    <t>1.3021/23</t>
  </si>
  <si>
    <t>1.3806/08</t>
  </si>
  <si>
    <t>1.5996/1.6</t>
  </si>
  <si>
    <t>1.5300/03</t>
  </si>
  <si>
    <t>1.6737/41</t>
  </si>
  <si>
    <t>81.36/40</t>
  </si>
  <si>
    <t>97.71/74</t>
  </si>
  <si>
    <t>102.52/55</t>
  </si>
  <si>
    <t>1.2798/00</t>
  </si>
  <si>
    <t>1.2978/80</t>
  </si>
  <si>
    <t>1.3738/40</t>
  </si>
  <si>
    <t>1.5921/25</t>
  </si>
  <si>
    <t>1.5292/95</t>
  </si>
  <si>
    <t>1.6850/53</t>
  </si>
  <si>
    <t>79.72/75</t>
  </si>
  <si>
    <t>100.91/94</t>
  </si>
  <si>
    <t>101.79/82</t>
  </si>
  <si>
    <t>1.2549/51</t>
  </si>
  <si>
    <t>1.3195/97</t>
  </si>
  <si>
    <t>1.5552/55</t>
  </si>
  <si>
    <t>1.5489/92</t>
  </si>
  <si>
    <t>79.25/28</t>
  </si>
  <si>
    <t>97.41/44</t>
  </si>
  <si>
    <t>1.2302/04</t>
  </si>
  <si>
    <t>1.3086/89</t>
  </si>
  <si>
    <t>1.5593/97</t>
  </si>
  <si>
    <t>1.5189/92</t>
  </si>
  <si>
    <t>78.98/01</t>
  </si>
  <si>
    <t>99.60/62</t>
  </si>
  <si>
    <t>1.2398/01</t>
  </si>
  <si>
    <t>1.3314/16</t>
  </si>
  <si>
    <t>1.5707/11</t>
  </si>
  <si>
    <t>1.5477/80</t>
  </si>
  <si>
    <t>78.61/64</t>
  </si>
  <si>
    <t>97.90/93</t>
  </si>
  <si>
    <t>1.2852/56</t>
  </si>
  <si>
    <t>1.3348/51</t>
  </si>
  <si>
    <t>1.6098/02</t>
  </si>
  <si>
    <t>1.5856/60</t>
  </si>
  <si>
    <t>78.15/18</t>
  </si>
  <si>
    <t>99.19/22</t>
  </si>
  <si>
    <t>1.2964/66</t>
  </si>
  <si>
    <t>1.3630/37</t>
  </si>
  <si>
    <t>1.6072/76</t>
  </si>
  <si>
    <t>1.6097/99</t>
  </si>
  <si>
    <t>78.94/98</t>
  </si>
  <si>
    <t>97.82/85</t>
  </si>
  <si>
    <t>1.2839/41</t>
  </si>
  <si>
    <t>1.3492/94</t>
  </si>
  <si>
    <t>1.5970/74</t>
  </si>
  <si>
    <t>1.6101/04</t>
  </si>
  <si>
    <t>81.02/05</t>
  </si>
  <si>
    <t>100.04/07</t>
  </si>
  <si>
    <t>1.3113/16</t>
  </si>
  <si>
    <t>1.3696/99</t>
  </si>
  <si>
    <t>1.6135/38</t>
  </si>
  <si>
    <t>1.6376/79</t>
  </si>
  <si>
    <t>83.73/76</t>
  </si>
  <si>
    <t>103.48/51</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</si>
  <si>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</si>
  <si>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2011 - July 2014</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</si>
  <si>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</si>
  <si>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</si>
  <si>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</si>
  <si>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</si>
  <si>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</si>
  <si>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</si>
  <si>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</si>
  <si>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</si>
  <si>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Tourism Earnings: July 2011 - June 2014</t>
  </si>
  <si>
    <t>2010-11</t>
  </si>
  <si>
    <t>2011-12</t>
  </si>
  <si>
    <t>2013-2014</t>
  </si>
  <si>
    <t xml:space="preserve">Tourist Arrivals* </t>
  </si>
  <si>
    <t>Tourist Earnings ^</t>
  </si>
  <si>
    <r>
      <t>Tourist Arrivals</t>
    </r>
    <r>
      <rPr>
        <b/>
        <sz val="10"/>
        <rFont val="Arial"/>
        <family val="2"/>
      </rPr>
      <t xml:space="preserve">* </t>
    </r>
  </si>
  <si>
    <t>Tourism Earnings ^</t>
  </si>
  <si>
    <t xml:space="preserve">(Rs million) </t>
  </si>
  <si>
    <t xml:space="preserve"> Total</t>
  </si>
  <si>
    <t>* Source: Ministry of Tourism and Leisure.</t>
  </si>
  <si>
    <t>^ Source: Bank of Mauritius Statistics Division.</t>
  </si>
  <si>
    <t>Table 48a: Foreign Direct Investment in Mauritius by Sector: Annual 2008 - 2013 and First Quarter 2014</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</si>
  <si>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</si>
  <si>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</si>
  <si>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</si>
  <si>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</si>
  <si>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</si>
  <si>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</si>
  <si>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</si>
  <si>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</si>
  <si>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</si>
  <si>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</si>
  <si>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 xml:space="preserve">2 </t>
    </r>
  </si>
  <si>
    <r>
      <t xml:space="preserve">2014 </t>
    </r>
    <r>
      <rPr>
        <b/>
        <vertAlign val="superscript"/>
        <sz val="10"/>
        <rFont val="Arial"/>
        <family val="2"/>
      </rPr>
      <t xml:space="preserve">2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</si>
  <si>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</si>
  <si>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</si>
  <si>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</si>
  <si>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</si>
  <si>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</si>
  <si>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</si>
  <si>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</si>
  <si>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</si>
  <si>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</si>
  <si>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</si>
  <si>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</si>
  <si>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</si>
  <si>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</si>
  <si>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</si>
  <si>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</si>
  <si>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</si>
  <si>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</si>
  <si>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</si>
  <si>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</si>
  <si>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</si>
  <si>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</si>
  <si>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</si>
  <si>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</si>
  <si>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</si>
  <si>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</si>
  <si>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</si>
  <si>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</si>
  <si>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</si>
  <si>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</si>
  <si>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</si>
  <si>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</si>
  <si>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 xml:space="preserve">Table 48b: Foreign Direct Investment in Mauritius by Geographical Origin: </t>
  </si>
  <si>
    <t>Annual 2008 - 2013 and First Quarter 2014</t>
  </si>
  <si>
    <t>Region /Economy</t>
  </si>
  <si>
    <t xml:space="preserve">2008 </t>
  </si>
  <si>
    <r>
      <t>2010</t>
    </r>
    <r>
      <rPr>
        <b/>
        <vertAlign val="superscript"/>
        <sz val="10"/>
        <rFont val="Arial"/>
        <family val="2"/>
      </rPr>
      <t xml:space="preserve"> </t>
    </r>
  </si>
  <si>
    <r>
      <t xml:space="preserve">2011 </t>
    </r>
    <r>
      <rPr>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</si>
  <si>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</si>
  <si>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</si>
  <si>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</si>
  <si>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</si>
  <si>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</si>
  <si>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</si>
  <si>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</si>
  <si>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</si>
  <si>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</si>
  <si>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</si>
  <si>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</si>
  <si>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</si>
  <si>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</si>
  <si>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</si>
  <si>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</si>
  <si>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</si>
  <si>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</si>
  <si>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</si>
  <si>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</si>
  <si>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</si>
  <si>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</si>
  <si>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</si>
  <si>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</si>
  <si>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</si>
  <si>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</si>
  <si>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</si>
  <si>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</si>
  <si>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</si>
  <si>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</si>
  <si>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</si>
  <si>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</si>
  <si>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</si>
  <si>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 xml:space="preserve">1 </t>
    </r>
    <r>
      <rPr>
        <i/>
        <sz val="9"/>
        <rFont val="Arial"/>
        <family val="2"/>
      </rPr>
      <t>2011 and 2012 data have been revised and are not strictly comparable to previous years and 2013.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For further information on the revision for 2011 and 2012, please refer to the communiqué that has been released on the Bank's website: https://www.bom.mu/pdf/Communique/Communique_March_2014.pdf</t>
    </r>
  </si>
  <si>
    <r>
      <t xml:space="preserve">2 </t>
    </r>
    <r>
      <rPr>
        <i/>
        <sz val="9"/>
        <rFont val="Arial"/>
        <family val="2"/>
      </rPr>
      <t>Provisional.</t>
    </r>
  </si>
  <si>
    <t>Table 49a: Direct Investment Abroad by Sector: Annual 2008 - 2013 and First Quarter 2014</t>
  </si>
  <si>
    <t>2009</t>
  </si>
  <si>
    <r>
      <t>2011</t>
    </r>
    <r>
      <rPr>
        <vertAlign val="superscript"/>
        <sz val="10"/>
        <rFont val="Arial"/>
        <family val="2"/>
      </rPr>
      <t xml:space="preserve"> 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</si>
  <si>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</si>
  <si>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</si>
  <si>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</si>
  <si>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</si>
  <si>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</si>
  <si>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</si>
  <si>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</si>
  <si>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 </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</si>
  <si>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</si>
  <si>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</si>
  <si>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</si>
  <si>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</si>
  <si>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</si>
  <si>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</si>
  <si>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</si>
  <si>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</si>
  <si>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</si>
  <si>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</si>
  <si>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</si>
  <si>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</si>
  <si>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</si>
  <si>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</si>
  <si>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</si>
  <si>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</si>
  <si>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</si>
  <si>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</si>
  <si>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</si>
  <si>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</si>
  <si>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</si>
  <si>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</si>
  <si>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</si>
  <si>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</si>
  <si>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</si>
  <si>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</si>
  <si>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</si>
  <si>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</si>
  <si>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</si>
  <si>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</si>
  <si>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</si>
  <si>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Singapore</t>
  </si>
  <si>
    <t>Netherlands</t>
  </si>
  <si>
    <t>United States</t>
  </si>
  <si>
    <t>China, P.R.: Mainland</t>
  </si>
  <si>
    <t>United Kingdom</t>
  </si>
  <si>
    <t>United Arab Emirates</t>
  </si>
  <si>
    <t>Cayman Islands</t>
  </si>
  <si>
    <t>Luxembourg</t>
  </si>
  <si>
    <t>Indonesia</t>
  </si>
  <si>
    <t>South Africa</t>
  </si>
  <si>
    <t>Cyprus</t>
  </si>
  <si>
    <t>Malaysia</t>
  </si>
  <si>
    <t>Isle of Man</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</si>
  <si>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2013 survey results.</t>
    </r>
  </si>
  <si>
    <r>
      <t>Source: IMF Website, for further information consult http:</t>
    </r>
    <r>
      <rPr>
        <b/>
        <i/>
        <sz val="9"/>
        <color theme="1"/>
        <rFont val="Times New Roman"/>
        <family val="1"/>
      </rPr>
      <t>//</t>
    </r>
    <r>
      <rPr>
        <i/>
        <sz val="9"/>
        <color theme="1"/>
        <rFont val="Times New Roman"/>
        <family val="1"/>
      </rPr>
      <t>cdis.imf.org</t>
    </r>
  </si>
  <si>
    <t>Table 51: Balance of Payments - Calendar Year 2013 and First Quarter 2014
(including estimates for GBC1s cross-border transactions)</t>
  </si>
  <si>
    <r>
      <t>2013</t>
    </r>
    <r>
      <rPr>
        <b/>
        <vertAlign val="superscript"/>
        <sz val="18"/>
        <rFont val="Times New Roman"/>
        <family val="1"/>
      </rPr>
      <t xml:space="preserve"> 1</t>
    </r>
  </si>
  <si>
    <r>
      <t xml:space="preserve">2013 </t>
    </r>
    <r>
      <rPr>
        <b/>
        <vertAlign val="superscript"/>
        <sz val="18"/>
        <rFont val="Times New Roman"/>
        <family val="1"/>
      </rPr>
      <t>1</t>
    </r>
  </si>
  <si>
    <r>
      <t xml:space="preserve">2014 </t>
    </r>
    <r>
      <rPr>
        <b/>
        <vertAlign val="superscript"/>
        <sz val="18"/>
        <rFont val="Times New Roman"/>
        <family val="1"/>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</si>
  <si>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</si>
  <si>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</si>
  <si>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</si>
  <si>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</si>
  <si>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</si>
  <si>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</si>
  <si>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</si>
  <si>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</si>
  <si>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</si>
  <si>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</si>
  <si>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</si>
  <si>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</si>
  <si>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</si>
  <si>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</si>
  <si>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</si>
  <si>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</si>
  <si>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</si>
  <si>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</si>
  <si>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</si>
  <si>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</si>
  <si>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</si>
  <si>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</si>
  <si>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</si>
  <si>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</si>
  <si>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</si>
  <si>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</si>
  <si>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</si>
  <si>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</si>
  <si>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</si>
  <si>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</si>
  <si>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</si>
  <si>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</si>
  <si>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</si>
  <si>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</si>
  <si>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</si>
  <si>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</si>
  <si>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</si>
  <si>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</si>
  <si>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</si>
  <si>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</si>
  <si>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</si>
  <si>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</si>
  <si>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</si>
  <si>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</si>
  <si>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</si>
  <si>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</si>
  <si>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</si>
  <si>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</si>
  <si>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</si>
  <si>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</si>
  <si>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</si>
  <si>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</si>
  <si>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</si>
  <si>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</si>
  <si>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</si>
  <si>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</si>
  <si>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</si>
  <si>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</si>
  <si>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</si>
  <si>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</si>
  <si>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</si>
  <si>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</si>
  <si>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</si>
  <si>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</si>
  <si>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</si>
  <si>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</si>
  <si>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</si>
  <si>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</si>
  <si>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</si>
  <si>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</si>
  <si>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</si>
  <si>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</si>
  <si>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</si>
  <si>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</si>
  <si>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</si>
  <si>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</si>
  <si>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</si>
  <si>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Revised.</t>
    </r>
  </si>
  <si>
    <r>
      <t xml:space="preserve">2 </t>
    </r>
    <r>
      <rPr>
        <i/>
        <sz val="16"/>
        <rFont val="Times New Roman"/>
        <family val="1"/>
      </rPr>
      <t>Provisional.</t>
    </r>
  </si>
  <si>
    <t>Source : Statistics Division.</t>
  </si>
  <si>
    <t>Table 52a: Electronic Banking Transactions: June 2013 - June 2014</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</si>
  <si>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</si>
  <si>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</si>
  <si>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</si>
  <si>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</si>
  <si>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</si>
  <si>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</si>
  <si>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</si>
  <si>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</si>
  <si>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</si>
  <si>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</si>
  <si>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</si>
  <si>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</si>
  <si>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</si>
  <si>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</si>
  <si>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</si>
  <si>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June 2013 - June 2014</t>
  </si>
  <si>
    <t>Number of Customers</t>
  </si>
  <si>
    <t>Number of Transactions</t>
  </si>
  <si>
    <t>Value of Transactions: (Rs mn)</t>
  </si>
  <si>
    <t xml:space="preserve">Average Value of Transactions* (Rs mn) </t>
  </si>
  <si>
    <t>*Average monthly transactions during a calendar year up to the month of reporting.</t>
  </si>
  <si>
    <t>Table 53a: Mauritius Automated Clearing and Settlement System (MACSS)*</t>
  </si>
  <si>
    <t xml:space="preserve">                   Rupee Transactions: January 2012 – July 2014</t>
  </si>
  <si>
    <t>Value of Transactions (Rs million)</t>
  </si>
  <si>
    <t>Number of Days</t>
  </si>
  <si>
    <t>*The RTGS was launched on 15 December 2000 and has been replaced by the RTSX system as from 14 January 2009.</t>
  </si>
  <si>
    <t>Figures may not tally with the daily average due to rounding.</t>
  </si>
  <si>
    <t>Table 53b: Mauritius Automated Clearing and Settlement System (MACSS)</t>
  </si>
  <si>
    <t xml:space="preserve">                   Foreign Currency Transactions: January 2012 – July 2014</t>
  </si>
  <si>
    <t>(in foreign currency)</t>
  </si>
  <si>
    <t>US Dollar</t>
  </si>
  <si>
    <t>Pound Sterling</t>
  </si>
  <si>
    <t>Swiss Franc</t>
  </si>
  <si>
    <t>South African Rand</t>
  </si>
  <si>
    <t>Jan-11*</t>
  </si>
  <si>
    <t>Mar-12*</t>
  </si>
  <si>
    <t>* As from March 2012, MACSS also settles in Swiss Franc and South African Rand.</t>
  </si>
  <si>
    <t>Table 1: Selected Economic Indicators: 2005 - 2014</t>
  </si>
  <si>
    <t>Unit</t>
  </si>
  <si>
    <r>
      <t xml:space="preserve">1. Population-Republic of Mauritius </t>
    </r>
    <r>
      <rPr>
        <b/>
        <vertAlign val="superscript"/>
        <sz val="12"/>
        <rFont val="Times New Roman"/>
        <family val="1"/>
      </rPr>
      <t>1</t>
    </r>
  </si>
  <si>
    <t>Mid-year</t>
  </si>
  <si>
    <r>
      <t xml:space="preserve">1,291,167 </t>
    </r>
    <r>
      <rPr>
        <vertAlign val="superscript"/>
        <sz val="11"/>
        <rFont val="Times New Roman"/>
        <family val="1"/>
      </rPr>
      <t>2</t>
    </r>
  </si>
  <si>
    <r>
      <t xml:space="preserve">1,295,500 </t>
    </r>
    <r>
      <rPr>
        <vertAlign val="superscript"/>
        <sz val="11"/>
        <rFont val="Times New Roman"/>
        <family val="1"/>
      </rPr>
      <t>3</t>
    </r>
  </si>
  <si>
    <t>n.a</t>
  </si>
  <si>
    <t>2. Tourist Arrivals***</t>
  </si>
  <si>
    <t>Calendar Year</t>
  </si>
  <si>
    <t xml:space="preserve">964,642 </t>
  </si>
  <si>
    <t xml:space="preserve">965,441 </t>
  </si>
  <si>
    <r>
      <t xml:space="preserve">993,106 </t>
    </r>
    <r>
      <rPr>
        <vertAlign val="superscript"/>
        <sz val="11"/>
        <rFont val="Times New Roman"/>
        <family val="1"/>
      </rPr>
      <t>3</t>
    </r>
  </si>
  <si>
    <r>
      <t xml:space="preserve">1,030,000 </t>
    </r>
    <r>
      <rPr>
        <vertAlign val="superscript"/>
        <sz val="11"/>
        <rFont val="Times New Roman"/>
        <family val="1"/>
      </rPr>
      <t>4</t>
    </r>
  </si>
  <si>
    <t>3. Tourist Earnings</t>
  </si>
  <si>
    <t xml:space="preserve">42,717 </t>
  </si>
  <si>
    <t>44,378</t>
  </si>
  <si>
    <r>
      <t xml:space="preserve">40,557 </t>
    </r>
    <r>
      <rPr>
        <vertAlign val="superscript"/>
        <sz val="11"/>
        <rFont val="Times New Roman"/>
        <family val="1"/>
      </rPr>
      <t>3</t>
    </r>
  </si>
  <si>
    <r>
      <t xml:space="preserve">44,500 </t>
    </r>
    <r>
      <rPr>
        <vertAlign val="superscript"/>
        <sz val="11"/>
        <rFont val="Times New Roman"/>
        <family val="1"/>
      </rPr>
      <t>4</t>
    </r>
  </si>
  <si>
    <r>
      <t>4. Real GDP Growth Rate*</t>
    </r>
    <r>
      <rPr>
        <b/>
        <vertAlign val="superscript"/>
        <sz val="12"/>
        <rFont val="Times New Roman"/>
        <family val="1"/>
      </rPr>
      <t xml:space="preserve"> 5</t>
    </r>
  </si>
  <si>
    <r>
      <t xml:space="preserve">3.2 </t>
    </r>
    <r>
      <rPr>
        <vertAlign val="superscript"/>
        <sz val="11"/>
        <rFont val="Times New Roman"/>
        <family val="1"/>
      </rPr>
      <t>2</t>
    </r>
  </si>
  <si>
    <r>
      <t xml:space="preserve">3.5 </t>
    </r>
    <r>
      <rPr>
        <vertAlign val="superscript"/>
        <sz val="11"/>
        <rFont val="Times New Roman"/>
        <family val="1"/>
      </rPr>
      <t>4</t>
    </r>
  </si>
  <si>
    <r>
      <t xml:space="preserve">5. Gross Domestic Product (at market prices)* </t>
    </r>
    <r>
      <rPr>
        <b/>
        <vertAlign val="superscript"/>
        <sz val="12"/>
        <rFont val="Times New Roman"/>
        <family val="1"/>
      </rPr>
      <t>5</t>
    </r>
  </si>
  <si>
    <t>323,011</t>
  </si>
  <si>
    <r>
      <t xml:space="preserve">366,479 </t>
    </r>
    <r>
      <rPr>
        <vertAlign val="superscript"/>
        <sz val="11"/>
        <rFont val="Times New Roman"/>
        <family val="1"/>
      </rPr>
      <t>2</t>
    </r>
  </si>
  <si>
    <r>
      <t>389,999</t>
    </r>
    <r>
      <rPr>
        <vertAlign val="superscript"/>
        <sz val="11"/>
        <rFont val="Times New Roman"/>
        <family val="1"/>
      </rPr>
      <t xml:space="preserve"> 4</t>
    </r>
  </si>
  <si>
    <r>
      <t xml:space="preserve">6. Gross National Income (at market prices)* </t>
    </r>
    <r>
      <rPr>
        <b/>
        <vertAlign val="superscript"/>
        <sz val="12"/>
        <rFont val="Times New Roman"/>
        <family val="1"/>
      </rPr>
      <t>5</t>
    </r>
  </si>
  <si>
    <t xml:space="preserve">323,849^ </t>
  </si>
  <si>
    <r>
      <t>344,956^</t>
    </r>
    <r>
      <rPr>
        <vertAlign val="superscript"/>
        <sz val="11"/>
        <rFont val="Times New Roman"/>
        <family val="1"/>
      </rPr>
      <t xml:space="preserve"> </t>
    </r>
  </si>
  <si>
    <r>
      <t>366,908^</t>
    </r>
    <r>
      <rPr>
        <vertAlign val="superscript"/>
        <sz val="11"/>
        <rFont val="Times New Roman"/>
        <family val="1"/>
      </rPr>
      <t xml:space="preserve"> 2</t>
    </r>
  </si>
  <si>
    <r>
      <t>390,365^</t>
    </r>
    <r>
      <rPr>
        <vertAlign val="superscript"/>
        <sz val="11"/>
        <rFont val="Times New Roman"/>
        <family val="1"/>
      </rPr>
      <t xml:space="preserve"> 4</t>
    </r>
  </si>
  <si>
    <r>
      <t xml:space="preserve">7. GNI Per Capita (at market prices)* </t>
    </r>
    <r>
      <rPr>
        <b/>
        <vertAlign val="superscript"/>
        <sz val="12"/>
        <rFont val="Times New Roman"/>
        <family val="1"/>
      </rPr>
      <t>5</t>
    </r>
  </si>
  <si>
    <t xml:space="preserve">Calendar Year </t>
  </si>
  <si>
    <t xml:space="preserve">258,225^ </t>
  </si>
  <si>
    <t xml:space="preserve">274,321^ </t>
  </si>
  <si>
    <r>
      <t xml:space="preserve">291,234^ </t>
    </r>
    <r>
      <rPr>
        <vertAlign val="superscript"/>
        <sz val="11"/>
        <rFont val="Times New Roman"/>
        <family val="1"/>
      </rPr>
      <t>2</t>
    </r>
  </si>
  <si>
    <r>
      <t>309,276^</t>
    </r>
    <r>
      <rPr>
        <vertAlign val="superscript"/>
        <sz val="11"/>
        <rFont val="Times New Roman"/>
        <family val="1"/>
      </rPr>
      <t xml:space="preserve"> 4</t>
    </r>
  </si>
  <si>
    <t>8. Headline  Inflation Rate*</t>
  </si>
  <si>
    <t>Year ended June</t>
  </si>
  <si>
    <t>9. Headline  Inflation Rate*</t>
  </si>
  <si>
    <r>
      <t>10. Unemployment Rate*</t>
    </r>
    <r>
      <rPr>
        <b/>
        <vertAlign val="superscript"/>
        <sz val="12"/>
        <rFont val="Times New Roman"/>
        <family val="1"/>
      </rPr>
      <t xml:space="preserve"> </t>
    </r>
  </si>
  <si>
    <t xml:space="preserve">8.0 </t>
  </si>
  <si>
    <r>
      <t xml:space="preserve">8.0 </t>
    </r>
    <r>
      <rPr>
        <vertAlign val="superscript"/>
        <sz val="11"/>
        <rFont val="Times New Roman"/>
        <family val="1"/>
      </rPr>
      <t>4</t>
    </r>
  </si>
  <si>
    <r>
      <t xml:space="preserve">11. Current Account Balance </t>
    </r>
    <r>
      <rPr>
        <b/>
        <vertAlign val="superscript"/>
        <sz val="12"/>
        <rFont val="Times New Roman"/>
        <family val="1"/>
      </rPr>
      <t>7</t>
    </r>
  </si>
  <si>
    <t>+7,752</t>
  </si>
  <si>
    <t>+3,554</t>
  </si>
  <si>
    <t>+1,383</t>
  </si>
  <si>
    <t>-6,322</t>
  </si>
  <si>
    <t xml:space="preserve">-10,188 </t>
  </si>
  <si>
    <t>-17,415</t>
  </si>
  <si>
    <r>
      <t>-22,232</t>
    </r>
    <r>
      <rPr>
        <sz val="10"/>
        <rFont val="Arial"/>
        <family val="2"/>
      </rPr>
      <t/>
    </r>
  </si>
  <si>
    <t>-24,771</t>
  </si>
  <si>
    <t xml:space="preserve">-24,655 </t>
  </si>
  <si>
    <r>
      <t xml:space="preserve">-34,405 </t>
    </r>
    <r>
      <rPr>
        <vertAlign val="superscript"/>
        <sz val="11"/>
        <rFont val="Times New Roman"/>
        <family val="1"/>
      </rPr>
      <t>2</t>
    </r>
  </si>
  <si>
    <r>
      <t xml:space="preserve">-36,021 </t>
    </r>
    <r>
      <rPr>
        <vertAlign val="superscript"/>
        <sz val="11"/>
        <rFont val="Times New Roman"/>
        <family val="1"/>
      </rPr>
      <t>2</t>
    </r>
  </si>
  <si>
    <r>
      <t xml:space="preserve">-31,406 </t>
    </r>
    <r>
      <rPr>
        <vertAlign val="superscript"/>
        <sz val="11"/>
        <rFont val="Times New Roman"/>
        <family val="1"/>
      </rPr>
      <t>2</t>
    </r>
  </si>
  <si>
    <r>
      <t xml:space="preserve">12. Current Account Balance </t>
    </r>
    <r>
      <rPr>
        <b/>
        <vertAlign val="superscript"/>
        <sz val="12"/>
        <rFont val="Times New Roman"/>
        <family val="1"/>
      </rPr>
      <t>7</t>
    </r>
  </si>
  <si>
    <t>+7,471</t>
  </si>
  <si>
    <t>+2,658</t>
  </si>
  <si>
    <r>
      <t>-3,181</t>
    </r>
    <r>
      <rPr>
        <vertAlign val="superscript"/>
        <sz val="11"/>
        <rFont val="Times New Roman"/>
        <family val="1"/>
      </rPr>
      <t xml:space="preserve"> </t>
    </r>
  </si>
  <si>
    <t xml:space="preserve">-9,570 </t>
  </si>
  <si>
    <t xml:space="preserve">-19,399 </t>
  </si>
  <si>
    <t>-13,248</t>
  </si>
  <si>
    <r>
      <t>-30,986</t>
    </r>
    <r>
      <rPr>
        <vertAlign val="superscript"/>
        <sz val="11"/>
        <rFont val="Times New Roman"/>
        <family val="1"/>
      </rPr>
      <t xml:space="preserve"> </t>
    </r>
  </si>
  <si>
    <r>
      <t xml:space="preserve">-44,630 </t>
    </r>
    <r>
      <rPr>
        <vertAlign val="superscript"/>
        <sz val="11"/>
        <rFont val="Times New Roman"/>
        <family val="1"/>
      </rPr>
      <t>2</t>
    </r>
  </si>
  <si>
    <r>
      <t xml:space="preserve">-25,059 </t>
    </r>
    <r>
      <rPr>
        <vertAlign val="superscript"/>
        <sz val="11"/>
        <rFont val="Times New Roman"/>
        <family val="1"/>
      </rPr>
      <t>2</t>
    </r>
  </si>
  <si>
    <r>
      <t xml:space="preserve">-36,187 </t>
    </r>
    <r>
      <rPr>
        <vertAlign val="superscript"/>
        <sz val="11"/>
        <rFont val="Times New Roman"/>
        <family val="1"/>
      </rPr>
      <t>2</t>
    </r>
  </si>
  <si>
    <r>
      <t>13. Overall Balance of Payments</t>
    </r>
    <r>
      <rPr>
        <b/>
        <vertAlign val="superscript"/>
        <sz val="12"/>
        <rFont val="Times New Roman"/>
        <family val="1"/>
      </rPr>
      <t xml:space="preserve"> </t>
    </r>
  </si>
  <si>
    <t xml:space="preserve"> Year ended June</t>
  </si>
  <si>
    <t>-3,133</t>
  </si>
  <si>
    <t>-3,019</t>
  </si>
  <si>
    <t xml:space="preserve">+9,694 </t>
  </si>
  <si>
    <t xml:space="preserve">+8,399 </t>
  </si>
  <si>
    <t xml:space="preserve">+2,692 </t>
  </si>
  <si>
    <r>
      <t xml:space="preserve">+20,335 </t>
    </r>
    <r>
      <rPr>
        <vertAlign val="superscript"/>
        <sz val="11"/>
        <rFont val="Times New Roman"/>
        <family val="1"/>
      </rPr>
      <t>3</t>
    </r>
  </si>
  <si>
    <r>
      <t>14. Overall Balance of Payments</t>
    </r>
    <r>
      <rPr>
        <b/>
        <vertAlign val="superscript"/>
        <sz val="12"/>
        <rFont val="Times New Roman"/>
        <family val="1"/>
      </rPr>
      <t xml:space="preserve">10 </t>
    </r>
  </si>
  <si>
    <r>
      <t>-857</t>
    </r>
    <r>
      <rPr>
        <vertAlign val="superscript"/>
        <sz val="11"/>
        <rFont val="Times New Roman"/>
        <family val="1"/>
      </rPr>
      <t xml:space="preserve"> </t>
    </r>
  </si>
  <si>
    <t>-4,888</t>
  </si>
  <si>
    <t xml:space="preserve">+6, 177 </t>
  </si>
  <si>
    <t xml:space="preserve">+5,247 </t>
  </si>
  <si>
    <t xml:space="preserve">+6,041 </t>
  </si>
  <si>
    <r>
      <t xml:space="preserve">+16,580 </t>
    </r>
    <r>
      <rPr>
        <vertAlign val="superscript"/>
        <sz val="11"/>
        <rFont val="Times New Roman"/>
        <family val="1"/>
      </rPr>
      <t>3</t>
    </r>
  </si>
  <si>
    <r>
      <t>15. Gross Official International Reserves</t>
    </r>
    <r>
      <rPr>
        <b/>
        <vertAlign val="superscript"/>
        <sz val="12"/>
        <rFont val="Times New Roman"/>
        <family val="1"/>
      </rPr>
      <t xml:space="preserve"> 8</t>
    </r>
  </si>
  <si>
    <t>End-June</t>
  </si>
  <si>
    <t>16. Total Imports (c.i.f.)*</t>
  </si>
  <si>
    <t>134,882</t>
  </si>
  <si>
    <t xml:space="preserve">147,815 </t>
  </si>
  <si>
    <r>
      <t xml:space="preserve">160,996 </t>
    </r>
    <r>
      <rPr>
        <vertAlign val="superscript"/>
        <sz val="11"/>
        <rFont val="Times New Roman"/>
        <family val="1"/>
      </rPr>
      <t>2</t>
    </r>
  </si>
  <si>
    <r>
      <t xml:space="preserve">165,661 </t>
    </r>
    <r>
      <rPr>
        <vertAlign val="superscript"/>
        <sz val="11"/>
        <rFont val="Times New Roman"/>
        <family val="1"/>
      </rPr>
      <t>3</t>
    </r>
  </si>
  <si>
    <r>
      <t xml:space="preserve">175,000 </t>
    </r>
    <r>
      <rPr>
        <vertAlign val="superscript"/>
        <sz val="11"/>
        <rFont val="Times New Roman"/>
        <family val="1"/>
      </rPr>
      <t>4</t>
    </r>
  </si>
  <si>
    <t xml:space="preserve">17. Total Exports (f.o.b.)* </t>
  </si>
  <si>
    <r>
      <t>69,550</t>
    </r>
    <r>
      <rPr>
        <vertAlign val="superscript"/>
        <sz val="11"/>
        <rFont val="Times New Roman"/>
        <family val="1"/>
      </rPr>
      <t xml:space="preserve"> </t>
    </r>
  </si>
  <si>
    <t xml:space="preserve">73, 586 </t>
  </si>
  <si>
    <r>
      <t xml:space="preserve">79,658 </t>
    </r>
    <r>
      <rPr>
        <vertAlign val="superscript"/>
        <sz val="11"/>
        <rFont val="Times New Roman"/>
        <family val="1"/>
      </rPr>
      <t>2</t>
    </r>
  </si>
  <si>
    <r>
      <t xml:space="preserve">88,148 </t>
    </r>
    <r>
      <rPr>
        <vertAlign val="superscript"/>
        <sz val="11"/>
        <rFont val="Times New Roman"/>
        <family val="1"/>
      </rPr>
      <t>3</t>
    </r>
  </si>
  <si>
    <r>
      <t xml:space="preserve">91,000 </t>
    </r>
    <r>
      <rPr>
        <vertAlign val="superscript"/>
        <sz val="11"/>
        <rFont val="Times New Roman"/>
        <family val="1"/>
      </rPr>
      <t>4</t>
    </r>
  </si>
  <si>
    <t>18. Ratio of Budget Deficit to GDP at market prices**</t>
  </si>
  <si>
    <t>@</t>
  </si>
  <si>
    <t>-5.3</t>
  </si>
  <si>
    <t xml:space="preserve">-4.3 </t>
  </si>
  <si>
    <t>-2.7</t>
  </si>
  <si>
    <t>-3.0</t>
  </si>
  <si>
    <t>-3.2</t>
  </si>
  <si>
    <t xml:space="preserve">-3.2  </t>
  </si>
  <si>
    <t>-1.8</t>
  </si>
  <si>
    <r>
      <t>-3.5</t>
    </r>
    <r>
      <rPr>
        <vertAlign val="superscript"/>
        <sz val="11"/>
        <rFont val="Times New Roman"/>
        <family val="1"/>
      </rPr>
      <t>3</t>
    </r>
  </si>
  <si>
    <r>
      <t xml:space="preserve">-3.2 </t>
    </r>
    <r>
      <rPr>
        <vertAlign val="superscript"/>
        <sz val="11"/>
        <rFont val="Times New Roman"/>
        <family val="1"/>
      </rPr>
      <t>4</t>
    </r>
  </si>
  <si>
    <t>19. External Debt: Budgetary Central Government</t>
  </si>
  <si>
    <t>#</t>
  </si>
  <si>
    <r>
      <t>47,133</t>
    </r>
    <r>
      <rPr>
        <vertAlign val="superscript"/>
        <sz val="11"/>
        <rFont val="Times New Roman"/>
        <family val="1"/>
      </rPr>
      <t>3</t>
    </r>
  </si>
  <si>
    <t>20. Internal Debt: Budgetary Central Government</t>
  </si>
  <si>
    <r>
      <t>149,960</t>
    </r>
    <r>
      <rPr>
        <vertAlign val="superscript"/>
        <sz val="11"/>
        <rFont val="Times New Roman"/>
        <family val="1"/>
      </rPr>
      <t>3</t>
    </r>
  </si>
  <si>
    <r>
      <t xml:space="preserve">21. Banks'  Claims on Private Sector (CPS) </t>
    </r>
    <r>
      <rPr>
        <b/>
        <vertAlign val="superscript"/>
        <sz val="12"/>
        <rFont val="Times New Roman"/>
        <family val="1"/>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</si>
  <si>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</si>
  <si>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</si>
  <si>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2"/>
        <rFont val="Times New Roman"/>
        <family val="1"/>
      </rPr>
      <t>6</t>
    </r>
  </si>
  <si>
    <t>25. Broad Money Liabilities (BML)</t>
  </si>
  <si>
    <t>26. Growth Rate of BML</t>
  </si>
  <si>
    <r>
      <t xml:space="preserve">27. Claims on Other Sectors by Depository Corporations </t>
    </r>
    <r>
      <rPr>
        <b/>
        <vertAlign val="superscript"/>
        <sz val="12"/>
        <rFont val="Times New Roman"/>
        <family val="1"/>
      </rPr>
      <t>9</t>
    </r>
  </si>
  <si>
    <r>
      <t xml:space="preserve">28.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</si>
  <si>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</si>
  <si>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</si>
  <si>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</si>
  <si>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</si>
  <si>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</si>
  <si>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</si>
  <si>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</si>
  <si>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</si>
  <si>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</si>
  <si>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</si>
  <si>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</si>
  <si>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</si>
  <si>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11"/>
        <rFont val="Times New Roman"/>
        <family val="1"/>
      </rPr>
      <t>Revised. For details on revised data, please refer to  the communiqué that has been released on the Bank's website: https://www.bom.mu/pdf/Communique/Communique_March_2014.pdf</t>
    </r>
  </si>
  <si>
    <r>
      <rPr>
        <i/>
        <vertAlign val="superscript"/>
        <sz val="11"/>
        <rFont val="Times New Roman"/>
        <family val="1"/>
      </rPr>
      <t>2</t>
    </r>
    <r>
      <rPr>
        <i/>
        <sz val="11"/>
        <rFont val="Times New Roman"/>
        <family val="1"/>
      </rPr>
      <t xml:space="preserve"> Provisional.</t>
    </r>
  </si>
  <si>
    <t>* Source:  Statistics  Mauritius.   # As from 2009, data refer to end-December, instead of end-June for previous years.   n.a: not available</t>
  </si>
  <si>
    <t>**Source: Ministry of Finance and Economic Development.</t>
  </si>
  <si>
    <t>*** Source: Ministry of Tourism and Leisure.</t>
  </si>
</sst>
</file>

<file path=xl/styles.xml><?xml version="1.0" encoding="utf-8"?>
<styleSheet xmlns="http://schemas.openxmlformats.org/spreadsheetml/2006/main" xmlns:mc="http://schemas.openxmlformats.org/markup-compatibility/2006" xmlns:x14ac="http://schemas.microsoft.com/office/spreadsheetml/2009/9/ac" mc:Ignorable="x14ac">
  <numFmts count="124">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mmmm\ yyyy"/>
    <numFmt numFmtId="165" formatCode="_(* #,##0_);_(* \(#,##0\);_(* &quot;-&quot;??_);_(@_)"/>
    <numFmt numFmtId="166" formatCode="d\-mmmm\-yyyy"/>
    <numFmt numFmtId="167" formatCode="#,##0.0"/>
    <numFmt numFmtId="168" formatCode="mmmm\-yy"/>
    <numFmt numFmtId="169" formatCode="0.0"/>
    <numFmt numFmtId="170" formatCode="dd\-mmm\-yy_)"/>
    <numFmt numFmtId="171" formatCode="0000"/>
    <numFmt numFmtId="172" formatCode="#,##0.000"/>
    <numFmt numFmtId="173" formatCode="#,##0.0,,"/>
    <numFmt numFmtId="174" formatCode="&quot;$&quot;#,##0_);\(&quot;$&quot;#,##0\)"/>
    <numFmt numFmtId="175" formatCode="&quot;$&quot;#,##0.00_);[Red]\(&quot;$&quot;#,##0.00\)"/>
    <numFmt numFmtId="176" formatCode="&quot;$&quot;#,##0;[Red]\-&quot;$&quot;#,##0"/>
    <numFmt numFmtId="177" formatCode="#,##0.00_);\(#,##0.00\);&quot;- &quot;"/>
    <numFmt numFmtId="178" formatCode="#,##0.00&quot; kr&quot;;[Red]&quot;-&quot;#,##0.00&quot; kr&quot;"/>
    <numFmt numFmtId="179" formatCode="_ * #,##0.00_ ;_ * \-#,##0.00_ ;_ * &quot;-&quot;??_ ;_ @_ "/>
    <numFmt numFmtId="180" formatCode="_ * #,##0_ ;_ * \-#,##0_ ;_ * &quot;-&quot;_ ;_ @_ "/>
    <numFmt numFmtId="181" formatCode="0.0_)\%;\(0.0\)\%;0.0_)\%;@_)_%"/>
    <numFmt numFmtId="182" formatCode="#,##0.0_)_%;\(#,##0.0\)_%;0.0_)_%;@_)_%"/>
    <numFmt numFmtId="183" formatCode="#,##0.0_);\(#,##0.0\);#,##0.0_);@_)"/>
    <numFmt numFmtId="184" formatCode="&quot;$&quot;_(#,##0.00_);&quot;$&quot;\(#,##0.00\);&quot;$&quot;_(0.00_);@_)"/>
    <numFmt numFmtId="185" formatCode="#,##0.00_);\(#,##0.00\);0.00_);@_)"/>
    <numFmt numFmtId="186" formatCode="0.000000"/>
    <numFmt numFmtId="187" formatCode="\€_(#,##0.00_);\€\(#,##0.00\);\€_(0.00_);@_)"/>
    <numFmt numFmtId="188" formatCode="#,##0_)\x;\(#,##0\)\x;0_)\x;@_)_x"/>
    <numFmt numFmtId="189" formatCode="#,##0_)_x;\(#,##0\)_x;0_)_x;@_)_x"/>
    <numFmt numFmtId="190" formatCode="#\ ??/32"/>
    <numFmt numFmtId="191" formatCode="&quot;$&quot;#,##0"/>
    <numFmt numFmtId="192" formatCode="&quot;$&quot;#,##0_);[Red]\(&quot;$&quot;#,##0\);&quot;-&quot;"/>
    <numFmt numFmtId="193" formatCode="&quot;$&quot;#,##0_%_);\(&quot;$&quot;#,##0\)_%;&quot;$&quot;#,##0_%_);@_%_)"/>
    <numFmt numFmtId="194" formatCode="General_)"/>
    <numFmt numFmtId="195" formatCode="0.000%"/>
    <numFmt numFmtId="196" formatCode="&quot;$&quot;#.##"/>
    <numFmt numFmtId="197" formatCode="#,##0.00;\-#,##0.00;&quot;-&quot;"/>
    <numFmt numFmtId="198" formatCode="#,##0%;\-#,##0%;&quot;- &quot;"/>
    <numFmt numFmtId="199" formatCode="#,##0.0%;\-#,##0.0%;&quot;- &quot;"/>
    <numFmt numFmtId="200" formatCode="#,##0.00%;\-#,##0.00%;&quot;- &quot;"/>
    <numFmt numFmtId="201" formatCode="#,##0;\-#,##0;&quot;-&quot;"/>
    <numFmt numFmtId="202" formatCode="#,##0.0;\-#,##0.0;&quot;-&quot;"/>
    <numFmt numFmtId="203" formatCode="_(&quot;$&quot;* #,##0.0_);_(&quot;$&quot;* \(#,##0.0\);_(&quot;$&quot;* \-_);_(@_)"/>
    <numFmt numFmtId="204" formatCode="_(* #,##0.00_);_(* \(#,##0.00\);_(* &quot;-&quot;??_);_(@_)"/>
    <numFmt numFmtId="205" formatCode="_(&quot;£&quot;* #,##0_);_(&quot;£&quot;* \(#,##0\);_(&quot;£&quot;* &quot;-&quot;_);_(@_)"/>
    <numFmt numFmtId="206" formatCode="#,##0\ ;\(#,##0\)"/>
    <numFmt numFmtId="207" formatCode="\£#,##0_);[Red]\(\£#,##0\)"/>
    <numFmt numFmtId="208" formatCode="_-&quot;$&quot;* #,##0.00_-;\-&quot;$&quot;* #,##0.00_-;_-&quot;$&quot;* &quot;-&quot;??_-;_-@_-"/>
    <numFmt numFmtId="209" formatCode="0.00&quot;%&quot;"/>
    <numFmt numFmtId="210" formatCode="0&quot;%&quot;"/>
    <numFmt numFmtId="211" formatCode="[$-409]d\-mmm\-yy;@"/>
    <numFmt numFmtId="212" formatCode="_(* #,##0_);_(* \(#,##0\);_(* &quot;-&quot;_);_(@_)"/>
    <numFmt numFmtId="213" formatCode="#,##0&quot;?&quot;_);[Red]\(#,##0&quot;?&quot;\)"/>
    <numFmt numFmtId="214" formatCode="0.000"/>
    <numFmt numFmtId="215" formatCode="_-[$€-2]* #,##0.00_-;\-[$€-2]* #,##0.00_-;_-[$€-2]* &quot;-&quot;??_-"/>
    <numFmt numFmtId="216" formatCode="0.000000_)"/>
    <numFmt numFmtId="217" formatCode="mm/dd/yyyy"/>
    <numFmt numFmtId="218" formatCode="dd\-mmm\-yy\ hh:mm:ss"/>
    <numFmt numFmtId="219" formatCode="0.0000"/>
    <numFmt numFmtId="220" formatCode="[Red]&quot;stale hdle&quot;;[Red]\-0;[Red]&quot;stale hdle&quot;"/>
    <numFmt numFmtId="221" formatCode="#,##0\ ;\(#,##0\);\ \-\ \ \ \ "/>
    <numFmt numFmtId="222" formatCode="#,##0.000;\(#,##0.000\)"/>
    <numFmt numFmtId="223" formatCode="_-* #,##0\ _€_-;\-* #,##0\ _€_-;_-* &quot;-&quot;\ _€_-;_-@_-"/>
    <numFmt numFmtId="224" formatCode="_-* #,##0.00\ _€_-;\-* #,##0.00\ _€_-;_-* &quot;-&quot;??\ _€_-;_-@_-"/>
    <numFmt numFmtId="225" formatCode="#,###,###.000"/>
    <numFmt numFmtId="226" formatCode="###,###,##0.0"/>
    <numFmt numFmtId="227" formatCode="_-* #,##0\ &quot;€&quot;_-;\-* #,##0\ &quot;€&quot;_-;_-* &quot;-&quot;\ &quot;€&quot;_-;_-@_-"/>
    <numFmt numFmtId="228" formatCode="_-* #,##0.00\ &quot;€&quot;_-;\-* #,##0.00\ &quot;€&quot;_-;_-* &quot;-&quot;??\ &quot;€&quot;_-;_-@_-"/>
    <numFmt numFmtId="229" formatCode="_ * #,##0.00\ _ ;_ * \(#,##0.00\)_ ;_ * &quot;-&quot;??_ ;_ @_ "/>
    <numFmt numFmtId="230" formatCode="0.00_)"/>
    <numFmt numFmtId="231" formatCode="#,##0.0\ ;\(#,##0.0\)"/>
    <numFmt numFmtId="232" formatCode="#,##0\ \ \ ;\(#,##0\)\ \ "/>
    <numFmt numFmtId="233" formatCode="0%;\(0%\)"/>
    <numFmt numFmtId="234" formatCode="#,##0.0\%_);\(#,##0.0\%\);#,##0.0\%_);@_)"/>
    <numFmt numFmtId="235" formatCode="#,##0.0_);\(#,##0.0\)"/>
    <numFmt numFmtId="236" formatCode="mm/dd/yy"/>
    <numFmt numFmtId="237" formatCode="0.0000%"/>
    <numFmt numFmtId="238" formatCode="m/d/yy\ h:mm:ss"/>
    <numFmt numFmtId="239" formatCode="[$-409]d\-mmm\-yyyy;@"/>
    <numFmt numFmtId="240" formatCode="#,###,;\(#,###,\)"/>
    <numFmt numFmtId="241" formatCode="#,##0.0000"/>
    <numFmt numFmtId="242" formatCode="0.00;\-0.00"/>
    <numFmt numFmtId="243" formatCode="d\-mmm\-yyyy"/>
    <numFmt numFmtId="244" formatCode="\ \ @"/>
    <numFmt numFmtId="245" formatCode="\ \ \ \ @"/>
    <numFmt numFmtId="246" formatCode="#.##%"/>
    <numFmt numFmtId="247" formatCode="#,##0.00;[Red]#,##0.00"/>
    <numFmt numFmtId="248" formatCode="0.0%"/>
    <numFmt numFmtId="249" formatCode="_(&quot;$&quot;* #,##0_);_(&quot;$&quot;* \(#,##0\);_(&quot;$&quot;* &quot;-&quot;_);_(@_)"/>
    <numFmt numFmtId="250" formatCode="_(&quot;$&quot;* #,##0.00_);_(&quot;$&quot;* \(#,##0.00\);_(&quot;$&quot;* &quot;-&quot;??_);_(@_)"/>
    <numFmt numFmtId="251" formatCode="_(* #,##0.0_);_(* \(#,##0.0\);_(* &quot;-&quot;??_);_(@_)"/>
    <numFmt numFmtId="252" formatCode="#,##0;\(#,##0\)"/>
    <numFmt numFmtId="253" formatCode="[$-409]mmm\-yy;@"/>
    <numFmt numFmtId="254" formatCode="#,##0.00_);\(#,##0.00\)"/>
    <numFmt numFmtId="255" formatCode="#,##0.000_);\(#,##0.000\)"/>
    <numFmt numFmtId="256" formatCode="0."/>
    <numFmt numFmtId="257" formatCode="0.0."/>
    <numFmt numFmtId="258" formatCode="#,##0.0_);[Red]\(#,##0.0\)"/>
    <numFmt numFmtId="259" formatCode="#,##0.000_);[Red]\(#,##0.000\)"/>
    <numFmt numFmtId="260" formatCode="#,##0.0;[Red]\-#,##0.0"/>
    <numFmt numFmtId="261" formatCode="[$-409]dd\-mmm\-yy;@"/>
    <numFmt numFmtId="262" formatCode="#,##0.000;[Red]\-#,##0.000"/>
    <numFmt numFmtId="263" formatCode="#,##0_ ;[Red]\-#,##0\ "/>
    <numFmt numFmtId="264" formatCode="[$-409]mmmm\-yy;@"/>
    <numFmt numFmtId="265" formatCode="dd\ mmmm"/>
    <numFmt numFmtId="266" formatCode="d\ mmm"/>
    <numFmt numFmtId="267" formatCode="dd\-mmmm"/>
    <numFmt numFmtId="268" formatCode="mmm\ "/>
    <numFmt numFmtId="269" formatCode="\(0\)"/>
    <numFmt numFmtId="270" formatCode="#,##0.000000000000"/>
    <numFmt numFmtId="271" formatCode="&quot;+&quot;#,##0.0"/>
    <numFmt numFmtId="272" formatCode="#,##0_ ;\-#,##0\ "/>
    <numFmt numFmtId="273" formatCode="[$-409]d\-mmm;@"/>
    <numFmt numFmtId="274" formatCode="0.00000"/>
    <numFmt numFmtId="275" formatCode="0.0_);\(0.0\)"/>
    <numFmt numFmtId="276" formatCode="[$-409]mmmmm;@"/>
    <numFmt numFmtId="277" formatCode="_-* #,##0_-;\-* #,##0_-;_-* &quot;-&quot;??_-;_-@_-"/>
    <numFmt numFmtId="278" formatCode="#,##0.00_ ;\-#,##0.00\ "/>
    <numFmt numFmtId="279" formatCode="#\ ###\ ##0;\-#\ ###;&quot;-&quot;"/>
    <numFmt numFmtId="280" formatCode="#,##0.0_ ;\-#,##0.0\ "/>
    <numFmt numFmtId="281" formatCode="_-* #,##0.0_-;\-* #,##0.0_-;_-* &quot;-&quot;??_-;_-@_-"/>
    <numFmt numFmtId="282" formatCode="\+#,##0"/>
  </numFmts>
  <fonts count="372">
    <font>
      <sz val="10"/>
      <name val="MS Sans Serif"/>
    </font>
    <font>
      <sz val="11"/>
      <color theme="1"/>
      <name val="Calibri"/>
      <family val="2"/>
      <scheme val="minor"/>
    </font>
    <font>
      <sz val="11"/>
      <color theme="1"/>
      <name val="Calibri"/>
      <family val="2"/>
      <scheme val="minor"/>
    </font>
    <font>
      <b/>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sz val="11"/>
      <name val="Times New Roman"/>
      <family val="1"/>
    </font>
    <font>
      <i/>
      <sz val="9"/>
      <name val="Arial"/>
      <family val="2"/>
    </font>
    <font>
      <u/>
      <sz val="9"/>
      <name val="Arial"/>
      <family val="2"/>
    </font>
    <font>
      <sz val="11"/>
      <name val="MS Sans Serif"/>
      <family val="2"/>
    </font>
    <font>
      <b/>
      <sz val="11"/>
      <name val="MS Sans Serif"/>
      <family val="2"/>
    </font>
    <font>
      <i/>
      <sz val="10"/>
      <name val="MS Sans Serif"/>
      <family val="2"/>
    </font>
    <font>
      <b/>
      <sz val="12"/>
      <name val="Arial"/>
      <family val="2"/>
    </font>
    <font>
      <b/>
      <sz val="14"/>
      <name val="Arial"/>
      <family val="2"/>
    </font>
    <font>
      <b/>
      <sz val="14"/>
      <name val="Times New Roman"/>
      <family val="1"/>
    </font>
    <font>
      <sz val="12"/>
      <name val="Times New Roman"/>
      <family val="1"/>
    </font>
    <font>
      <sz val="14"/>
      <name val="Arial"/>
      <family val="2"/>
    </font>
    <font>
      <sz val="14"/>
      <name val="Times New Roman"/>
      <family val="1"/>
    </font>
    <font>
      <b/>
      <u/>
      <sz val="11"/>
      <name val="Arial"/>
      <family val="2"/>
    </font>
    <font>
      <sz val="10"/>
      <name val="Arial"/>
      <family val="2"/>
    </font>
    <font>
      <b/>
      <i/>
      <sz val="10"/>
      <name val="Arial"/>
      <family val="2"/>
    </font>
    <font>
      <i/>
      <sz val="14"/>
      <name val="Arial"/>
      <family val="2"/>
    </font>
    <font>
      <i/>
      <sz val="10"/>
      <name val="Arial"/>
      <family val="2"/>
    </font>
    <font>
      <sz val="10"/>
      <name val="Times New Roman"/>
      <family val="1"/>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ont>
    <font>
      <b/>
      <sz val="13.5"/>
      <name val="Times New Roman"/>
      <family val="1"/>
    </font>
    <font>
      <b/>
      <sz val="10"/>
      <name val="Times New Roman"/>
      <family val="1"/>
    </font>
    <font>
      <i/>
      <sz val="10"/>
      <name val="Times New Roman"/>
      <family val="1"/>
    </font>
    <font>
      <vertAlign val="superscript"/>
      <sz val="10"/>
      <name val="Arial"/>
      <family val="2"/>
    </font>
    <font>
      <b/>
      <u/>
      <sz val="10"/>
      <name val="Arial"/>
      <family val="2"/>
    </font>
    <font>
      <b/>
      <sz val="10"/>
      <color indexed="10"/>
      <name val="Arial"/>
      <family val="2"/>
    </font>
    <font>
      <i/>
      <vertAlign val="superscript"/>
      <sz val="9"/>
      <name val="Arial"/>
      <family val="2"/>
    </font>
    <font>
      <sz val="10"/>
      <color indexed="12"/>
      <name val="CG Times (W1)"/>
    </font>
    <font>
      <b/>
      <sz val="11"/>
      <name val="Times New Roman"/>
      <family val="1"/>
    </font>
    <font>
      <i/>
      <sz val="11"/>
      <name val="Arial"/>
      <family val="2"/>
    </font>
    <font>
      <b/>
      <sz val="12"/>
      <name val="Times New Roman"/>
      <family val="1"/>
    </font>
    <font>
      <b/>
      <vertAlign val="superscript"/>
      <sz val="11"/>
      <name val="Times New Roman"/>
      <family val="1"/>
    </font>
    <font>
      <b/>
      <vertAlign val="superscript"/>
      <sz val="12"/>
      <name val="Times New Roman"/>
      <family val="1"/>
    </font>
    <font>
      <i/>
      <sz val="11"/>
      <color indexed="12"/>
      <name val="Times New Roman"/>
      <family val="1"/>
    </font>
    <font>
      <sz val="11"/>
      <color indexed="10"/>
      <name val="Times New Roman"/>
      <family val="1"/>
    </font>
    <font>
      <i/>
      <vertAlign val="superscript"/>
      <sz val="11"/>
      <name val="Times New Roman"/>
      <family val="1"/>
    </font>
    <font>
      <i/>
      <sz val="11"/>
      <name val="Times New Roman"/>
      <family val="1"/>
    </font>
    <font>
      <sz val="10"/>
      <name val="Geneva"/>
    </font>
    <font>
      <sz val="10"/>
      <name val="Geneva"/>
      <family val="2"/>
    </font>
    <font>
      <sz val="11"/>
      <name val="??"/>
      <family val="1"/>
      <charset val="128"/>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sz val="8"/>
      <name val="Garamond"/>
      <family val="1"/>
    </font>
    <font>
      <sz val="12"/>
      <name val="Frutiger 45 Light"/>
      <family val="2"/>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10"/>
      <color indexed="10"/>
      <name val="Arial"/>
      <family val="2"/>
    </font>
    <font>
      <sz val="8"/>
      <name val="Palatino"/>
      <family val="1"/>
    </font>
    <font>
      <b/>
      <i/>
      <sz val="10"/>
      <name val="Arial "/>
    </font>
    <font>
      <sz val="10"/>
      <name val="Barclays Sans"/>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b/>
      <sz val="10"/>
      <color indexed="9"/>
      <name val="Arial"/>
      <family val="2"/>
    </font>
    <font>
      <b/>
      <sz val="14"/>
      <color indexed="13"/>
      <name val="Arial"/>
      <family val="2"/>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sz val="13"/>
      <name val="Times New Roman"/>
      <family val="1"/>
    </font>
    <font>
      <i/>
      <sz val="9"/>
      <name val="Times New Roman"/>
      <family val="1"/>
    </font>
    <font>
      <b/>
      <vertAlign val="superscript"/>
      <sz val="10"/>
      <name val="Times New Roman"/>
      <family val="1"/>
    </font>
    <font>
      <i/>
      <vertAlign val="superscript"/>
      <sz val="9"/>
      <name val="Times New Roman"/>
      <family val="1"/>
    </font>
    <font>
      <vertAlign val="superscript"/>
      <sz val="11"/>
      <name val="Times New Roman"/>
      <family val="1"/>
    </font>
    <font>
      <i/>
      <sz val="10"/>
      <color theme="1"/>
      <name val="Times New Roman"/>
      <family val="1"/>
    </font>
    <font>
      <b/>
      <sz val="11"/>
      <color indexed="12"/>
      <name val="Times New Roman"/>
      <family val="1"/>
    </font>
    <font>
      <b/>
      <vertAlign val="superscript"/>
      <sz val="14"/>
      <name val="Times New Roman"/>
      <family val="1"/>
    </font>
    <font>
      <i/>
      <vertAlign val="superscript"/>
      <sz val="11"/>
      <color theme="1"/>
      <name val="Times New Roman"/>
      <family val="1"/>
    </font>
    <font>
      <i/>
      <sz val="11"/>
      <color indexed="8"/>
      <name val="Times New Roman"/>
      <family val="1"/>
    </font>
    <font>
      <sz val="11"/>
      <color theme="1"/>
      <name val="Times New Roman"/>
      <family val="1"/>
    </font>
    <font>
      <i/>
      <sz val="11"/>
      <color theme="1"/>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b/>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sz val="12"/>
      <name val="Arial"/>
      <family val="2"/>
    </font>
    <font>
      <i/>
      <sz val="12"/>
      <name val="Arial"/>
      <family val="2"/>
    </font>
    <font>
      <b/>
      <sz val="14"/>
      <color indexed="23"/>
      <name val="Arial"/>
      <family val="2"/>
    </font>
    <font>
      <sz val="13.5"/>
      <name val="Times New Roman"/>
      <family val="1"/>
    </font>
    <font>
      <i/>
      <sz val="13.5"/>
      <name val="Times New Roman"/>
      <family val="1"/>
    </font>
    <font>
      <b/>
      <i/>
      <sz val="13.5"/>
      <name val="Times New Roman"/>
      <family val="1"/>
    </font>
    <font>
      <b/>
      <sz val="11"/>
      <color indexed="8"/>
      <name val="Times New Roman"/>
      <family val="1"/>
    </font>
    <font>
      <b/>
      <i/>
      <sz val="11"/>
      <name val="Times New Roman"/>
      <family val="1"/>
    </font>
    <font>
      <sz val="11"/>
      <color indexed="9"/>
      <name val="Times New Roman"/>
      <family val="1"/>
    </font>
    <font>
      <i/>
      <vertAlign val="superscript"/>
      <sz val="12"/>
      <name val="Times New Roman"/>
      <family val="1"/>
    </font>
    <font>
      <vertAlign val="superscript"/>
      <sz val="12"/>
      <name val="Times New Roman"/>
      <family val="1"/>
    </font>
    <font>
      <vertAlign val="superscript"/>
      <sz val="10"/>
      <name val="Times New Roman"/>
      <family val="1"/>
    </font>
    <font>
      <b/>
      <vertAlign val="subscript"/>
      <sz val="12"/>
      <name val="Times New Roman"/>
      <family val="1"/>
    </font>
    <font>
      <sz val="12"/>
      <color theme="1"/>
      <name val="Times New Roman"/>
      <family val="1"/>
    </font>
    <font>
      <i/>
      <vertAlign val="superscript"/>
      <sz val="14"/>
      <name val="Times New Roman"/>
      <family val="1"/>
    </font>
    <font>
      <i/>
      <vertAlign val="superscript"/>
      <sz val="10"/>
      <name val="Times New Roman"/>
      <family val="1"/>
    </font>
    <font>
      <sz val="12"/>
      <color theme="1"/>
      <name val="Calibri"/>
      <family val="2"/>
      <scheme val="minor"/>
    </font>
    <font>
      <b/>
      <vertAlign val="superscript"/>
      <sz val="9"/>
      <name val="Times New Roman"/>
      <family val="1"/>
    </font>
    <font>
      <b/>
      <sz val="13"/>
      <name val="Arial"/>
      <family val="2"/>
    </font>
    <font>
      <sz val="13"/>
      <name val="Arial"/>
      <family val="2"/>
    </font>
    <font>
      <b/>
      <vertAlign val="superscript"/>
      <sz val="10"/>
      <name val="Arial"/>
      <family val="2"/>
    </font>
    <font>
      <b/>
      <i/>
      <vertAlign val="superscript"/>
      <sz val="14"/>
      <name val="Times New Roman"/>
      <family val="1"/>
    </font>
    <font>
      <i/>
      <sz val="8"/>
      <name val="Arial"/>
      <family val="2"/>
    </font>
    <font>
      <b/>
      <sz val="12.5"/>
      <name val="Times New Roman"/>
      <family val="1"/>
    </font>
    <font>
      <sz val="12.5"/>
      <name val="Times New Roman"/>
      <family val="1"/>
    </font>
    <font>
      <sz val="12.5"/>
      <color theme="1"/>
      <name val="Times New Roman"/>
      <family val="1"/>
    </font>
    <font>
      <vertAlign val="superscript"/>
      <sz val="12.5"/>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sz val="10"/>
      <color indexed="54"/>
      <name val="Times New Roman"/>
      <family val="1"/>
    </font>
    <font>
      <b/>
      <vertAlign val="superscript"/>
      <sz val="10"/>
      <name val="Trebuchet MS"/>
      <family val="2"/>
    </font>
    <font>
      <sz val="10"/>
      <color indexed="10"/>
      <name val="Times New Roman"/>
      <family val="1"/>
    </font>
    <font>
      <sz val="11"/>
      <color indexed="54"/>
      <name val="Times New Roman"/>
      <family val="1"/>
    </font>
    <font>
      <sz val="10"/>
      <color indexed="62"/>
      <name val="Times New Roman"/>
      <family val="1"/>
    </font>
    <font>
      <b/>
      <sz val="10"/>
      <color indexed="62"/>
      <name val="Times New Roman"/>
      <family val="1"/>
    </font>
    <font>
      <i/>
      <vertAlign val="superscript"/>
      <sz val="8.5"/>
      <name val="Arial"/>
      <family val="2"/>
    </font>
    <font>
      <sz val="8.5"/>
      <name val="Arial"/>
      <family val="2"/>
    </font>
    <font>
      <i/>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sz val="10"/>
      <color theme="1"/>
      <name val="Arial"/>
      <family val="2"/>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4"/>
      <name val="Bookman Old Style"/>
      <family val="1"/>
    </font>
    <font>
      <sz val="12"/>
      <name val="Bookman Old Style"/>
      <family val="1"/>
    </font>
    <font>
      <i/>
      <sz val="7"/>
      <name val="Bookman Old Style"/>
      <family val="1"/>
    </font>
    <font>
      <i/>
      <sz val="11"/>
      <name val="Bookman Old Style"/>
      <family val="1"/>
    </font>
    <font>
      <i/>
      <vertAlign val="superscript"/>
      <sz val="16"/>
      <name val="Times New Roman"/>
      <family val="1"/>
    </font>
    <font>
      <sz val="16"/>
      <name val="Times New Roman"/>
      <family val="1"/>
    </font>
    <font>
      <sz val="16"/>
      <color theme="1"/>
      <name val="Times New Roman"/>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sz val="10"/>
      <color indexed="18"/>
      <name val="Arial"/>
      <family val="2"/>
    </font>
    <font>
      <sz val="10"/>
      <color indexed="18"/>
      <name val="Arial Narrow"/>
      <family val="2"/>
    </font>
    <font>
      <sz val="8"/>
      <color indexed="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24"/>
      <name val="Times New Roman"/>
      <family val="1"/>
    </font>
    <font>
      <b/>
      <i/>
      <sz val="14"/>
      <name val="Times New Roman"/>
      <family val="1"/>
    </font>
    <font>
      <i/>
      <sz val="15"/>
      <name val="Times New Roman"/>
      <family val="1"/>
    </font>
    <font>
      <i/>
      <sz val="18"/>
      <name val="Times New Roman"/>
      <family val="1"/>
    </font>
    <font>
      <b/>
      <vertAlign val="superscript"/>
      <sz val="18"/>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i/>
      <sz val="16"/>
      <name val="Times New Roman"/>
      <family val="1"/>
    </font>
    <font>
      <sz val="11.5"/>
      <color indexed="8"/>
      <name val="Times New Roman"/>
      <family val="1"/>
    </font>
    <font>
      <sz val="11.5"/>
      <name val="Times New Roman"/>
      <family val="1"/>
    </font>
    <font>
      <b/>
      <sz val="11"/>
      <color indexed="41"/>
      <name val="Times New Roman"/>
      <family val="1"/>
    </font>
    <font>
      <b/>
      <sz val="12"/>
      <color indexed="41"/>
      <name val="Times New Roman"/>
      <family val="1"/>
    </font>
    <font>
      <sz val="14"/>
      <color indexed="8"/>
      <name val="Times New Roman"/>
      <family val="1"/>
    </font>
    <font>
      <i/>
      <sz val="10"/>
      <color indexed="8"/>
      <name val="Arial"/>
      <family val="2"/>
    </font>
    <font>
      <b/>
      <sz val="12"/>
      <color indexed="8"/>
      <name val="Times New Roman"/>
      <family val="1"/>
    </font>
    <font>
      <b/>
      <vertAlign val="superscript"/>
      <sz val="10"/>
      <color indexed="18"/>
      <name val="Arial"/>
      <family val="2"/>
    </font>
    <font>
      <i/>
      <vertAlign val="superscript"/>
      <sz val="9"/>
      <color indexed="18"/>
      <name val="Arial"/>
      <family val="2"/>
    </font>
  </fonts>
  <fills count="123">
    <fill>
      <patternFill patternType="none"/>
    </fill>
    <fill>
      <patternFill patternType="gray125"/>
    </fill>
    <fill>
      <patternFill patternType="solid">
        <fgColor indexed="22"/>
        <bgColor indexed="64"/>
      </patternFill>
    </fill>
    <fill>
      <patternFill patternType="mediumGray">
        <fgColor indexed="22"/>
        <bgColor theme="0" tint="-0.14999847407452621"/>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mediumGray">
        <fgColor indexed="22"/>
        <bgColor theme="2"/>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mediumGray">
        <fgColor indexed="22"/>
        <bgColor theme="0"/>
      </patternFill>
    </fill>
    <fill>
      <patternFill patternType="solid">
        <fgColor theme="0" tint="-0.14999847407452621"/>
        <bgColor indexed="22"/>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theme="2"/>
      </patternFill>
    </fill>
    <fill>
      <patternFill patternType="solid">
        <fgColor theme="0" tint="-4.9989318521683403E-2"/>
        <bgColor indexed="64"/>
      </patternFill>
    </fill>
    <fill>
      <patternFill patternType="lightGray">
        <bgColor theme="0" tint="-0.14999847407452621"/>
      </patternFill>
    </fill>
    <fill>
      <patternFill patternType="lightGray">
        <fgColor indexed="22"/>
        <bgColor indexed="9"/>
      </patternFill>
    </fill>
    <fill>
      <patternFill patternType="solid">
        <fgColor theme="0" tint="-0.14999847407452621"/>
        <bgColor indexed="41"/>
      </patternFill>
    </fill>
    <fill>
      <patternFill patternType="solid">
        <fgColor rgb="FFEEEEEE"/>
        <bgColor indexed="64"/>
      </patternFill>
    </fill>
    <fill>
      <patternFill patternType="lightGray">
        <fgColor indexed="22"/>
        <bgColor indexed="22"/>
      </patternFill>
    </fill>
    <fill>
      <patternFill patternType="gray125">
        <bgColor theme="0"/>
      </patternFill>
    </fill>
  </fills>
  <borders count="33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medium">
        <color indexed="64"/>
      </left>
      <right style="thick">
        <color indexed="64"/>
      </right>
      <top/>
      <bottom style="thick">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medium">
        <color indexed="64"/>
      </bottom>
      <diagonal/>
    </border>
    <border>
      <left style="thin">
        <color indexed="64"/>
      </left>
      <right/>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style="thin">
        <color indexed="64"/>
      </right>
      <top style="medium">
        <color indexed="64"/>
      </top>
      <bottom/>
      <diagonal/>
    </border>
    <border>
      <left style="double">
        <color indexed="64"/>
      </left>
      <right/>
      <top style="medium">
        <color indexed="64"/>
      </top>
      <bottom/>
      <diagonal/>
    </border>
    <border>
      <left style="double">
        <color indexed="64"/>
      </left>
      <right style="thin">
        <color indexed="64"/>
      </right>
      <top/>
      <bottom/>
      <diagonal/>
    </border>
    <border>
      <left style="double">
        <color indexed="64"/>
      </left>
      <right/>
      <top/>
      <bottom/>
      <diagonal/>
    </border>
    <border>
      <left style="medium">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double">
        <color indexed="64"/>
      </left>
      <right/>
      <top/>
      <bottom style="medium">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diagonal/>
    </border>
    <border>
      <left style="medium">
        <color auto="1"/>
      </left>
      <right style="thin">
        <color auto="1"/>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s>
  <cellStyleXfs count="6408">
    <xf numFmtId="0" fontId="0" fillId="0" borderId="0"/>
    <xf numFmtId="40" fontId="7" fillId="0" borderId="0" applyFont="0" applyFill="0" applyBorder="0" applyAlignment="0" applyProtection="0"/>
    <xf numFmtId="0" fontId="32" fillId="0" borderId="0"/>
    <xf numFmtId="43" fontId="32" fillId="0" borderId="0" applyFont="0" applyFill="0" applyBorder="0" applyAlignment="0" applyProtection="0"/>
    <xf numFmtId="170" fontId="40" fillId="0" borderId="26" applyNumberFormat="0" applyFill="0" applyBorder="0" applyAlignment="0">
      <protection locked="0"/>
    </xf>
    <xf numFmtId="0" fontId="23" fillId="0" borderId="0"/>
    <xf numFmtId="43" fontId="23" fillId="0" borderId="0" applyFont="0" applyFill="0" applyBorder="0" applyAlignment="0" applyProtection="0"/>
    <xf numFmtId="0" fontId="23" fillId="0" borderId="0">
      <alignment horizontal="left" wrapText="1"/>
    </xf>
    <xf numFmtId="0" fontId="23" fillId="0" borderId="0"/>
    <xf numFmtId="0" fontId="23" fillId="0" borderId="0"/>
    <xf numFmtId="174" fontId="50" fillId="0" borderId="0" applyFont="0" applyFill="0" applyBorder="0" applyAlignment="0" applyProtection="0"/>
    <xf numFmtId="175" fontId="50" fillId="0" borderId="0" applyFont="0" applyFill="0" applyBorder="0" applyAlignment="0" applyProtection="0"/>
    <xf numFmtId="174" fontId="50" fillId="0" borderId="0" applyFont="0" applyFill="0" applyBorder="0" applyAlignment="0" applyProtection="0"/>
    <xf numFmtId="174" fontId="50" fillId="0" borderId="0" applyFont="0" applyFill="0" applyBorder="0" applyAlignment="0" applyProtection="0"/>
    <xf numFmtId="5" fontId="50" fillId="0" borderId="0" applyFont="0" applyFill="0" applyBorder="0" applyAlignment="0" applyProtection="0"/>
    <xf numFmtId="174" fontId="50" fillId="0" borderId="0" applyFont="0" applyFill="0" applyBorder="0" applyAlignment="0" applyProtection="0"/>
    <xf numFmtId="5" fontId="50" fillId="0" borderId="0" applyFont="0" applyFill="0" applyBorder="0" applyAlignment="0" applyProtection="0"/>
    <xf numFmtId="174" fontId="50" fillId="0" borderId="0" applyFont="0" applyFill="0" applyBorder="0" applyAlignment="0" applyProtection="0"/>
    <xf numFmtId="174" fontId="50" fillId="0" borderId="0" applyFont="0" applyFill="0" applyBorder="0" applyAlignment="0" applyProtection="0"/>
    <xf numFmtId="174" fontId="50" fillId="0" borderId="0" applyFont="0" applyFill="0" applyBorder="0" applyAlignment="0" applyProtection="0"/>
    <xf numFmtId="174" fontId="50" fillId="0" borderId="0" applyFont="0" applyFill="0" applyBorder="0" applyAlignment="0" applyProtection="0"/>
    <xf numFmtId="174" fontId="50" fillId="0" borderId="0" applyFont="0" applyFill="0" applyBorder="0" applyAlignment="0" applyProtection="0"/>
    <xf numFmtId="174" fontId="50" fillId="0" borderId="0" applyFont="0" applyFill="0" applyBorder="0" applyAlignment="0" applyProtection="0"/>
    <xf numFmtId="174" fontId="50" fillId="0" borderId="0" applyFont="0" applyFill="0" applyBorder="0" applyAlignment="0" applyProtection="0"/>
    <xf numFmtId="5" fontId="50" fillId="0" borderId="0" applyFont="0" applyFill="0" applyBorder="0" applyAlignment="0" applyProtection="0"/>
    <xf numFmtId="176" fontId="7" fillId="0" borderId="0">
      <alignment horizontal="left"/>
    </xf>
    <xf numFmtId="176" fontId="7" fillId="0" borderId="0">
      <alignment horizontal="left"/>
    </xf>
    <xf numFmtId="176" fontId="7" fillId="0" borderId="0">
      <alignment horizontal="left"/>
    </xf>
    <xf numFmtId="176" fontId="7" fillId="0" borderId="0">
      <alignment horizontal="left"/>
    </xf>
    <xf numFmtId="174" fontId="50" fillId="0" borderId="0" applyFont="0" applyFill="0" applyBorder="0" applyAlignment="0" applyProtection="0"/>
    <xf numFmtId="5" fontId="50" fillId="0" borderId="0" applyFont="0" applyFill="0" applyBorder="0" applyAlignment="0" applyProtection="0"/>
    <xf numFmtId="9" fontId="50" fillId="0" borderId="0" applyFont="0" applyFill="0" applyBorder="0" applyAlignment="0" applyProtection="0"/>
    <xf numFmtId="10" fontId="50" fillId="0" borderId="0" applyFont="0" applyFill="0" applyBorder="0" applyAlignment="0" applyProtection="0"/>
    <xf numFmtId="177" fontId="23" fillId="0" borderId="0" applyFont="0" applyFill="0" applyBorder="0" applyAlignment="0" applyProtection="0"/>
    <xf numFmtId="178" fontId="51" fillId="0" borderId="0" applyFont="0" applyFill="0" applyBorder="0" applyAlignment="0" applyProtection="0"/>
    <xf numFmtId="179" fontId="23" fillId="0" borderId="0" applyFont="0" applyFill="0" applyBorder="0" applyAlignment="0" applyProtection="0"/>
    <xf numFmtId="180" fontId="23" fillId="0" borderId="0" applyFont="0" applyFill="0" applyBorder="0" applyAlignment="0" applyProtection="0"/>
    <xf numFmtId="0" fontId="52" fillId="0" borderId="0"/>
    <xf numFmtId="0" fontId="27" fillId="0" borderId="0"/>
    <xf numFmtId="0" fontId="27" fillId="0" borderId="0"/>
    <xf numFmtId="17" fontId="53" fillId="0" borderId="0">
      <alignment horizontal="center"/>
    </xf>
    <xf numFmtId="181" fontId="23" fillId="0" borderId="0" applyFont="0" applyFill="0" applyBorder="0" applyAlignment="0" applyProtection="0"/>
    <xf numFmtId="182"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17"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17" borderId="0"/>
    <xf numFmtId="0" fontId="23" fillId="0" borderId="0">
      <alignment horizontal="left" wrapText="1"/>
    </xf>
    <xf numFmtId="0" fontId="23" fillId="0" borderId="0">
      <alignment horizontal="left" wrapText="1"/>
    </xf>
    <xf numFmtId="0" fontId="54"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pplyNumberFormat="0" applyFill="0" applyBorder="0" applyAlignment="0" applyProtection="0">
      <alignment horizontal="left" wrapText="1"/>
    </xf>
    <xf numFmtId="0" fontId="23" fillId="0" borderId="0" applyNumberFormat="0" applyFill="0" applyBorder="0" applyAlignment="0" applyProtection="0">
      <alignment horizontal="left" wrapText="1"/>
    </xf>
    <xf numFmtId="0" fontId="23" fillId="0" borderId="0">
      <alignment horizontal="left" wrapText="1"/>
    </xf>
    <xf numFmtId="0" fontId="23" fillId="0" borderId="0">
      <alignment horizontal="left" wrapText="1"/>
    </xf>
    <xf numFmtId="0" fontId="23" fillId="17" borderId="0"/>
    <xf numFmtId="0" fontId="23" fillId="17" borderId="0"/>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horizontal="left" wrapText="1"/>
    </xf>
    <xf numFmtId="0" fontId="23" fillId="0" borderId="0">
      <alignment horizontal="left" wrapText="1"/>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xf numFmtId="0" fontId="23" fillId="0" borderId="0"/>
    <xf numFmtId="0" fontId="23" fillId="0" borderId="0">
      <alignment vertical="top"/>
    </xf>
    <xf numFmtId="0" fontId="23" fillId="0" borderId="0">
      <alignment vertical="top"/>
    </xf>
    <xf numFmtId="0" fontId="23" fillId="0" borderId="0">
      <alignment vertical="top"/>
    </xf>
    <xf numFmtId="0" fontId="23" fillId="0" borderId="0">
      <alignment horizontal="left" wrapText="1"/>
    </xf>
    <xf numFmtId="0" fontId="23" fillId="0" borderId="0">
      <alignment horizontal="left" wrapText="1"/>
    </xf>
    <xf numFmtId="0" fontId="23" fillId="0" borderId="0" applyNumberFormat="0" applyFill="0" applyBorder="0" applyAlignment="0" applyProtection="0">
      <alignment horizontal="left" wrapText="1"/>
    </xf>
    <xf numFmtId="0" fontId="23" fillId="0" borderId="0" applyNumberFormat="0" applyFill="0" applyBorder="0" applyAlignment="0" applyProtection="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xf numFmtId="0" fontId="23"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56" fillId="0" borderId="0">
      <alignment horizontal="left" wrapText="1"/>
    </xf>
    <xf numFmtId="183" fontId="23" fillId="0" borderId="0" applyFont="0" applyFill="0" applyBorder="0" applyAlignment="0" applyProtection="0"/>
    <xf numFmtId="0" fontId="23" fillId="0" borderId="0">
      <alignment horizontal="left" wrapText="1"/>
    </xf>
    <xf numFmtId="0" fontId="23" fillId="0"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84" fontId="23" fillId="0" borderId="0" applyFont="0" applyFill="0" applyBorder="0" applyAlignment="0" applyProtection="0"/>
    <xf numFmtId="185"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86" fontId="23" fillId="0" borderId="0">
      <alignment horizontal="left" wrapText="1"/>
    </xf>
    <xf numFmtId="186" fontId="23" fillId="0" borderId="0">
      <alignment horizontal="left" wrapText="1"/>
    </xf>
    <xf numFmtId="0" fontId="23" fillId="0" borderId="0">
      <alignment horizontal="left" wrapText="1"/>
    </xf>
    <xf numFmtId="0" fontId="23" fillId="0" borderId="0">
      <alignment horizontal="left" wrapText="1"/>
    </xf>
    <xf numFmtId="0" fontId="55" fillId="0" borderId="0">
      <alignment vertical="top"/>
    </xf>
    <xf numFmtId="0" fontId="23" fillId="0" borderId="0">
      <alignment horizontal="left" wrapText="1"/>
    </xf>
    <xf numFmtId="0" fontId="23" fillId="0" borderId="0">
      <alignment horizontal="left" wrapText="1"/>
    </xf>
    <xf numFmtId="0" fontId="55" fillId="0" borderId="0">
      <alignment vertical="top"/>
    </xf>
    <xf numFmtId="0" fontId="55"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alignment horizontal="left" wrapText="1"/>
    </xf>
    <xf numFmtId="0" fontId="23" fillId="0" borderId="0">
      <alignment horizontal="left" wrapText="1"/>
    </xf>
    <xf numFmtId="187" fontId="23" fillId="0" borderId="0" applyFont="0" applyFill="0" applyBorder="0" applyAlignment="0" applyProtection="0"/>
    <xf numFmtId="0" fontId="23" fillId="17" borderId="0"/>
    <xf numFmtId="0" fontId="23" fillId="17"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56"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17" borderId="0"/>
    <xf numFmtId="0" fontId="23" fillId="17" borderId="0"/>
    <xf numFmtId="0" fontId="23" fillId="0" borderId="0">
      <alignment horizontal="left" wrapText="1"/>
    </xf>
    <xf numFmtId="0" fontId="23" fillId="0" borderId="0">
      <alignment horizontal="left" wrapText="1"/>
    </xf>
    <xf numFmtId="0" fontId="23" fillId="17" borderId="0"/>
    <xf numFmtId="0" fontId="23" fillId="17" borderId="0"/>
    <xf numFmtId="0" fontId="23" fillId="0" borderId="0"/>
    <xf numFmtId="0" fontId="23" fillId="0" borderId="0"/>
    <xf numFmtId="0" fontId="23" fillId="0" borderId="0">
      <alignment horizontal="left" wrapText="1"/>
    </xf>
    <xf numFmtId="0" fontId="23" fillId="0" borderId="0"/>
    <xf numFmtId="0" fontId="23" fillId="0" borderId="0">
      <alignment horizontal="left" wrapText="1"/>
    </xf>
    <xf numFmtId="0" fontId="23" fillId="0" borderId="0"/>
    <xf numFmtId="0" fontId="23" fillId="0" borderId="0">
      <alignment horizontal="left" wrapText="1"/>
    </xf>
    <xf numFmtId="0" fontId="23" fillId="0" borderId="0">
      <alignment horizontal="left" wrapText="1"/>
    </xf>
    <xf numFmtId="0" fontId="57" fillId="0" borderId="0" applyNumberFormat="0" applyFill="0" applyBorder="0" applyAlignment="0" applyProtection="0"/>
    <xf numFmtId="0" fontId="23" fillId="18" borderId="0" applyNumberFormat="0" applyFont="0" applyAlignment="0" applyProtection="0"/>
    <xf numFmtId="0" fontId="58" fillId="0" borderId="0"/>
    <xf numFmtId="0" fontId="23" fillId="0" borderId="0">
      <alignment vertical="top"/>
    </xf>
    <xf numFmtId="0" fontId="23" fillId="0" borderId="0">
      <alignment vertical="top"/>
    </xf>
    <xf numFmtId="0" fontId="23" fillId="0" borderId="0">
      <alignment vertical="top"/>
    </xf>
    <xf numFmtId="0" fontId="58"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55" fillId="0" borderId="0">
      <alignment vertical="top"/>
    </xf>
    <xf numFmtId="0" fontId="55" fillId="0" borderId="0">
      <alignment vertical="top"/>
    </xf>
    <xf numFmtId="0" fontId="55" fillId="0" borderId="0">
      <alignment vertical="top"/>
    </xf>
    <xf numFmtId="0" fontId="23" fillId="0" borderId="0">
      <alignment horizontal="left" wrapText="1"/>
    </xf>
    <xf numFmtId="0" fontId="23" fillId="17" borderId="0"/>
    <xf numFmtId="0" fontId="23" fillId="17" borderId="0"/>
    <xf numFmtId="0" fontId="23" fillId="0" borderId="0">
      <alignment horizontal="left" wrapText="1"/>
    </xf>
    <xf numFmtId="0" fontId="23" fillId="17" borderId="0"/>
    <xf numFmtId="0" fontId="23" fillId="17"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horizontal="left" wrapText="1"/>
    </xf>
    <xf numFmtId="0" fontId="23" fillId="0" borderId="0">
      <alignment horizontal="left" wrapText="1"/>
    </xf>
    <xf numFmtId="0" fontId="23" fillId="0" borderId="0"/>
    <xf numFmtId="0" fontId="55" fillId="0" borderId="0">
      <alignment vertical="top"/>
    </xf>
    <xf numFmtId="0" fontId="55" fillId="0" borderId="0">
      <alignment vertical="top"/>
    </xf>
    <xf numFmtId="0" fontId="55" fillId="0" borderId="0">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0" borderId="0"/>
    <xf numFmtId="0" fontId="23" fillId="0" borderId="0"/>
    <xf numFmtId="0" fontId="23" fillId="0" borderId="0"/>
    <xf numFmtId="0" fontId="23" fillId="17" borderId="0"/>
    <xf numFmtId="0" fontId="23" fillId="17" borderId="0"/>
    <xf numFmtId="0" fontId="23" fillId="0" borderId="0">
      <alignment horizontal="left" wrapText="1"/>
    </xf>
    <xf numFmtId="0" fontId="23" fillId="0" borderId="0">
      <alignment horizontal="left" wrapText="1"/>
    </xf>
    <xf numFmtId="0" fontId="23" fillId="17" borderId="0"/>
    <xf numFmtId="0" fontId="23" fillId="17" borderId="0"/>
    <xf numFmtId="0" fontId="23" fillId="0" borderId="0">
      <alignment horizontal="left" wrapText="1"/>
    </xf>
    <xf numFmtId="0" fontId="58" fillId="0" borderId="0"/>
    <xf numFmtId="188" fontId="23" fillId="0" borderId="0" applyFont="0" applyFill="0" applyBorder="0" applyAlignment="0" applyProtection="0"/>
    <xf numFmtId="189" fontId="23" fillId="0" borderId="0" applyFont="0" applyFill="0" applyBorder="0" applyProtection="0">
      <alignment horizontal="right"/>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xf numFmtId="0" fontId="23" fillId="0" borderId="0"/>
    <xf numFmtId="0" fontId="23" fillId="0" borderId="0"/>
    <xf numFmtId="0" fontId="23" fillId="0" borderId="0"/>
    <xf numFmtId="0" fontId="58" fillId="0" borderId="0"/>
    <xf numFmtId="0" fontId="55" fillId="0" borderId="0">
      <alignment vertical="top"/>
    </xf>
    <xf numFmtId="0" fontId="55" fillId="0" borderId="0">
      <alignment vertical="top"/>
    </xf>
    <xf numFmtId="0" fontId="55"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horizontal="left" wrapText="1"/>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59" fillId="19" borderId="0"/>
    <xf numFmtId="0" fontId="59" fillId="19" borderId="0"/>
    <xf numFmtId="0" fontId="60" fillId="19" borderId="0"/>
    <xf numFmtId="0" fontId="60" fillId="19" borderId="0"/>
    <xf numFmtId="0" fontId="59" fillId="19" borderId="0"/>
    <xf numFmtId="0" fontId="59" fillId="19" borderId="0"/>
    <xf numFmtId="0" fontId="61" fillId="0" borderId="0"/>
    <xf numFmtId="0" fontId="61" fillId="0" borderId="0"/>
    <xf numFmtId="0" fontId="61" fillId="0" borderId="0"/>
    <xf numFmtId="0" fontId="61" fillId="0" borderId="0"/>
    <xf numFmtId="0" fontId="62" fillId="0" borderId="0"/>
    <xf numFmtId="0" fontId="62" fillId="0" borderId="0"/>
    <xf numFmtId="0" fontId="60" fillId="0" borderId="0"/>
    <xf numFmtId="0" fontId="60" fillId="0" borderId="0"/>
    <xf numFmtId="0" fontId="63" fillId="0" borderId="0"/>
    <xf numFmtId="0" fontId="63" fillId="0" borderId="0"/>
    <xf numFmtId="0" fontId="63" fillId="0" borderId="0"/>
    <xf numFmtId="0" fontId="63" fillId="0" borderId="0"/>
    <xf numFmtId="0" fontId="64" fillId="0" borderId="0"/>
    <xf numFmtId="0" fontId="64" fillId="0" borderId="0"/>
    <xf numFmtId="0" fontId="60" fillId="19" borderId="0"/>
    <xf numFmtId="0" fontId="60" fillId="19" borderId="0"/>
    <xf numFmtId="0" fontId="59" fillId="19" borderId="0"/>
    <xf numFmtId="0" fontId="59" fillId="19" borderId="0"/>
    <xf numFmtId="0" fontId="65" fillId="20" borderId="0"/>
    <xf numFmtId="0" fontId="65" fillId="20" borderId="0"/>
    <xf numFmtId="0" fontId="66" fillId="21" borderId="0"/>
    <xf numFmtId="0" fontId="66" fillId="21" borderId="0"/>
    <xf numFmtId="0" fontId="66" fillId="21" borderId="0"/>
    <xf numFmtId="0" fontId="66" fillId="21" borderId="0"/>
    <xf numFmtId="0" fontId="63" fillId="0" borderId="0"/>
    <xf numFmtId="0" fontId="63" fillId="0" borderId="0"/>
    <xf numFmtId="0" fontId="64" fillId="0" borderId="0"/>
    <xf numFmtId="0" fontId="64"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59" fillId="19" borderId="0"/>
    <xf numFmtId="0" fontId="59" fillId="19" borderId="0"/>
    <xf numFmtId="0" fontId="60" fillId="19" borderId="0"/>
    <xf numFmtId="0" fontId="60" fillId="19" borderId="0"/>
    <xf numFmtId="0" fontId="62" fillId="0" borderId="0"/>
    <xf numFmtId="0" fontId="62" fillId="0" borderId="0"/>
    <xf numFmtId="0" fontId="70" fillId="20" borderId="0"/>
    <xf numFmtId="0" fontId="70" fillId="20" borderId="0"/>
    <xf numFmtId="0" fontId="70" fillId="20" borderId="0"/>
    <xf numFmtId="0" fontId="70" fillId="20" borderId="0"/>
    <xf numFmtId="0" fontId="70" fillId="20" borderId="0"/>
    <xf numFmtId="0" fontId="70" fillId="20" borderId="0"/>
    <xf numFmtId="0" fontId="65" fillId="20" borderId="0"/>
    <xf numFmtId="0" fontId="65" fillId="20" borderId="0"/>
    <xf numFmtId="0" fontId="66" fillId="21" borderId="0"/>
    <xf numFmtId="0" fontId="66" fillId="21" borderId="0"/>
    <xf numFmtId="0" fontId="66" fillId="21" borderId="0"/>
    <xf numFmtId="0" fontId="66" fillId="21" borderId="0"/>
    <xf numFmtId="0" fontId="66" fillId="21" borderId="0"/>
    <xf numFmtId="0" fontId="66" fillId="21" borderId="0"/>
    <xf numFmtId="0" fontId="63" fillId="0" borderId="0"/>
    <xf numFmtId="0" fontId="63" fillId="0" borderId="0"/>
    <xf numFmtId="0" fontId="64" fillId="0" borderId="0"/>
    <xf numFmtId="0" fontId="64"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59" fillId="19" borderId="0"/>
    <xf numFmtId="0" fontId="59" fillId="19" borderId="0"/>
    <xf numFmtId="0" fontId="60" fillId="19" borderId="0"/>
    <xf numFmtId="0" fontId="60" fillId="19" borderId="0"/>
    <xf numFmtId="0" fontId="62" fillId="0" borderId="0"/>
    <xf numFmtId="0" fontId="62" fillId="0" borderId="0"/>
    <xf numFmtId="0" fontId="62" fillId="20" borderId="0"/>
    <xf numFmtId="0" fontId="62" fillId="20" borderId="0"/>
    <xf numFmtId="0" fontId="65" fillId="20" borderId="0"/>
    <xf numFmtId="0" fontId="65" fillId="20" borderId="0"/>
    <xf numFmtId="0" fontId="23" fillId="17" borderId="0"/>
    <xf numFmtId="0" fontId="23" fillId="17" borderId="0"/>
    <xf numFmtId="0" fontId="71" fillId="0" borderId="0"/>
    <xf numFmtId="0" fontId="72" fillId="0" borderId="0"/>
    <xf numFmtId="0" fontId="72" fillId="0" borderId="0"/>
    <xf numFmtId="0" fontId="23" fillId="0" borderId="0"/>
    <xf numFmtId="0" fontId="23" fillId="0" borderId="0"/>
    <xf numFmtId="0" fontId="23" fillId="0" borderId="0">
      <alignment horizontal="left" wrapText="1"/>
    </xf>
    <xf numFmtId="0" fontId="5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23" fillId="0" borderId="0">
      <alignment horizontal="left" wrapText="1"/>
    </xf>
    <xf numFmtId="0" fontId="23" fillId="0" borderId="0">
      <alignment horizontal="left" wrapText="1"/>
    </xf>
    <xf numFmtId="0" fontId="55" fillId="0" borderId="0">
      <alignment vertical="top"/>
    </xf>
    <xf numFmtId="0" fontId="55" fillId="0" borderId="0">
      <alignment vertical="top"/>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0"/>
    <xf numFmtId="0" fontId="23" fillId="17"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0"/>
    <xf numFmtId="0" fontId="23" fillId="17"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55" fillId="0" borderId="0">
      <alignment vertical="top"/>
    </xf>
    <xf numFmtId="0" fontId="55" fillId="0" borderId="0">
      <alignment vertical="top"/>
    </xf>
    <xf numFmtId="0" fontId="55" fillId="0" borderId="0">
      <alignment vertical="top"/>
    </xf>
    <xf numFmtId="0" fontId="23" fillId="0" borderId="0">
      <alignment horizontal="left" wrapText="1"/>
    </xf>
    <xf numFmtId="0" fontId="23" fillId="0" borderId="0"/>
    <xf numFmtId="0" fontId="23" fillId="0" borderId="0"/>
    <xf numFmtId="0" fontId="23" fillId="17" borderId="0"/>
    <xf numFmtId="0" fontId="23" fillId="17"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17" borderId="0"/>
    <xf numFmtId="0" fontId="23" fillId="17" borderId="0"/>
    <xf numFmtId="0" fontId="23" fillId="0" borderId="0">
      <alignment horizontal="left" wrapText="1"/>
    </xf>
    <xf numFmtId="0" fontId="23" fillId="17" borderId="0"/>
    <xf numFmtId="0" fontId="23" fillId="17"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56"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vertical="top"/>
    </xf>
    <xf numFmtId="0" fontId="23" fillId="17" borderId="0"/>
    <xf numFmtId="0" fontId="23" fillId="17" borderId="0"/>
    <xf numFmtId="0" fontId="23" fillId="0" borderId="0">
      <alignment horizontal="left" wrapText="1"/>
    </xf>
    <xf numFmtId="0" fontId="23" fillId="0" borderId="0">
      <alignment vertical="top"/>
    </xf>
    <xf numFmtId="0" fontId="23"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17" borderId="0"/>
    <xf numFmtId="0" fontId="23" fillId="17"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73" fillId="0" borderId="0" applyNumberFormat="0" applyFill="0" applyBorder="0" applyProtection="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56" fillId="0" borderId="0">
      <alignment horizontal="left" wrapText="1"/>
    </xf>
    <xf numFmtId="0" fontId="56" fillId="0" borderId="0">
      <alignment horizontal="left" wrapText="1"/>
    </xf>
    <xf numFmtId="0" fontId="56" fillId="0" borderId="0">
      <alignment horizontal="left" wrapText="1"/>
    </xf>
    <xf numFmtId="0" fontId="56" fillId="0" borderId="0">
      <alignment horizontal="left" wrapText="1"/>
    </xf>
    <xf numFmtId="0" fontId="56" fillId="0" borderId="0">
      <alignment horizontal="left" wrapText="1"/>
    </xf>
    <xf numFmtId="0" fontId="56" fillId="0" borderId="0">
      <alignment horizontal="left" wrapText="1"/>
    </xf>
    <xf numFmtId="0" fontId="56"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17" borderId="0"/>
    <xf numFmtId="0" fontId="23" fillId="17" borderId="0"/>
    <xf numFmtId="0" fontId="74" fillId="0" borderId="61" applyNumberFormat="0" applyFill="0" applyAlignment="0" applyProtection="0"/>
    <xf numFmtId="0" fontId="74" fillId="0" borderId="61" applyNumberFormat="0" applyFill="0" applyAlignment="0" applyProtection="0"/>
    <xf numFmtId="0" fontId="74" fillId="0" borderId="61" applyNumberFormat="0" applyFill="0" applyAlignment="0" applyProtection="0"/>
    <xf numFmtId="0" fontId="75" fillId="0" borderId="62" applyNumberFormat="0" applyFill="0" applyProtection="0">
      <alignment horizontal="center"/>
    </xf>
    <xf numFmtId="0" fontId="75" fillId="0" borderId="62" applyNumberFormat="0" applyFill="0" applyProtection="0">
      <alignment horizontal="center"/>
    </xf>
    <xf numFmtId="0" fontId="75" fillId="0" borderId="62" applyNumberFormat="0" applyFill="0" applyProtection="0">
      <alignment horizontal="center"/>
    </xf>
    <xf numFmtId="0" fontId="75" fillId="0" borderId="0" applyNumberFormat="0" applyFill="0" applyBorder="0" applyProtection="0">
      <alignment horizontal="left"/>
    </xf>
    <xf numFmtId="0" fontId="23" fillId="0" borderId="0">
      <alignment horizontal="left" wrapText="1"/>
    </xf>
    <xf numFmtId="0" fontId="23" fillId="0" borderId="0">
      <alignment horizontal="left" wrapText="1"/>
    </xf>
    <xf numFmtId="0" fontId="23" fillId="0" borderId="0">
      <alignment horizontal="left" wrapText="1"/>
    </xf>
    <xf numFmtId="0" fontId="76" fillId="0" borderId="0" applyNumberFormat="0" applyFill="0" applyBorder="0" applyProtection="0">
      <alignment horizontal="centerContinuous"/>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55" fillId="0" borderId="0">
      <alignment vertical="top"/>
    </xf>
    <xf numFmtId="0" fontId="55" fillId="0" borderId="0">
      <alignment vertical="top"/>
    </xf>
    <xf numFmtId="0" fontId="55" fillId="0" borderId="0">
      <alignment vertical="top"/>
    </xf>
    <xf numFmtId="0" fontId="23" fillId="0" borderId="0"/>
    <xf numFmtId="0" fontId="23" fillId="0" borderId="0"/>
    <xf numFmtId="0" fontId="23" fillId="0" borderId="0">
      <alignment vertical="top"/>
    </xf>
    <xf numFmtId="0" fontId="23"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17" borderId="0"/>
    <xf numFmtId="0" fontId="23" fillId="0" borderId="0"/>
    <xf numFmtId="0" fontId="23" fillId="0" borderId="0"/>
    <xf numFmtId="0" fontId="23" fillId="17" borderId="0"/>
    <xf numFmtId="0" fontId="23" fillId="17" borderId="0"/>
    <xf numFmtId="0" fontId="23" fillId="17" borderId="0"/>
    <xf numFmtId="0" fontId="23" fillId="0" borderId="0"/>
    <xf numFmtId="0" fontId="23" fillId="0" borderId="0"/>
    <xf numFmtId="0" fontId="23" fillId="17" borderId="0"/>
    <xf numFmtId="0" fontId="23" fillId="17" borderId="0"/>
    <xf numFmtId="0" fontId="23" fillId="0" borderId="0"/>
    <xf numFmtId="0" fontId="23" fillId="0" borderId="0"/>
    <xf numFmtId="0" fontId="19" fillId="0" borderId="0" applyFont="0" applyFill="0" applyBorder="0" applyAlignment="0" applyProtection="0"/>
    <xf numFmtId="0" fontId="19" fillId="0" borderId="0" applyFont="0" applyFill="0" applyBorder="0" applyAlignment="0" applyProtection="0"/>
    <xf numFmtId="0" fontId="23" fillId="0" borderId="0">
      <alignment vertical="top"/>
    </xf>
    <xf numFmtId="0" fontId="23" fillId="0" borderId="0">
      <alignment vertical="top"/>
    </xf>
    <xf numFmtId="0" fontId="77" fillId="0" borderId="0"/>
    <xf numFmtId="0" fontId="78" fillId="22" borderId="0" applyNumberFormat="0" applyBorder="0" applyAlignment="0" applyProtection="0"/>
    <xf numFmtId="0" fontId="78" fillId="19"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190" fontId="65" fillId="0" borderId="0">
      <alignment horizontal="center"/>
    </xf>
    <xf numFmtId="0" fontId="2" fillId="9"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7"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38" borderId="0" applyNumberFormat="0" applyBorder="0" applyAlignment="0" applyProtection="0"/>
    <xf numFmtId="0" fontId="78" fillId="33"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79" fillId="41" borderId="0" applyNumberFormat="0" applyBorder="0" applyAlignment="0" applyProtection="0"/>
    <xf numFmtId="0" fontId="79" fillId="21" borderId="0" applyNumberFormat="0" applyBorder="0" applyAlignment="0" applyProtection="0"/>
    <xf numFmtId="0" fontId="79" fillId="34" borderId="0" applyNumberFormat="0" applyBorder="0" applyAlignment="0" applyProtection="0"/>
    <xf numFmtId="0" fontId="79" fillId="35" borderId="0" applyNumberFormat="0" applyBorder="0" applyAlignment="0" applyProtection="0"/>
    <xf numFmtId="0" fontId="79" fillId="36" borderId="0" applyNumberFormat="0" applyBorder="0" applyAlignment="0" applyProtection="0"/>
    <xf numFmtId="0" fontId="79" fillId="37"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79" fillId="47" borderId="0" applyNumberFormat="0" applyBorder="0" applyAlignment="0" applyProtection="0"/>
    <xf numFmtId="0" fontId="79"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79" fillId="51" borderId="0" applyNumberFormat="0" applyBorder="0" applyAlignment="0" applyProtection="0"/>
    <xf numFmtId="0" fontId="79" fillId="52" borderId="0" applyNumberFormat="0" applyBorder="0" applyAlignment="0" applyProtection="0"/>
    <xf numFmtId="0" fontId="79" fillId="53"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0" fontId="31" fillId="10" borderId="0" applyNumberFormat="0" applyBorder="0" applyAlignment="0" applyProtection="0"/>
    <xf numFmtId="0" fontId="79" fillId="45" borderId="0" applyNumberFormat="0" applyBorder="0" applyAlignment="0" applyProtection="0"/>
    <xf numFmtId="0" fontId="79" fillId="54" borderId="0" applyNumberFormat="0" applyBorder="0" applyAlignment="0" applyProtection="0"/>
    <xf numFmtId="0" fontId="79" fillId="55" borderId="0" applyNumberFormat="0" applyBorder="0" applyAlignment="0" applyProtection="0"/>
    <xf numFmtId="1" fontId="7" fillId="0" borderId="0"/>
    <xf numFmtId="0" fontId="80" fillId="0" borderId="0" applyNumberFormat="0" applyFill="0" applyBorder="0" applyAlignment="0">
      <protection locked="0"/>
    </xf>
    <xf numFmtId="0" fontId="23" fillId="0" borderId="0" applyFill="0" applyBorder="0" applyProtection="0">
      <protection locked="0"/>
    </xf>
    <xf numFmtId="0" fontId="81" fillId="56" borderId="23"/>
    <xf numFmtId="191" fontId="82" fillId="57" borderId="63" applyFont="0" applyFill="0" applyBorder="0" applyProtection="0">
      <alignment vertical="center"/>
    </xf>
    <xf numFmtId="0" fontId="38" fillId="0" borderId="0" applyNumberFormat="0" applyFill="0" applyBorder="0" applyAlignment="0">
      <alignment horizontal="right"/>
    </xf>
    <xf numFmtId="0" fontId="83" fillId="0" borderId="64">
      <alignment horizontal="center"/>
    </xf>
    <xf numFmtId="0" fontId="84" fillId="0" borderId="6">
      <alignment horizontal="left" vertical="center" wrapText="1"/>
    </xf>
    <xf numFmtId="0" fontId="23" fillId="0" borderId="0"/>
    <xf numFmtId="17" fontId="23" fillId="0" borderId="0" applyFont="0" applyFill="0" applyBorder="0" applyProtection="0">
      <alignment horizontal="left"/>
    </xf>
    <xf numFmtId="0" fontId="23" fillId="0" borderId="0" applyFont="0" applyFill="0" applyBorder="0" applyProtection="0">
      <alignment horizontal="left"/>
    </xf>
    <xf numFmtId="0" fontId="10" fillId="20" borderId="0" applyAlignment="0"/>
    <xf numFmtId="0" fontId="29" fillId="6" borderId="0" applyNumberFormat="0" applyBorder="0" applyAlignment="0" applyProtection="0"/>
    <xf numFmtId="0" fontId="29" fillId="6" borderId="0" applyNumberFormat="0" applyBorder="0" applyAlignment="0" applyProtection="0"/>
    <xf numFmtId="0" fontId="85" fillId="24" borderId="0" applyNumberFormat="0" applyBorder="0" applyAlignment="0" applyProtection="0"/>
    <xf numFmtId="0" fontId="86" fillId="58" borderId="0" applyNumberFormat="0" applyBorder="0">
      <alignment horizontal="left"/>
    </xf>
    <xf numFmtId="0" fontId="87" fillId="0" borderId="0" applyNumberFormat="0" applyFill="0" applyBorder="0" applyAlignment="0">
      <alignment horizontal="right"/>
    </xf>
    <xf numFmtId="38" fontId="88" fillId="20" borderId="0"/>
    <xf numFmtId="0" fontId="23" fillId="59" borderId="0" applyNumberFormat="0" applyFont="0" applyBorder="0" applyAlignment="0" applyProtection="0"/>
    <xf numFmtId="192" fontId="27" fillId="0" borderId="0" applyFon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60" borderId="0" applyBorder="0">
      <alignment horizontal="left" vertical="center" indent="1"/>
    </xf>
    <xf numFmtId="0" fontId="3" fillId="0" borderId="0" applyNumberFormat="0" applyFill="0" applyBorder="0" applyAlignment="0">
      <alignment horizontal="left"/>
    </xf>
    <xf numFmtId="0" fontId="43" fillId="0" borderId="6" applyNumberFormat="0" applyFill="0" applyAlignment="0" applyProtection="0"/>
    <xf numFmtId="0" fontId="3" fillId="0" borderId="0" applyNumberFormat="0" applyFill="0" applyBorder="0" applyAlignment="0">
      <alignment horizontal="left"/>
    </xf>
    <xf numFmtId="193" fontId="27" fillId="0" borderId="0">
      <alignment horizontal="center"/>
    </xf>
    <xf numFmtId="15" fontId="92" fillId="0" borderId="0" applyNumberFormat="0">
      <alignment horizontal="center"/>
    </xf>
    <xf numFmtId="174" fontId="93" fillId="0" borderId="65" applyAlignment="0" applyProtection="0"/>
    <xf numFmtId="0" fontId="94" fillId="0" borderId="13" applyNumberFormat="0" applyFont="0" applyFill="0" applyAlignment="0" applyProtection="0"/>
    <xf numFmtId="194" fontId="23" fillId="0" borderId="66" applyNumberFormat="0" applyFill="0" applyAlignment="0" applyProtection="0"/>
    <xf numFmtId="0" fontId="50" fillId="0" borderId="6" applyNumberFormat="0" applyFont="0" applyFill="0" applyAlignment="0" applyProtection="0"/>
    <xf numFmtId="0" fontId="50" fillId="0" borderId="26" applyNumberFormat="0" applyFont="0" applyFill="0" applyAlignment="0" applyProtection="0"/>
    <xf numFmtId="0" fontId="50" fillId="0" borderId="39" applyNumberFormat="0" applyFont="0" applyFill="0" applyAlignment="0" applyProtection="0"/>
    <xf numFmtId="0" fontId="50" fillId="0" borderId="65" applyNumberFormat="0" applyFont="0" applyFill="0" applyAlignment="0" applyProtection="0"/>
    <xf numFmtId="174" fontId="93" fillId="0" borderId="65" applyAlignment="0" applyProtection="0"/>
    <xf numFmtId="0" fontId="19" fillId="0" borderId="0" applyFont="0" applyFill="0" applyBorder="0" applyAlignment="0" applyProtection="0"/>
    <xf numFmtId="195" fontId="95" fillId="61" borderId="0"/>
    <xf numFmtId="196" fontId="51" fillId="0" borderId="0" applyFill="0" applyBorder="0" applyAlignment="0"/>
    <xf numFmtId="197" fontId="55" fillId="0" borderId="0" applyFill="0" applyBorder="0" applyAlignment="0"/>
    <xf numFmtId="198" fontId="55" fillId="0" borderId="0" applyFill="0" applyBorder="0" applyAlignment="0"/>
    <xf numFmtId="199" fontId="55" fillId="0" borderId="0" applyFill="0" applyBorder="0" applyAlignment="0"/>
    <xf numFmtId="200" fontId="55" fillId="0" borderId="0" applyFill="0" applyBorder="0" applyAlignment="0"/>
    <xf numFmtId="201" fontId="55" fillId="0" borderId="0" applyFill="0" applyBorder="0" applyAlignment="0"/>
    <xf numFmtId="202" fontId="55" fillId="0" borderId="0" applyFill="0" applyBorder="0" applyAlignment="0"/>
    <xf numFmtId="197" fontId="55" fillId="0" borderId="0" applyFill="0" applyBorder="0" applyAlignment="0"/>
    <xf numFmtId="0" fontId="96" fillId="62" borderId="67" applyNumberFormat="0" applyAlignment="0" applyProtection="0"/>
    <xf numFmtId="0" fontId="96" fillId="63" borderId="67" applyNumberFormat="0" applyAlignment="0" applyProtection="0"/>
    <xf numFmtId="0" fontId="97" fillId="0" borderId="0">
      <alignment wrapText="1"/>
    </xf>
    <xf numFmtId="0" fontId="98" fillId="64" borderId="68" applyNumberFormat="0" applyAlignment="0" applyProtection="0"/>
    <xf numFmtId="0" fontId="98" fillId="65" borderId="68" applyNumberFormat="0" applyAlignment="0" applyProtection="0"/>
    <xf numFmtId="3" fontId="99" fillId="57" borderId="64" applyFont="0" applyFill="0" applyProtection="0">
      <alignment horizontal="right"/>
    </xf>
    <xf numFmtId="0" fontId="62" fillId="0" borderId="0" applyNumberFormat="0" applyFill="0" applyBorder="0" applyAlignment="0" applyProtection="0"/>
    <xf numFmtId="41" fontId="23" fillId="0" borderId="0" applyFont="0" applyFill="0" applyBorder="0" applyAlignment="0" applyProtection="0"/>
    <xf numFmtId="0" fontId="54" fillId="0" borderId="69"/>
    <xf numFmtId="203" fontId="23" fillId="0" borderId="0"/>
    <xf numFmtId="203" fontId="23" fillId="0" borderId="0"/>
    <xf numFmtId="203" fontId="23" fillId="0" borderId="0"/>
    <xf numFmtId="203" fontId="23" fillId="0" borderId="0"/>
    <xf numFmtId="203" fontId="23" fillId="0" borderId="0"/>
    <xf numFmtId="203" fontId="23" fillId="0" borderId="0"/>
    <xf numFmtId="203" fontId="23" fillId="0" borderId="0"/>
    <xf numFmtId="201" fontId="23" fillId="0" borderId="0" applyFont="0" applyFill="0" applyBorder="0" applyAlignment="0" applyProtection="0"/>
    <xf numFmtId="0" fontId="100" fillId="0" borderId="0" applyFont="0" applyFill="0" applyBorder="0" applyAlignment="0" applyProtection="0">
      <alignment horizontal="right"/>
    </xf>
    <xf numFmtId="204" fontId="23" fillId="0" borderId="0" applyFont="0" applyFill="0" applyBorder="0" applyAlignment="0" applyProtection="0"/>
    <xf numFmtId="204" fontId="101"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179"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102" fillId="0" borderId="0" applyFont="0" applyFill="0" applyBorder="0" applyAlignment="0" applyProtection="0"/>
    <xf numFmtId="204" fontId="23" fillId="0" borderId="0" applyFont="0" applyFill="0" applyBorder="0" applyAlignment="0" applyProtection="0"/>
    <xf numFmtId="179"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179" fontId="23" fillId="0" borderId="0" applyFont="0" applyFill="0" applyBorder="0" applyAlignment="0" applyProtection="0"/>
    <xf numFmtId="204" fontId="23" fillId="0" borderId="0" applyFont="0" applyFill="0" applyBorder="0" applyAlignment="0" applyProtection="0"/>
    <xf numFmtId="179"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54" fillId="0" borderId="0" applyFont="0" applyFill="0" applyBorder="0" applyAlignment="0" applyProtection="0"/>
    <xf numFmtId="204" fontId="23" fillId="0" borderId="0" applyFont="0" applyFill="0" applyBorder="0" applyAlignment="0" applyProtection="0"/>
    <xf numFmtId="43" fontId="54"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2" fillId="0" borderId="0" applyFont="0" applyFill="0" applyBorder="0" applyAlignment="0" applyProtection="0"/>
    <xf numFmtId="204" fontId="101"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78" fillId="0" borderId="0" applyFont="0" applyFill="0" applyBorder="0" applyAlignment="0" applyProtection="0"/>
    <xf numFmtId="204" fontId="23" fillId="0" borderId="0" applyFont="0" applyFill="0" applyBorder="0" applyAlignment="0" applyProtection="0"/>
    <xf numFmtId="43" fontId="78"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78" fillId="0" borderId="0" applyFont="0" applyFill="0" applyBorder="0" applyAlignment="0" applyProtection="0"/>
    <xf numFmtId="43" fontId="23" fillId="0" borderId="0" applyFont="0" applyFill="0" applyBorder="0" applyAlignment="0" applyProtection="0"/>
    <xf numFmtId="43" fontId="78"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179" fontId="23" fillId="0" borderId="0" applyFont="0" applyFill="0" applyBorder="0" applyAlignment="0" applyProtection="0"/>
    <xf numFmtId="204" fontId="23" fillId="0" borderId="0" applyFont="0" applyFill="0" applyBorder="0" applyAlignment="0" applyProtection="0"/>
    <xf numFmtId="179" fontId="78"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174" fontId="23" fillId="0" borderId="0" applyFont="0" applyFill="0" applyBorder="0" applyAlignment="0" applyProtection="0"/>
    <xf numFmtId="179" fontId="78" fillId="0" borderId="0" applyFont="0" applyFill="0" applyBorder="0" applyAlignment="0" applyProtection="0"/>
    <xf numFmtId="43" fontId="23" fillId="0" borderId="0" applyFont="0" applyFill="0" applyBorder="0" applyAlignment="0" applyProtection="0"/>
    <xf numFmtId="0" fontId="100" fillId="0" borderId="0" applyFont="0" applyFill="0" applyBorder="0" applyAlignment="0" applyProtection="0">
      <alignment horizontal="right"/>
    </xf>
    <xf numFmtId="174" fontId="23" fillId="0" borderId="0" applyFont="0" applyFill="0" applyBorder="0" applyAlignment="0" applyProtection="0"/>
    <xf numFmtId="0" fontId="100" fillId="0" borderId="0" applyFont="0" applyFill="0" applyBorder="0" applyAlignment="0" applyProtection="0">
      <alignment horizontal="right"/>
    </xf>
    <xf numFmtId="20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101" fillId="0" borderId="0" applyFont="0" applyFill="0" applyBorder="0" applyAlignment="0" applyProtection="0"/>
    <xf numFmtId="204" fontId="101"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17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 fontId="54" fillId="0" borderId="0" applyFont="0" applyFill="0" applyBorder="0" applyAlignment="0" applyProtection="0"/>
    <xf numFmtId="0" fontId="78" fillId="0" borderId="0" applyFont="0" applyFill="0" applyBorder="0" applyAlignment="0" applyProtection="0"/>
    <xf numFmtId="0" fontId="78" fillId="0" borderId="0" applyFont="0" applyFill="0" applyBorder="0" applyAlignment="0" applyProtection="0"/>
    <xf numFmtId="179"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204" fontId="23" fillId="0" borderId="0" applyFont="0" applyFill="0" applyBorder="0" applyAlignment="0" applyProtection="0"/>
    <xf numFmtId="179" fontId="23" fillId="0" borderId="0" applyFont="0" applyFill="0" applyBorder="0" applyAlignment="0" applyProtection="0"/>
    <xf numFmtId="20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205"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7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43" fontId="23" fillId="0" borderId="0" applyFont="0" applyFill="0" applyBorder="0" applyAlignment="0" applyProtection="0"/>
    <xf numFmtId="205"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0" fontId="7" fillId="0" borderId="0" applyFont="0" applyFill="0" applyBorder="0" applyAlignment="0" applyProtection="0"/>
    <xf numFmtId="4" fontId="54" fillId="0" borderId="0" applyFont="0" applyFill="0" applyBorder="0" applyAlignment="0" applyProtection="0"/>
    <xf numFmtId="204" fontId="78"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78" fillId="0" borderId="0" applyFont="0" applyFill="0" applyBorder="0" applyAlignment="0" applyProtection="0"/>
    <xf numFmtId="204" fontId="78" fillId="0" borderId="0" applyFont="0" applyFill="0" applyBorder="0" applyAlignment="0" applyProtection="0"/>
    <xf numFmtId="204" fontId="78" fillId="0" borderId="0" applyFont="0" applyFill="0" applyBorder="0" applyAlignment="0" applyProtection="0"/>
    <xf numFmtId="204" fontId="23" fillId="0" borderId="0" applyFont="0" applyFill="0" applyBorder="0" applyAlignment="0" applyProtection="0"/>
    <xf numFmtId="179" fontId="78" fillId="0" borderId="0" applyFont="0" applyFill="0" applyBorder="0" applyAlignment="0" applyProtection="0"/>
    <xf numFmtId="204" fontId="23" fillId="0" borderId="0" applyFont="0" applyFill="0" applyBorder="0" applyAlignment="0" applyProtection="0"/>
    <xf numFmtId="179" fontId="78" fillId="0" borderId="0" applyFont="0" applyFill="0" applyBorder="0" applyAlignment="0" applyProtection="0"/>
    <xf numFmtId="204" fontId="78" fillId="0" borderId="0" applyFont="0" applyFill="0" applyBorder="0" applyAlignment="0" applyProtection="0"/>
    <xf numFmtId="179" fontId="78" fillId="0" borderId="0" applyFont="0" applyFill="0" applyBorder="0" applyAlignment="0" applyProtection="0"/>
    <xf numFmtId="43" fontId="23" fillId="0" borderId="0" applyFont="0" applyFill="0" applyBorder="0" applyAlignment="0" applyProtection="0"/>
    <xf numFmtId="179" fontId="78" fillId="0" borderId="0" applyFont="0" applyFill="0" applyBorder="0" applyAlignment="0" applyProtection="0"/>
    <xf numFmtId="204" fontId="78" fillId="0" borderId="0" applyFont="0" applyFill="0" applyBorder="0" applyAlignment="0" applyProtection="0"/>
    <xf numFmtId="179" fontId="78" fillId="0" borderId="0" applyFont="0" applyFill="0" applyBorder="0" applyAlignment="0" applyProtection="0"/>
    <xf numFmtId="43" fontId="23" fillId="0" borderId="0" applyFont="0" applyFill="0" applyBorder="0" applyAlignment="0" applyProtection="0"/>
    <xf numFmtId="179" fontId="78" fillId="0" borderId="0" applyFont="0" applyFill="0" applyBorder="0" applyAlignment="0" applyProtection="0"/>
    <xf numFmtId="204" fontId="78" fillId="0" borderId="0" applyFont="0" applyFill="0" applyBorder="0" applyAlignment="0" applyProtection="0"/>
    <xf numFmtId="179" fontId="78" fillId="0" borderId="0" applyFont="0" applyFill="0" applyBorder="0" applyAlignment="0" applyProtection="0"/>
    <xf numFmtId="204" fontId="78" fillId="0" borderId="0" applyFont="0" applyFill="0" applyBorder="0" applyAlignment="0" applyProtection="0"/>
    <xf numFmtId="179" fontId="78" fillId="0" borderId="0" applyFont="0" applyFill="0" applyBorder="0" applyAlignment="0" applyProtection="0"/>
    <xf numFmtId="204" fontId="78" fillId="0" borderId="0" applyFont="0" applyFill="0" applyBorder="0" applyAlignment="0" applyProtection="0"/>
    <xf numFmtId="179" fontId="78" fillId="0" borderId="0" applyFont="0" applyFill="0" applyBorder="0" applyAlignment="0" applyProtection="0"/>
    <xf numFmtId="204" fontId="78" fillId="0" borderId="0" applyFont="0" applyFill="0" applyBorder="0" applyAlignment="0" applyProtection="0"/>
    <xf numFmtId="204" fontId="23" fillId="0" borderId="0" applyFont="0" applyFill="0" applyBorder="0" applyAlignment="0" applyProtection="0"/>
    <xf numFmtId="204" fontId="78"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 fillId="0" borderId="0" applyFont="0" applyFill="0" applyBorder="0" applyAlignment="0" applyProtection="0"/>
    <xf numFmtId="204" fontId="23" fillId="0" borderId="0" applyFont="0" applyFill="0" applyBorder="0" applyAlignment="0" applyProtection="0"/>
    <xf numFmtId="204" fontId="2"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 fillId="0" borderId="0" applyFont="0" applyFill="0" applyBorder="0" applyAlignment="0" applyProtection="0"/>
    <xf numFmtId="204" fontId="23" fillId="0" borderId="0" applyFont="0" applyFill="0" applyBorder="0" applyAlignment="0" applyProtection="0"/>
    <xf numFmtId="204" fontId="2"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10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78"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0" fontId="104" fillId="0" borderId="0" applyNumberFormat="0" applyFill="0" applyBorder="0" applyAlignment="0" applyProtection="0"/>
    <xf numFmtId="0" fontId="105" fillId="0" borderId="0"/>
    <xf numFmtId="0" fontId="54" fillId="0" borderId="0"/>
    <xf numFmtId="0" fontId="104" fillId="0" borderId="0" applyNumberFormat="0" applyFill="0" applyBorder="0" applyAlignment="0" applyProtection="0"/>
    <xf numFmtId="0" fontId="105" fillId="0" borderId="0"/>
    <xf numFmtId="0" fontId="54" fillId="0" borderId="0"/>
    <xf numFmtId="0" fontId="54" fillId="0" borderId="0"/>
    <xf numFmtId="0" fontId="106" fillId="66" borderId="0" applyBorder="0">
      <alignment horizontal="left"/>
    </xf>
    <xf numFmtId="0" fontId="107" fillId="67" borderId="0" applyNumberFormat="0" applyBorder="0">
      <alignment horizontal="left"/>
    </xf>
    <xf numFmtId="41" fontId="23" fillId="0" borderId="0" applyFont="0" applyFill="0" applyBorder="0" applyAlignment="0" applyProtection="0"/>
    <xf numFmtId="41" fontId="23" fillId="0" borderId="0" applyFont="0" applyFill="0" applyBorder="0" applyAlignment="0" applyProtection="0"/>
    <xf numFmtId="194" fontId="41" fillId="0" borderId="0" applyFill="0" applyBorder="0">
      <alignment horizontal="left"/>
    </xf>
    <xf numFmtId="0" fontId="23" fillId="0" borderId="0"/>
    <xf numFmtId="0" fontId="108" fillId="68" borderId="0"/>
    <xf numFmtId="10" fontId="23" fillId="0" borderId="0"/>
    <xf numFmtId="0" fontId="109" fillId="0" borderId="0" applyNumberFormat="0" applyAlignment="0">
      <alignment horizontal="left"/>
    </xf>
    <xf numFmtId="206" fontId="110" fillId="0" borderId="0"/>
    <xf numFmtId="0" fontId="54" fillId="0" borderId="69"/>
    <xf numFmtId="207" fontId="111" fillId="0" borderId="0"/>
    <xf numFmtId="197" fontId="23" fillId="0" borderId="0" applyFont="0" applyFill="0" applyBorder="0" applyAlignment="0" applyProtection="0"/>
    <xf numFmtId="175" fontId="112" fillId="0" borderId="70">
      <protection locked="0"/>
    </xf>
    <xf numFmtId="0" fontId="100" fillId="0" borderId="0" applyFont="0" applyFill="0" applyBorder="0" applyAlignment="0" applyProtection="0">
      <alignment horizontal="right"/>
    </xf>
    <xf numFmtId="208" fontId="23" fillId="0" borderId="0" applyFont="0" applyFill="0" applyBorder="0" applyAlignment="0" applyProtection="0"/>
    <xf numFmtId="44" fontId="23" fillId="0" borderId="0" applyFont="0" applyFill="0" applyBorder="0" applyAlignment="0" applyProtection="0"/>
    <xf numFmtId="0" fontId="100" fillId="0" borderId="0" applyFont="0" applyFill="0" applyBorder="0" applyAlignment="0" applyProtection="0">
      <alignment horizontal="right"/>
    </xf>
    <xf numFmtId="44" fontId="23" fillId="0" borderId="0" applyFont="0" applyFill="0" applyBorder="0" applyAlignment="0" applyProtection="0"/>
    <xf numFmtId="208"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104" fillId="0" borderId="0" applyNumberFormat="0" applyFill="0" applyBorder="0" applyAlignment="0" applyProtection="0"/>
    <xf numFmtId="0" fontId="19" fillId="0" borderId="0" applyFont="0" applyFill="0" applyBorder="0" applyAlignment="0" applyProtection="0"/>
    <xf numFmtId="0" fontId="7" fillId="20" borderId="71" applyNumberFormat="0" applyFont="0" applyBorder="0" applyAlignment="0" applyProtection="0"/>
    <xf numFmtId="10" fontId="23" fillId="0" borderId="0" applyFont="0" applyFill="0" applyBorder="0" applyProtection="0">
      <alignment horizontal="center"/>
    </xf>
    <xf numFmtId="209" fontId="23" fillId="0" borderId="0" applyFont="0" applyFill="0" applyBorder="0" applyProtection="0"/>
    <xf numFmtId="210" fontId="23" fillId="0" borderId="0" applyFont="0" applyFill="0" applyBorder="0" applyProtection="0"/>
    <xf numFmtId="0" fontId="87" fillId="0" borderId="0" applyNumberFormat="0" applyBorder="0" applyAlignment="0">
      <alignment horizontal="center"/>
    </xf>
    <xf numFmtId="0" fontId="87" fillId="69" borderId="0" applyNumberFormat="0" applyBorder="0" applyAlignment="0">
      <alignment horizontal="center"/>
    </xf>
    <xf numFmtId="0" fontId="113" fillId="70" borderId="0" applyNumberFormat="0" applyBorder="0" applyAlignment="0"/>
    <xf numFmtId="0" fontId="114" fillId="70" borderId="0">
      <alignment horizontal="centerContinuous"/>
    </xf>
    <xf numFmtId="206" fontId="87" fillId="0" borderId="0">
      <protection locked="0"/>
    </xf>
    <xf numFmtId="206" fontId="87" fillId="0" borderId="0">
      <alignment horizontal="center"/>
      <protection locked="0"/>
    </xf>
    <xf numFmtId="14" fontId="34" fillId="0" borderId="0"/>
    <xf numFmtId="0" fontId="54" fillId="0" borderId="0"/>
    <xf numFmtId="0" fontId="100" fillId="0" borderId="0" applyFont="0" applyFill="0" applyBorder="0" applyAlignment="0" applyProtection="0"/>
    <xf numFmtId="14" fontId="55" fillId="0" borderId="0" applyFill="0" applyBorder="0" applyAlignment="0"/>
    <xf numFmtId="14" fontId="34" fillId="0" borderId="0"/>
    <xf numFmtId="211" fontId="27" fillId="0" borderId="0"/>
    <xf numFmtId="14" fontId="23" fillId="0" borderId="0"/>
    <xf numFmtId="38" fontId="7" fillId="0" borderId="72">
      <alignment vertical="center"/>
    </xf>
    <xf numFmtId="212" fontId="55" fillId="0" borderId="0" applyFont="0" applyFill="0" applyBorder="0" applyAlignment="0" applyProtection="0"/>
    <xf numFmtId="204" fontId="55" fillId="0" borderId="0" applyFont="0" applyFill="0" applyBorder="0" applyAlignment="0" applyProtection="0"/>
    <xf numFmtId="0" fontId="115" fillId="0" borderId="0">
      <protection locked="0"/>
    </xf>
    <xf numFmtId="213" fontId="23" fillId="0" borderId="0"/>
    <xf numFmtId="0" fontId="100" fillId="0" borderId="73" applyNumberFormat="0" applyFont="0" applyFill="0" applyAlignment="0" applyProtection="0"/>
    <xf numFmtId="214" fontId="23" fillId="0" borderId="0">
      <alignment horizontal="right"/>
    </xf>
    <xf numFmtId="49" fontId="23" fillId="0" borderId="0">
      <alignment horizontal="left"/>
    </xf>
    <xf numFmtId="0" fontId="90" fillId="0" borderId="0" applyNumberFormat="0" applyFill="0" applyBorder="0" applyAlignment="0" applyProtection="0"/>
    <xf numFmtId="0" fontId="116" fillId="0" borderId="0">
      <protection locked="0"/>
    </xf>
    <xf numFmtId="0" fontId="116" fillId="0" borderId="0">
      <protection locked="0"/>
    </xf>
    <xf numFmtId="201" fontId="80" fillId="0" borderId="0" applyFill="0" applyBorder="0" applyAlignment="0"/>
    <xf numFmtId="197" fontId="80" fillId="0" borderId="0" applyFill="0" applyBorder="0" applyAlignment="0"/>
    <xf numFmtId="201" fontId="80" fillId="0" borderId="0" applyFill="0" applyBorder="0" applyAlignment="0"/>
    <xf numFmtId="202" fontId="80" fillId="0" borderId="0" applyFill="0" applyBorder="0" applyAlignment="0"/>
    <xf numFmtId="197" fontId="80" fillId="0" borderId="0" applyFill="0" applyBorder="0" applyAlignment="0"/>
    <xf numFmtId="0" fontId="117" fillId="0" borderId="0" applyNumberFormat="0" applyAlignment="0">
      <alignment horizontal="left"/>
    </xf>
    <xf numFmtId="0" fontId="108" fillId="0" borderId="0" applyFill="0"/>
    <xf numFmtId="215" fontId="23" fillId="0" borderId="0" applyFont="0" applyFill="0" applyBorder="0" applyAlignment="0" applyProtection="0"/>
    <xf numFmtId="215" fontId="23" fillId="0" borderId="0" applyFont="0" applyFill="0" applyBorder="0" applyAlignment="0" applyProtection="0"/>
    <xf numFmtId="216" fontId="118" fillId="0" borderId="0"/>
    <xf numFmtId="0" fontId="119" fillId="0" borderId="0" applyNumberFormat="0" applyFill="0" applyBorder="0" applyAlignment="0" applyProtection="0"/>
    <xf numFmtId="0" fontId="19" fillId="0" borderId="0" applyNumberFormat="0" applyFill="0" applyBorder="0" applyAlignment="0" applyProtection="0"/>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7" fontId="23" fillId="0" borderId="0"/>
    <xf numFmtId="217" fontId="23" fillId="0" borderId="0"/>
    <xf numFmtId="0" fontId="23" fillId="0" borderId="0"/>
    <xf numFmtId="0" fontId="75" fillId="0" borderId="4" applyNumberFormat="0" applyFill="0" applyBorder="0" applyAlignment="0"/>
    <xf numFmtId="0" fontId="115" fillId="0" borderId="0">
      <protection locked="0"/>
    </xf>
    <xf numFmtId="0" fontId="115" fillId="0" borderId="0">
      <protection locked="0"/>
    </xf>
    <xf numFmtId="174" fontId="120" fillId="0" borderId="0" applyBorder="0">
      <alignment horizontal="right"/>
    </xf>
    <xf numFmtId="191" fontId="27" fillId="0" borderId="0"/>
    <xf numFmtId="2" fontId="121" fillId="0" borderId="0" applyFont="0" applyFill="0" applyBorder="0" applyAlignment="0" applyProtection="0"/>
    <xf numFmtId="0" fontId="122" fillId="0" borderId="0" applyFill="0" applyBorder="0" applyProtection="0">
      <alignment horizontal="left"/>
    </xf>
    <xf numFmtId="0" fontId="123" fillId="0" borderId="0">
      <alignment horizontal="left"/>
    </xf>
    <xf numFmtId="0" fontId="94" fillId="0" borderId="0" applyFill="0" applyBorder="0" applyProtection="0">
      <alignment horizontal="left"/>
    </xf>
    <xf numFmtId="0" fontId="23" fillId="20" borderId="0" applyFont="0" applyAlignment="0"/>
    <xf numFmtId="218" fontId="23" fillId="0" borderId="0" applyFont="0" applyFill="0" applyBorder="0" applyAlignment="0" applyProtection="0"/>
    <xf numFmtId="0" fontId="80" fillId="0" borderId="0" applyFont="0" applyFill="0" applyBorder="0" applyAlignment="0" applyProtection="0"/>
    <xf numFmtId="219" fontId="23" fillId="0" borderId="0" applyFont="0" applyFill="0" applyBorder="0" applyAlignment="0" applyProtection="0"/>
    <xf numFmtId="0" fontId="108" fillId="68" borderId="0">
      <alignment horizontal="left"/>
    </xf>
    <xf numFmtId="0" fontId="54" fillId="0" borderId="0" applyFont="0" applyFill="0" applyBorder="0" applyAlignment="0" applyProtection="0"/>
    <xf numFmtId="167" fontId="124" fillId="0" borderId="0">
      <alignment horizontal="center"/>
    </xf>
    <xf numFmtId="0" fontId="28" fillId="5" borderId="0" applyNumberFormat="0" applyBorder="0" applyAlignment="0" applyProtection="0"/>
    <xf numFmtId="0" fontId="28" fillId="5" borderId="0" applyNumberFormat="0" applyBorder="0" applyAlignment="0" applyProtection="0"/>
    <xf numFmtId="0" fontId="125" fillId="26" borderId="0" applyNumberFormat="0" applyBorder="0" applyAlignment="0" applyProtection="0"/>
    <xf numFmtId="0" fontId="126" fillId="0" borderId="0" applyFont="0" applyFill="0" applyBorder="0" applyAlignment="0">
      <alignment horizontal="left"/>
    </xf>
    <xf numFmtId="38" fontId="127" fillId="2" borderId="0" applyNumberFormat="0" applyBorder="0" applyAlignment="0" applyProtection="0"/>
    <xf numFmtId="0" fontId="3" fillId="60" borderId="20" applyAlignment="0" applyProtection="0"/>
    <xf numFmtId="0" fontId="23" fillId="2" borderId="64" applyNumberFormat="0" applyFont="0" applyBorder="0" applyAlignment="0" applyProtection="0">
      <alignment horizontal="center"/>
    </xf>
    <xf numFmtId="0" fontId="3" fillId="2" borderId="74"/>
    <xf numFmtId="0" fontId="23" fillId="71" borderId="71" applyNumberFormat="0" applyFont="0" applyBorder="0" applyAlignment="0"/>
    <xf numFmtId="220" fontId="128" fillId="66" borderId="0" applyBorder="0" applyAlignment="0"/>
    <xf numFmtId="0" fontId="100" fillId="0" borderId="0" applyFont="0" applyFill="0" applyBorder="0" applyAlignment="0" applyProtection="0">
      <alignment horizontal="right"/>
    </xf>
    <xf numFmtId="0" fontId="129" fillId="0" borderId="0" applyProtection="0">
      <alignment horizontal="right"/>
    </xf>
    <xf numFmtId="191" fontId="130" fillId="2" borderId="75" applyBorder="0">
      <alignment horizontal="left" vertical="center" indent="1"/>
    </xf>
    <xf numFmtId="191" fontId="131" fillId="66" borderId="26" applyBorder="0" applyAlignment="0">
      <alignment horizontal="left" vertical="center" indent="1"/>
    </xf>
    <xf numFmtId="0" fontId="16" fillId="0" borderId="76" applyNumberFormat="0" applyAlignment="0" applyProtection="0">
      <alignment horizontal="left" vertical="center"/>
    </xf>
    <xf numFmtId="0" fontId="16" fillId="0" borderId="20">
      <alignment horizontal="left" vertical="center"/>
    </xf>
    <xf numFmtId="0" fontId="130" fillId="0" borderId="13" applyNumberFormat="0" applyFill="0">
      <alignment horizontal="centerContinuous" vertical="top"/>
    </xf>
    <xf numFmtId="0" fontId="132" fillId="57" borderId="77" applyNumberFormat="0" applyBorder="0">
      <alignment horizontal="left" vertical="center" indent="1"/>
    </xf>
    <xf numFmtId="0" fontId="133" fillId="63" borderId="64">
      <alignment horizontal="centerContinuous"/>
    </xf>
    <xf numFmtId="0" fontId="134" fillId="0" borderId="78" applyNumberFormat="0" applyFill="0" applyAlignment="0" applyProtection="0"/>
    <xf numFmtId="0" fontId="135" fillId="0" borderId="79" applyNumberFormat="0" applyFill="0" applyAlignment="0" applyProtection="0"/>
    <xf numFmtId="0" fontId="136" fillId="0" borderId="80" applyNumberFormat="0" applyFill="0" applyAlignment="0" applyProtection="0"/>
    <xf numFmtId="0" fontId="136" fillId="0" borderId="0" applyNumberFormat="0" applyFill="0" applyBorder="0" applyAlignment="0" applyProtection="0"/>
    <xf numFmtId="0" fontId="137" fillId="67" borderId="0" applyNumberFormat="0" applyBorder="0" applyAlignment="0"/>
    <xf numFmtId="3" fontId="23" fillId="72" borderId="64" applyFont="0" applyProtection="0">
      <alignment horizontal="right"/>
    </xf>
    <xf numFmtId="10" fontId="23" fillId="72" borderId="64" applyFont="0" applyProtection="0">
      <alignment horizontal="right"/>
    </xf>
    <xf numFmtId="0" fontId="23" fillId="72" borderId="63" applyNumberFormat="0" applyFont="0" applyBorder="0" applyAlignment="0" applyProtection="0">
      <alignment horizontal="left"/>
    </xf>
    <xf numFmtId="37" fontId="3" fillId="0" borderId="0"/>
    <xf numFmtId="0" fontId="138" fillId="0" borderId="0" applyNumberFormat="0" applyFill="0" applyBorder="0" applyAlignment="0" applyProtection="0">
      <alignment vertical="top"/>
      <protection locked="0"/>
    </xf>
    <xf numFmtId="221" fontId="139" fillId="57" borderId="0" applyNumberFormat="0" applyFont="0" applyBorder="0" applyAlignment="0" applyProtection="0">
      <alignment horizontal="left" indent="1"/>
      <protection hidden="1"/>
    </xf>
    <xf numFmtId="10" fontId="127" fillId="73" borderId="64" applyNumberFormat="0" applyBorder="0" applyAlignment="0" applyProtection="0"/>
    <xf numFmtId="0" fontId="140" fillId="31" borderId="67" applyNumberFormat="0" applyAlignment="0" applyProtection="0"/>
    <xf numFmtId="0" fontId="140" fillId="32" borderId="67" applyNumberFormat="0" applyAlignment="0" applyProtection="0"/>
    <xf numFmtId="3" fontId="23" fillId="74" borderId="64" applyFont="0">
      <alignment horizontal="right"/>
      <protection locked="0"/>
    </xf>
    <xf numFmtId="222" fontId="23" fillId="0" borderId="0"/>
    <xf numFmtId="0" fontId="141" fillId="0" borderId="0"/>
    <xf numFmtId="0" fontId="126" fillId="0" borderId="0"/>
    <xf numFmtId="41" fontId="23" fillId="0" borderId="0" applyFont="0" applyFill="0" applyBorder="0" applyAlignment="0" applyProtection="0"/>
    <xf numFmtId="43" fontId="23" fillId="0" borderId="0" applyFont="0" applyFill="0" applyBorder="0" applyAlignment="0" applyProtection="0"/>
    <xf numFmtId="38" fontId="142" fillId="0" borderId="0"/>
    <xf numFmtId="38" fontId="143" fillId="0" borderId="0"/>
    <xf numFmtId="38" fontId="144" fillId="0" borderId="0"/>
    <xf numFmtId="38" fontId="145" fillId="0" borderId="0"/>
    <xf numFmtId="0" fontId="10" fillId="0" borderId="0"/>
    <xf numFmtId="0" fontId="10" fillId="0" borderId="0"/>
    <xf numFmtId="0" fontId="146" fillId="2" borderId="0"/>
    <xf numFmtId="0" fontId="147" fillId="0" borderId="0" applyNumberFormat="0" applyFill="0" applyBorder="0">
      <alignment horizontal="right"/>
    </xf>
    <xf numFmtId="0" fontId="147" fillId="0" borderId="0" applyNumberFormat="0" applyFill="0" applyBorder="0">
      <alignment horizontal="right"/>
    </xf>
    <xf numFmtId="174" fontId="120" fillId="0" borderId="20">
      <alignment horizontal="right"/>
    </xf>
    <xf numFmtId="0" fontId="138" fillId="0" borderId="0" applyNumberFormat="0" applyFill="0" applyBorder="0" applyAlignment="0" applyProtection="0">
      <alignment vertical="top"/>
      <protection locked="0"/>
    </xf>
    <xf numFmtId="193" fontId="27" fillId="0" borderId="6">
      <alignment horizontal="right"/>
    </xf>
    <xf numFmtId="193" fontId="27" fillId="0" borderId="0">
      <alignment horizontal="right"/>
    </xf>
    <xf numFmtId="193" fontId="27" fillId="0" borderId="0">
      <alignment horizontal="left"/>
    </xf>
    <xf numFmtId="201" fontId="148" fillId="0" borderId="0" applyFill="0" applyBorder="0" applyAlignment="0"/>
    <xf numFmtId="197" fontId="148" fillId="0" borderId="0" applyFill="0" applyBorder="0" applyAlignment="0"/>
    <xf numFmtId="201" fontId="148" fillId="0" borderId="0" applyFill="0" applyBorder="0" applyAlignment="0"/>
    <xf numFmtId="202" fontId="148" fillId="0" borderId="0" applyFill="0" applyBorder="0" applyAlignment="0"/>
    <xf numFmtId="197" fontId="148" fillId="0" borderId="0" applyFill="0" applyBorder="0" applyAlignment="0"/>
    <xf numFmtId="0" fontId="149" fillId="0" borderId="81" applyNumberFormat="0" applyFill="0" applyAlignment="0" applyProtection="0"/>
    <xf numFmtId="204" fontId="16" fillId="2" borderId="0" applyNumberFormat="0" applyFont="0" applyBorder="0" applyAlignment="0"/>
    <xf numFmtId="0" fontId="23" fillId="2" borderId="0"/>
    <xf numFmtId="0" fontId="150" fillId="0" borderId="0"/>
    <xf numFmtId="0" fontId="151"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62" fillId="2" borderId="0"/>
    <xf numFmtId="0" fontId="62" fillId="0" borderId="0"/>
    <xf numFmtId="0" fontId="154" fillId="0" borderId="82">
      <alignment horizontal="left"/>
    </xf>
    <xf numFmtId="0" fontId="55" fillId="0" borderId="83">
      <alignment horizontal="center"/>
    </xf>
    <xf numFmtId="0" fontId="62" fillId="2" borderId="0"/>
    <xf numFmtId="37" fontId="120" fillId="0" borderId="0" applyBorder="0">
      <alignment horizontal="right"/>
    </xf>
    <xf numFmtId="212" fontId="23" fillId="0" borderId="0" applyFont="0" applyFill="0" applyBorder="0" applyAlignment="0" applyProtection="0"/>
    <xf numFmtId="204" fontId="23" fillId="0" borderId="0" applyFont="0" applyFill="0" applyBorder="0" applyAlignment="0" applyProtection="0"/>
    <xf numFmtId="180" fontId="23" fillId="0" borderId="0" applyFont="0" applyFill="0" applyBorder="0" applyAlignment="0" applyProtection="0"/>
    <xf numFmtId="179" fontId="23" fillId="0" borderId="0" applyFont="0" applyFill="0" applyBorder="0" applyAlignment="0" applyProtection="0"/>
    <xf numFmtId="223" fontId="23" fillId="0" borderId="0" applyFont="0" applyFill="0" applyBorder="0" applyAlignment="0" applyProtection="0"/>
    <xf numFmtId="224" fontId="23" fillId="0" borderId="0" applyFont="0" applyFill="0" applyBorder="0" applyAlignment="0" applyProtection="0"/>
    <xf numFmtId="38" fontId="23" fillId="0" borderId="0" applyBorder="0"/>
    <xf numFmtId="14" fontId="50" fillId="0" borderId="0" applyFont="0" applyFill="0" applyBorder="0" applyAlignment="0" applyProtection="0"/>
    <xf numFmtId="0" fontId="108" fillId="68" borderId="0">
      <alignment horizontal="left"/>
    </xf>
    <xf numFmtId="10" fontId="7" fillId="75" borderId="71" applyBorder="0">
      <alignment horizontal="center"/>
      <protection locked="0"/>
    </xf>
    <xf numFmtId="225" fontId="155" fillId="0" borderId="0" applyFont="0" applyFill="0" applyBorder="0" applyAlignment="0" applyProtection="0"/>
    <xf numFmtId="226" fontId="155" fillId="0" borderId="0" applyFont="0" applyFill="0" applyBorder="0" applyAlignment="0" applyProtection="0"/>
    <xf numFmtId="227" fontId="23" fillId="0" borderId="0" applyFont="0" applyFill="0" applyBorder="0" applyAlignment="0" applyProtection="0"/>
    <xf numFmtId="228" fontId="23" fillId="0" borderId="0" applyFont="0" applyFill="0" applyBorder="0" applyAlignment="0" applyProtection="0"/>
    <xf numFmtId="0" fontId="115" fillId="0" borderId="0">
      <protection locked="0"/>
    </xf>
    <xf numFmtId="38" fontId="55" fillId="20" borderId="0"/>
    <xf numFmtId="0" fontId="100" fillId="0" borderId="0" applyFont="0" applyFill="0" applyBorder="0" applyAlignment="0" applyProtection="0">
      <alignment horizontal="right"/>
    </xf>
    <xf numFmtId="38" fontId="3" fillId="0" borderId="0"/>
    <xf numFmtId="229" fontId="23" fillId="0" borderId="0"/>
    <xf numFmtId="0" fontId="30" fillId="7" borderId="0" applyNumberFormat="0" applyBorder="0" applyAlignment="0" applyProtection="0"/>
    <xf numFmtId="0" fontId="30" fillId="7" borderId="0" applyNumberFormat="0" applyBorder="0" applyAlignment="0" applyProtection="0"/>
    <xf numFmtId="0" fontId="156" fillId="18" borderId="0" applyNumberFormat="0" applyBorder="0" applyAlignment="0" applyProtection="0"/>
    <xf numFmtId="0" fontId="157" fillId="2" borderId="84" applyNumberFormat="0" applyFont="0" applyFill="0" applyAlignment="0" applyProtection="0">
      <alignment horizontal="center"/>
    </xf>
    <xf numFmtId="37" fontId="158" fillId="0" borderId="0"/>
    <xf numFmtId="0" fontId="3" fillId="20" borderId="0" applyNumberFormat="0" applyFont="0" applyFill="0" applyBorder="0" applyAlignment="0"/>
    <xf numFmtId="10" fontId="55" fillId="20" borderId="0"/>
    <xf numFmtId="1" fontId="7" fillId="0" borderId="0">
      <alignment horizontal="left"/>
    </xf>
    <xf numFmtId="0" fontId="159" fillId="2" borderId="0">
      <alignment horizontal="right"/>
    </xf>
    <xf numFmtId="0" fontId="160" fillId="0" borderId="0"/>
    <xf numFmtId="0" fontId="23" fillId="0" borderId="0"/>
    <xf numFmtId="230" fontId="161" fillId="0" borderId="0"/>
    <xf numFmtId="0" fontId="160" fillId="0" borderId="85"/>
    <xf numFmtId="0" fontId="19" fillId="0" borderId="0"/>
    <xf numFmtId="0" fontId="2" fillId="0" borderId="0"/>
    <xf numFmtId="0" fontId="2"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3" fillId="0" borderId="0"/>
    <xf numFmtId="0" fontId="23" fillId="0" borderId="0"/>
    <xf numFmtId="0" fontId="23" fillId="0" borderId="0"/>
    <xf numFmtId="0" fontId="2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2" fillId="0" borderId="0"/>
    <xf numFmtId="0" fontId="102" fillId="0" borderId="0"/>
    <xf numFmtId="0" fontId="102" fillId="0" borderId="0"/>
    <xf numFmtId="0" fontId="102" fillId="0" borderId="0"/>
    <xf numFmtId="0" fontId="10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2" fillId="0" borderId="0"/>
    <xf numFmtId="0" fontId="102" fillId="0" borderId="0"/>
    <xf numFmtId="0" fontId="102" fillId="0" borderId="0"/>
    <xf numFmtId="0" fontId="102" fillId="0" borderId="0"/>
    <xf numFmtId="0" fontId="102"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2" fillId="0" borderId="0"/>
    <xf numFmtId="0" fontId="23" fillId="0" borderId="0"/>
    <xf numFmtId="0" fontId="19" fillId="0" borderId="0"/>
    <xf numFmtId="0" fontId="2" fillId="0" borderId="0"/>
    <xf numFmtId="0" fontId="2" fillId="0" borderId="0"/>
    <xf numFmtId="0" fontId="2"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7" fillId="0" borderId="0">
      <alignment vertical="top"/>
    </xf>
    <xf numFmtId="0" fontId="27" fillId="0" borderId="0">
      <alignment vertical="top"/>
    </xf>
    <xf numFmtId="0" fontId="27" fillId="0" borderId="0">
      <alignment vertical="top"/>
    </xf>
    <xf numFmtId="0" fontId="54" fillId="0" borderId="0">
      <alignment horizontal="left" vertical="top" wrapText="1"/>
    </xf>
    <xf numFmtId="0" fontId="23" fillId="0" borderId="0"/>
    <xf numFmtId="39" fontId="162" fillId="0" borderId="0"/>
    <xf numFmtId="0" fontId="78" fillId="0" borderId="0"/>
    <xf numFmtId="0" fontId="23" fillId="0" borderId="0"/>
    <xf numFmtId="0" fontId="78" fillId="0" borderId="0"/>
    <xf numFmtId="0" fontId="23" fillId="0" borderId="0"/>
    <xf numFmtId="39" fontId="162" fillId="0" borderId="0"/>
    <xf numFmtId="39" fontId="162" fillId="0" borderId="0"/>
    <xf numFmtId="0" fontId="78" fillId="0" borderId="0"/>
    <xf numFmtId="0" fontId="78" fillId="0" borderId="0"/>
    <xf numFmtId="0" fontId="2" fillId="0" borderId="0"/>
    <xf numFmtId="0" fontId="2" fillId="0" borderId="0"/>
    <xf numFmtId="0" fontId="2" fillId="0" borderId="0"/>
    <xf numFmtId="0" fontId="2" fillId="0" borderId="0"/>
    <xf numFmtId="0" fontId="78" fillId="0" borderId="0"/>
    <xf numFmtId="0" fontId="78" fillId="0" borderId="0"/>
    <xf numFmtId="0" fontId="78" fillId="0" borderId="0"/>
    <xf numFmtId="0" fontId="78" fillId="0" borderId="0"/>
    <xf numFmtId="0" fontId="78" fillId="0" borderId="0"/>
    <xf numFmtId="0" fontId="23" fillId="0" borderId="0"/>
    <xf numFmtId="0" fontId="23" fillId="0" borderId="0"/>
    <xf numFmtId="0" fontId="23" fillId="0" borderId="0"/>
    <xf numFmtId="0" fontId="23" fillId="0" borderId="0"/>
    <xf numFmtId="0" fontId="7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102" fillId="0" borderId="0"/>
    <xf numFmtId="0" fontId="23" fillId="0" borderId="0"/>
    <xf numFmtId="0" fontId="2" fillId="0" borderId="0"/>
    <xf numFmtId="0" fontId="2" fillId="0" borderId="0"/>
    <xf numFmtId="0" fontId="2" fillId="0" borderId="0"/>
    <xf numFmtId="0" fontId="102" fillId="0" borderId="0"/>
    <xf numFmtId="0" fontId="102" fillId="0" borderId="0"/>
    <xf numFmtId="0" fontId="102" fillId="0" borderId="0"/>
    <xf numFmtId="0" fontId="102" fillId="0" borderId="0"/>
    <xf numFmtId="0" fontId="102" fillId="0" borderId="0"/>
    <xf numFmtId="0" fontId="19" fillId="0" borderId="0"/>
    <xf numFmtId="0" fontId="23" fillId="0" borderId="0"/>
    <xf numFmtId="0" fontId="23" fillId="0" borderId="0"/>
    <xf numFmtId="0" fontId="2" fillId="0" borderId="0"/>
    <xf numFmtId="0" fontId="2" fillId="0" borderId="0"/>
    <xf numFmtId="0" fontId="2" fillId="0" borderId="0"/>
    <xf numFmtId="0" fontId="23" fillId="0" borderId="0"/>
    <xf numFmtId="0" fontId="23" fillId="0" borderId="0"/>
    <xf numFmtId="0" fontId="78" fillId="0" borderId="0"/>
    <xf numFmtId="0" fontId="23" fillId="0" borderId="0"/>
    <xf numFmtId="0" fontId="23" fillId="0" borderId="0"/>
    <xf numFmtId="0" fontId="78" fillId="0" borderId="0"/>
    <xf numFmtId="0" fontId="23" fillId="0" borderId="0"/>
    <xf numFmtId="0" fontId="78" fillId="0" borderId="0"/>
    <xf numFmtId="0" fontId="23" fillId="0" borderId="0"/>
    <xf numFmtId="0" fontId="78" fillId="0" borderId="0"/>
    <xf numFmtId="0" fontId="23" fillId="0" borderId="0"/>
    <xf numFmtId="0" fontId="78" fillId="0" borderId="0"/>
    <xf numFmtId="0" fontId="23" fillId="0" borderId="0"/>
    <xf numFmtId="0" fontId="78" fillId="0" borderId="0"/>
    <xf numFmtId="0" fontId="23" fillId="0" borderId="0"/>
    <xf numFmtId="0" fontId="8" fillId="0" borderId="0"/>
    <xf numFmtId="0" fontId="23" fillId="0" borderId="0"/>
    <xf numFmtId="0" fontId="23" fillId="0" borderId="0"/>
    <xf numFmtId="0" fontId="102" fillId="0" borderId="0"/>
    <xf numFmtId="0" fontId="78" fillId="0" borderId="0"/>
    <xf numFmtId="0" fontId="102" fillId="0" borderId="0"/>
    <xf numFmtId="0" fontId="23" fillId="0" borderId="0"/>
    <xf numFmtId="0" fontId="23" fillId="0" borderId="0"/>
    <xf numFmtId="0" fontId="2" fillId="0" borderId="0"/>
    <xf numFmtId="0" fontId="2" fillId="0" borderId="0"/>
    <xf numFmtId="0" fontId="2" fillId="0" borderId="0"/>
    <xf numFmtId="0" fontId="2" fillId="0" borderId="0"/>
    <xf numFmtId="0" fontId="23" fillId="0" borderId="0"/>
    <xf numFmtId="0" fontId="102" fillId="0" borderId="0"/>
    <xf numFmtId="0" fontId="102" fillId="0" borderId="0"/>
    <xf numFmtId="0" fontId="102" fillId="0" borderId="0"/>
    <xf numFmtId="0" fontId="102" fillId="0" borderId="0"/>
    <xf numFmtId="0" fontId="10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55" fillId="0" borderId="0">
      <alignment vertical="top"/>
    </xf>
    <xf numFmtId="0" fontId="78" fillId="0" borderId="0"/>
    <xf numFmtId="0" fontId="78" fillId="0" borderId="0"/>
    <xf numFmtId="0" fontId="55" fillId="0" borderId="0">
      <alignment vertical="top"/>
    </xf>
    <xf numFmtId="0" fontId="78" fillId="0" borderId="0"/>
    <xf numFmtId="0" fontId="55" fillId="0" borderId="0">
      <alignment vertical="top"/>
    </xf>
    <xf numFmtId="0" fontId="78" fillId="0" borderId="0"/>
    <xf numFmtId="0" fontId="55" fillId="0" borderId="0">
      <alignment vertical="top"/>
    </xf>
    <xf numFmtId="0" fontId="78" fillId="0" borderId="0"/>
    <xf numFmtId="0" fontId="78" fillId="0" borderId="0"/>
    <xf numFmtId="0" fontId="78" fillId="0" borderId="0"/>
    <xf numFmtId="0" fontId="78" fillId="0" borderId="0"/>
    <xf numFmtId="0" fontId="78" fillId="0" borderId="0"/>
    <xf numFmtId="0" fontId="54" fillId="0" borderId="0"/>
    <xf numFmtId="0" fontId="23" fillId="0" borderId="0"/>
    <xf numFmtId="0" fontId="78" fillId="0" borderId="0"/>
    <xf numFmtId="0" fontId="23" fillId="0" borderId="0"/>
    <xf numFmtId="0" fontId="78" fillId="0" borderId="0"/>
    <xf numFmtId="0" fontId="23" fillId="0" borderId="0"/>
    <xf numFmtId="0" fontId="23" fillId="0" borderId="0"/>
    <xf numFmtId="0" fontId="23"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163" fillId="0" borderId="0"/>
    <xf numFmtId="39" fontId="162" fillId="0" borderId="0"/>
    <xf numFmtId="0" fontId="23" fillId="0" borderId="0"/>
    <xf numFmtId="0" fontId="23" fillId="0" borderId="0"/>
    <xf numFmtId="0" fontId="23" fillId="0" borderId="0"/>
    <xf numFmtId="0" fontId="78" fillId="0" borderId="0"/>
    <xf numFmtId="0" fontId="78" fillId="0" borderId="0"/>
    <xf numFmtId="0" fontId="78" fillId="0" borderId="0"/>
    <xf numFmtId="0" fontId="78" fillId="0" borderId="0"/>
    <xf numFmtId="0" fontId="78" fillId="0" borderId="0"/>
    <xf numFmtId="0" fontId="78" fillId="0" borderId="0"/>
    <xf numFmtId="0" fontId="23" fillId="0" borderId="0"/>
    <xf numFmtId="0" fontId="102" fillId="0" borderId="0"/>
    <xf numFmtId="0" fontId="102" fillId="0" borderId="0"/>
    <xf numFmtId="0" fontId="102" fillId="0" borderId="0"/>
    <xf numFmtId="0" fontId="102" fillId="0" borderId="0"/>
    <xf numFmtId="0" fontId="102" fillId="0" borderId="0"/>
    <xf numFmtId="0" fontId="2" fillId="0" borderId="0"/>
    <xf numFmtId="0" fontId="2" fillId="0" borderId="0"/>
    <xf numFmtId="0" fontId="2" fillId="0" borderId="0"/>
    <xf numFmtId="0" fontId="102" fillId="0" borderId="0"/>
    <xf numFmtId="0" fontId="2" fillId="0" borderId="0"/>
    <xf numFmtId="0" fontId="2" fillId="0" borderId="0"/>
    <xf numFmtId="0" fontId="2" fillId="0" borderId="0"/>
    <xf numFmtId="0" fontId="102" fillId="0" borderId="0"/>
    <xf numFmtId="0" fontId="2" fillId="0" borderId="0"/>
    <xf numFmtId="0" fontId="2" fillId="0" borderId="0"/>
    <xf numFmtId="0" fontId="2" fillId="0" borderId="0"/>
    <xf numFmtId="0" fontId="102" fillId="0" borderId="0"/>
    <xf numFmtId="0" fontId="2" fillId="0" borderId="0"/>
    <xf numFmtId="0" fontId="2" fillId="0" borderId="0"/>
    <xf numFmtId="0" fontId="2" fillId="0" borderId="0"/>
    <xf numFmtId="0" fontId="102" fillId="0" borderId="0"/>
    <xf numFmtId="0" fontId="2" fillId="0" borderId="0"/>
    <xf numFmtId="0" fontId="2" fillId="0" borderId="0"/>
    <xf numFmtId="0" fontId="2" fillId="0" borderId="0"/>
    <xf numFmtId="0" fontId="102" fillId="0" borderId="0"/>
    <xf numFmtId="0" fontId="2" fillId="0" borderId="0"/>
    <xf numFmtId="0" fontId="2" fillId="0" borderId="0"/>
    <xf numFmtId="0" fontId="2"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39" fontId="162" fillId="0" borderId="0"/>
    <xf numFmtId="0" fontId="102" fillId="0" borderId="0"/>
    <xf numFmtId="0" fontId="2" fillId="0" borderId="0"/>
    <xf numFmtId="0" fontId="2" fillId="0" borderId="0"/>
    <xf numFmtId="0" fontId="2" fillId="0" borderId="0"/>
    <xf numFmtId="0" fontId="102" fillId="0" borderId="0"/>
    <xf numFmtId="0" fontId="2" fillId="0" borderId="0"/>
    <xf numFmtId="0" fontId="2" fillId="0" borderId="0"/>
    <xf numFmtId="0" fontId="2" fillId="0" borderId="0"/>
    <xf numFmtId="0" fontId="102" fillId="0" borderId="0"/>
    <xf numFmtId="0" fontId="2" fillId="0" borderId="0"/>
    <xf numFmtId="0" fontId="2" fillId="0" borderId="0"/>
    <xf numFmtId="0" fontId="2" fillId="0" borderId="0"/>
    <xf numFmtId="0" fontId="102" fillId="0" borderId="0"/>
    <xf numFmtId="0" fontId="2" fillId="0" borderId="0"/>
    <xf numFmtId="0" fontId="2" fillId="0" borderId="0"/>
    <xf numFmtId="0" fontId="2" fillId="0" borderId="0"/>
    <xf numFmtId="0" fontId="102" fillId="0" borderId="0"/>
    <xf numFmtId="0" fontId="2" fillId="0" borderId="0"/>
    <xf numFmtId="0" fontId="2" fillId="0" borderId="0"/>
    <xf numFmtId="0" fontId="2" fillId="0" borderId="0"/>
    <xf numFmtId="0" fontId="102" fillId="0" borderId="0"/>
    <xf numFmtId="0" fontId="102" fillId="0" borderId="0"/>
    <xf numFmtId="0" fontId="102" fillId="0" borderId="0"/>
    <xf numFmtId="0" fontId="2" fillId="0" borderId="0"/>
    <xf numFmtId="0" fontId="102" fillId="0" borderId="0"/>
    <xf numFmtId="0" fontId="2" fillId="0" borderId="0"/>
    <xf numFmtId="0" fontId="102" fillId="0" borderId="0"/>
    <xf numFmtId="0" fontId="2" fillId="0" borderId="0"/>
    <xf numFmtId="0" fontId="2" fillId="0" borderId="0"/>
    <xf numFmtId="0" fontId="23" fillId="0" borderId="0"/>
    <xf numFmtId="0" fontId="2" fillId="0" borderId="0"/>
    <xf numFmtId="0" fontId="2" fillId="0" borderId="0"/>
    <xf numFmtId="0" fontId="2" fillId="0" borderId="0"/>
    <xf numFmtId="0" fontId="78" fillId="0" borderId="0"/>
    <xf numFmtId="0" fontId="23" fillId="0" borderId="0"/>
    <xf numFmtId="0" fontId="78" fillId="0" borderId="0"/>
    <xf numFmtId="0" fontId="78" fillId="0" borderId="0"/>
    <xf numFmtId="0" fontId="78" fillId="0" borderId="0"/>
    <xf numFmtId="0" fontId="78" fillId="0" borderId="0"/>
    <xf numFmtId="0" fontId="78" fillId="0" borderId="0"/>
    <xf numFmtId="0" fontId="78" fillId="0" borderId="0"/>
    <xf numFmtId="0" fontId="23" fillId="0" borderId="0"/>
    <xf numFmtId="0" fontId="102" fillId="0" borderId="0"/>
    <xf numFmtId="0" fontId="2" fillId="0" borderId="0"/>
    <xf numFmtId="0" fontId="102" fillId="0" borderId="0"/>
    <xf numFmtId="0" fontId="2" fillId="0" borderId="0"/>
    <xf numFmtId="0" fontId="102" fillId="0" borderId="0"/>
    <xf numFmtId="0" fontId="2" fillId="0" borderId="0"/>
    <xf numFmtId="0" fontId="102" fillId="0" borderId="0"/>
    <xf numFmtId="0" fontId="2" fillId="0" borderId="0"/>
    <xf numFmtId="0" fontId="23" fillId="0" borderId="0"/>
    <xf numFmtId="0" fontId="2" fillId="0" borderId="0"/>
    <xf numFmtId="0" fontId="23" fillId="0" borderId="0"/>
    <xf numFmtId="0" fontId="2" fillId="0" borderId="0"/>
    <xf numFmtId="0" fontId="23" fillId="0" borderId="0"/>
    <xf numFmtId="0" fontId="2" fillId="0" borderId="0"/>
    <xf numFmtId="0" fontId="23" fillId="0" borderId="0"/>
    <xf numFmtId="0" fontId="2" fillId="0" borderId="0"/>
    <xf numFmtId="0" fontId="23" fillId="0" borderId="0"/>
    <xf numFmtId="0" fontId="2" fillId="0" borderId="0"/>
    <xf numFmtId="0" fontId="23" fillId="0" borderId="0"/>
    <xf numFmtId="0" fontId="2" fillId="0" borderId="0"/>
    <xf numFmtId="0" fontId="7" fillId="0" borderId="0"/>
    <xf numFmtId="0" fontId="23"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 fillId="0" borderId="0"/>
    <xf numFmtId="0" fontId="2" fillId="0" borderId="0"/>
    <xf numFmtId="0" fontId="2" fillId="0" borderId="0"/>
    <xf numFmtId="0" fontId="2" fillId="0" borderId="0"/>
    <xf numFmtId="0" fontId="78" fillId="0" borderId="0"/>
    <xf numFmtId="0" fontId="23" fillId="0" borderId="0"/>
    <xf numFmtId="0" fontId="2"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 fillId="0" borderId="0"/>
    <xf numFmtId="0" fontId="102" fillId="0" borderId="0"/>
    <xf numFmtId="0" fontId="2" fillId="0" borderId="0"/>
    <xf numFmtId="0" fontId="102" fillId="0" borderId="0"/>
    <xf numFmtId="0" fontId="2" fillId="0" borderId="0"/>
    <xf numFmtId="0" fontId="102" fillId="0" borderId="0"/>
    <xf numFmtId="0" fontId="2" fillId="0" borderId="0"/>
    <xf numFmtId="0" fontId="102" fillId="0" borderId="0"/>
    <xf numFmtId="0" fontId="2" fillId="0" borderId="0"/>
    <xf numFmtId="0" fontId="102" fillId="0" borderId="0"/>
    <xf numFmtId="0" fontId="2" fillId="0" borderId="0"/>
    <xf numFmtId="0" fontId="23" fillId="0" borderId="0"/>
    <xf numFmtId="0" fontId="2" fillId="0" borderId="0"/>
    <xf numFmtId="0" fontId="23" fillId="0" borderId="0"/>
    <xf numFmtId="0" fontId="2" fillId="0" borderId="0"/>
    <xf numFmtId="0" fontId="2"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3" fillId="0" borderId="0"/>
    <xf numFmtId="0" fontId="78" fillId="0" borderId="0"/>
    <xf numFmtId="0" fontId="23"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2" fillId="0" borderId="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23" fillId="76" borderId="86" applyNumberFormat="0" applyAlignment="0" applyProtection="0"/>
    <xf numFmtId="0" fontId="78" fillId="8" borderId="25" applyNumberFormat="0" applyFont="0" applyAlignment="0" applyProtection="0"/>
    <xf numFmtId="0" fontId="78" fillId="8" borderId="25" applyNumberFormat="0" applyFont="0" applyAlignment="0" applyProtection="0"/>
    <xf numFmtId="0" fontId="23" fillId="77" borderId="86" applyNumberFormat="0" applyFont="0" applyAlignment="0" applyProtection="0"/>
    <xf numFmtId="0" fontId="78" fillId="77" borderId="86" applyNumberFormat="0" applyFont="0" applyAlignment="0" applyProtection="0"/>
    <xf numFmtId="0" fontId="2" fillId="8" borderId="25" applyNumberFormat="0" applyFont="0" applyAlignment="0" applyProtection="0"/>
    <xf numFmtId="0" fontId="78" fillId="8" borderId="25" applyNumberFormat="0" applyFont="0" applyAlignment="0" applyProtection="0"/>
    <xf numFmtId="0" fontId="2" fillId="8" borderId="25" applyNumberFormat="0" applyFont="0" applyAlignment="0" applyProtection="0"/>
    <xf numFmtId="0" fontId="2" fillId="8" borderId="25" applyNumberFormat="0" applyFont="0" applyAlignment="0" applyProtection="0"/>
    <xf numFmtId="0" fontId="2" fillId="8" borderId="25" applyNumberFormat="0" applyFont="0" applyAlignment="0" applyProtection="0"/>
    <xf numFmtId="0" fontId="2" fillId="8" borderId="25" applyNumberFormat="0" applyFont="0" applyAlignment="0" applyProtection="0"/>
    <xf numFmtId="0" fontId="78" fillId="8" borderId="25" applyNumberFormat="0" applyFont="0" applyAlignment="0" applyProtection="0"/>
    <xf numFmtId="0" fontId="2" fillId="8" borderId="25" applyNumberFormat="0" applyFont="0" applyAlignment="0" applyProtection="0"/>
    <xf numFmtId="0" fontId="2" fillId="8" borderId="25" applyNumberFormat="0" applyFont="0" applyAlignment="0" applyProtection="0"/>
    <xf numFmtId="0" fontId="2"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23" fillId="77" borderId="86"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78" fillId="8" borderId="25" applyNumberFormat="0" applyFont="0" applyAlignment="0" applyProtection="0"/>
    <xf numFmtId="0" fontId="164" fillId="0" borderId="9"/>
    <xf numFmtId="37" fontId="23" fillId="0" borderId="0"/>
    <xf numFmtId="231" fontId="62" fillId="0" borderId="0" applyNumberFormat="0" applyFill="0" applyBorder="0" applyAlignment="0" applyProtection="0"/>
    <xf numFmtId="0" fontId="65" fillId="0" borderId="0" applyNumberFormat="0" applyFill="0" applyBorder="0" applyAlignment="0" applyProtection="0"/>
    <xf numFmtId="232" fontId="165" fillId="0" borderId="0" applyNumberFormat="0" applyFill="0" applyBorder="0" applyAlignment="0" applyProtection="0"/>
    <xf numFmtId="204" fontId="23" fillId="0" borderId="0" applyFont="0" applyFill="0" applyBorder="0" applyAlignment="0" applyProtection="0"/>
    <xf numFmtId="212" fontId="23" fillId="0" borderId="0" applyFont="0" applyFill="0" applyBorder="0" applyAlignment="0" applyProtection="0"/>
    <xf numFmtId="0" fontId="166" fillId="0" borderId="87">
      <alignment horizontal="left" wrapText="1" indent="1"/>
    </xf>
    <xf numFmtId="0" fontId="165" fillId="0" borderId="73"/>
    <xf numFmtId="3" fontId="23" fillId="78" borderId="64">
      <alignment horizontal="right"/>
      <protection locked="0"/>
    </xf>
    <xf numFmtId="0" fontId="167" fillId="62" borderId="88" applyNumberFormat="0" applyAlignment="0" applyProtection="0"/>
    <xf numFmtId="0" fontId="167" fillId="63" borderId="88" applyNumberFormat="0" applyAlignment="0" applyProtection="0"/>
    <xf numFmtId="40" fontId="168" fillId="57" borderId="0">
      <alignment horizontal="right"/>
    </xf>
    <xf numFmtId="0" fontId="169" fillId="73" borderId="0">
      <alignment horizontal="center"/>
    </xf>
    <xf numFmtId="0" fontId="170" fillId="57" borderId="0">
      <alignment horizontal="right"/>
    </xf>
    <xf numFmtId="0" fontId="171" fillId="57" borderId="39"/>
    <xf numFmtId="0" fontId="172" fillId="0" borderId="0" applyBorder="0">
      <alignment horizontal="centerContinuous"/>
    </xf>
    <xf numFmtId="0" fontId="171" fillId="0" borderId="0" applyBorder="0">
      <alignment horizontal="centerContinuous"/>
    </xf>
    <xf numFmtId="0" fontId="173" fillId="0" borderId="0" applyBorder="0">
      <alignment horizontal="centerContinuous"/>
    </xf>
    <xf numFmtId="0" fontId="174" fillId="0" borderId="0" applyBorder="0">
      <alignment horizontal="centerContinuous"/>
    </xf>
    <xf numFmtId="0" fontId="175" fillId="0" borderId="0" applyFill="0" applyBorder="0" applyProtection="0">
      <alignment horizontal="left"/>
    </xf>
    <xf numFmtId="0" fontId="124" fillId="0" borderId="0" applyFill="0" applyBorder="0" applyProtection="0">
      <alignment horizontal="left"/>
    </xf>
    <xf numFmtId="1" fontId="176" fillId="0" borderId="0" applyProtection="0">
      <alignment horizontal="right" vertical="center"/>
    </xf>
    <xf numFmtId="0" fontId="27" fillId="0" borderId="0">
      <alignment horizontal="center" wrapText="1"/>
    </xf>
    <xf numFmtId="10" fontId="7" fillId="0" borderId="0" applyFont="0" applyFill="0" applyBorder="0" applyAlignment="0" applyProtection="0"/>
    <xf numFmtId="9" fontId="27" fillId="0" borderId="0" applyFont="0" applyFill="0" applyBorder="0" applyAlignment="0" applyProtection="0"/>
    <xf numFmtId="10" fontId="27" fillId="0" borderId="0" applyFont="0" applyFill="0" applyBorder="0" applyAlignment="0" applyProtection="0"/>
    <xf numFmtId="200" fontId="23" fillId="0" borderId="0" applyFont="0" applyFill="0" applyBorder="0" applyAlignment="0" applyProtection="0"/>
    <xf numFmtId="233" fontId="23" fillId="0" borderId="0" applyFont="0" applyFill="0" applyBorder="0" applyAlignment="0" applyProtection="0"/>
    <xf numFmtId="10" fontId="17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3" fillId="0" borderId="0" applyFont="0" applyFill="0" applyBorder="0" applyAlignment="0" applyProtection="0"/>
    <xf numFmtId="9" fontId="19" fillId="0" borderId="0" applyFont="0" applyFill="0" applyBorder="0" applyAlignment="0" applyProtection="0"/>
    <xf numFmtId="10" fontId="54" fillId="0" borderId="0" applyFont="0" applyFill="0" applyBorder="0" applyAlignment="0" applyProtection="0"/>
    <xf numFmtId="10" fontId="5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01" fillId="0" borderId="0" applyFont="0" applyFill="0" applyBorder="0" applyAlignment="0" applyProtection="0"/>
    <xf numFmtId="9" fontId="55" fillId="0" borderId="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34" fontId="94" fillId="0" borderId="0" applyFont="0" applyFill="0" applyBorder="0" applyProtection="0">
      <alignment horizontal="right"/>
    </xf>
    <xf numFmtId="10" fontId="23" fillId="0" borderId="89" applyFont="0" applyFill="0" applyBorder="0" applyAlignment="0" applyProtection="0"/>
    <xf numFmtId="9" fontId="23" fillId="0" borderId="0"/>
    <xf numFmtId="10" fontId="178" fillId="0" borderId="0"/>
    <xf numFmtId="9" fontId="7" fillId="0" borderId="2" applyNumberFormat="0" applyBorder="0"/>
    <xf numFmtId="0" fontId="115" fillId="0" borderId="0">
      <protection locked="0"/>
    </xf>
    <xf numFmtId="201" fontId="99" fillId="0" borderId="0" applyFill="0" applyBorder="0" applyAlignment="0"/>
    <xf numFmtId="197" fontId="99" fillId="0" borderId="0" applyFill="0" applyBorder="0" applyAlignment="0"/>
    <xf numFmtId="201" fontId="99" fillId="0" borderId="0" applyFill="0" applyBorder="0" applyAlignment="0"/>
    <xf numFmtId="202" fontId="99" fillId="0" borderId="0" applyFill="0" applyBorder="0" applyAlignment="0"/>
    <xf numFmtId="197" fontId="99" fillId="0" borderId="0" applyFill="0" applyBorder="0" applyAlignment="0"/>
    <xf numFmtId="0" fontId="179" fillId="79" borderId="0">
      <alignment horizontal="center"/>
      <protection locked="0"/>
    </xf>
    <xf numFmtId="0" fontId="180" fillId="2" borderId="0"/>
    <xf numFmtId="0" fontId="181" fillId="60" borderId="0">
      <alignment horizontal="left" indent="1"/>
    </xf>
    <xf numFmtId="0" fontId="23" fillId="20" borderId="0" applyNumberFormat="0" applyBorder="0"/>
    <xf numFmtId="0" fontId="7" fillId="0" borderId="0" applyNumberFormat="0" applyFont="0" applyFill="0" applyBorder="0" applyAlignment="0" applyProtection="0">
      <alignment horizontal="left"/>
    </xf>
    <xf numFmtId="4" fontId="7" fillId="0" borderId="0" applyFont="0" applyFill="0" applyBorder="0" applyAlignment="0" applyProtection="0"/>
    <xf numFmtId="0" fontId="93" fillId="0" borderId="13">
      <alignment horizontal="center"/>
    </xf>
    <xf numFmtId="0" fontId="27" fillId="0" borderId="0">
      <alignment vertical="top"/>
    </xf>
    <xf numFmtId="235" fontId="27" fillId="0" borderId="0">
      <alignment vertical="top"/>
    </xf>
    <xf numFmtId="235" fontId="27" fillId="0" borderId="0">
      <alignment vertical="top"/>
    </xf>
    <xf numFmtId="235" fontId="27" fillId="0" borderId="0">
      <alignment vertical="top"/>
    </xf>
    <xf numFmtId="0" fontId="27" fillId="0" borderId="0">
      <alignment vertical="top"/>
    </xf>
    <xf numFmtId="0" fontId="27" fillId="0" borderId="0">
      <alignment vertical="top"/>
    </xf>
    <xf numFmtId="38" fontId="182" fillId="0" borderId="0"/>
    <xf numFmtId="3" fontId="183" fillId="0" borderId="90">
      <alignment horizontal="center"/>
      <protection locked="0"/>
    </xf>
    <xf numFmtId="0" fontId="128" fillId="66" borderId="0"/>
    <xf numFmtId="2" fontId="184" fillId="0" borderId="0">
      <alignment horizontal="left"/>
    </xf>
    <xf numFmtId="236" fontId="185" fillId="0" borderId="0" applyNumberFormat="0" applyFill="0" applyBorder="0" applyAlignment="0" applyProtection="0">
      <alignment horizontal="left"/>
    </xf>
    <xf numFmtId="0" fontId="23" fillId="0" borderId="0"/>
    <xf numFmtId="237" fontId="23" fillId="0" borderId="0" applyFont="0" applyFill="0" applyBorder="0" applyAlignment="0" applyProtection="0"/>
    <xf numFmtId="0" fontId="23" fillId="0" borderId="91" applyNumberFormat="0" applyFont="0" applyFill="0" applyAlignment="0" applyProtection="0"/>
    <xf numFmtId="0" fontId="23" fillId="0" borderId="92" applyNumberFormat="0" applyFont="0" applyFill="0" applyAlignment="0" applyProtection="0"/>
    <xf numFmtId="0" fontId="23" fillId="0" borderId="93" applyNumberFormat="0" applyFont="0" applyFill="0" applyAlignment="0" applyProtection="0"/>
    <xf numFmtId="0" fontId="23" fillId="0" borderId="94" applyNumberFormat="0" applyFont="0" applyFill="0" applyAlignment="0" applyProtection="0"/>
    <xf numFmtId="0" fontId="23" fillId="0" borderId="95" applyNumberFormat="0" applyFont="0" applyFill="0" applyAlignment="0" applyProtection="0"/>
    <xf numFmtId="0" fontId="23" fillId="20" borderId="0" applyNumberFormat="0" applyFont="0" applyBorder="0" applyAlignment="0" applyProtection="0"/>
    <xf numFmtId="0" fontId="23" fillId="0" borderId="96" applyNumberFormat="0" applyFont="0" applyFill="0" applyAlignment="0" applyProtection="0"/>
    <xf numFmtId="0" fontId="23" fillId="0" borderId="97" applyNumberFormat="0" applyFont="0" applyFill="0" applyAlignment="0" applyProtection="0"/>
    <xf numFmtId="46" fontId="23" fillId="0" borderId="0" applyFont="0" applyFill="0" applyBorder="0" applyAlignment="0" applyProtection="0"/>
    <xf numFmtId="0" fontId="55" fillId="0" borderId="0" applyNumberFormat="0" applyFill="0" applyBorder="0" applyAlignment="0" applyProtection="0"/>
    <xf numFmtId="0" fontId="23" fillId="0" borderId="98" applyNumberFormat="0" applyFont="0" applyFill="0" applyAlignment="0" applyProtection="0"/>
    <xf numFmtId="0" fontId="23" fillId="0" borderId="99" applyNumberFormat="0" applyFont="0" applyFill="0" applyAlignment="0" applyProtection="0"/>
    <xf numFmtId="0" fontId="23" fillId="0" borderId="86" applyNumberFormat="0" applyFont="0" applyFill="0" applyAlignment="0" applyProtection="0"/>
    <xf numFmtId="0" fontId="23" fillId="0" borderId="100" applyNumberFormat="0" applyFont="0" applyFill="0" applyAlignment="0" applyProtection="0"/>
    <xf numFmtId="0" fontId="23" fillId="0" borderId="86" applyNumberFormat="0" applyFont="0" applyFill="0" applyAlignment="0" applyProtection="0"/>
    <xf numFmtId="0" fontId="23" fillId="0" borderId="0" applyNumberFormat="0" applyFont="0" applyFill="0" applyBorder="0" applyProtection="0">
      <alignment horizontal="center"/>
    </xf>
    <xf numFmtId="0" fontId="20" fillId="0" borderId="0" applyNumberFormat="0" applyFill="0" applyBorder="0" applyAlignment="0" applyProtection="0"/>
    <xf numFmtId="0" fontId="26" fillId="0" borderId="0" applyNumberFormat="0" applyFill="0" applyBorder="0" applyAlignment="0" applyProtection="0"/>
    <xf numFmtId="0" fontId="9" fillId="0" borderId="0" applyNumberFormat="0" applyFill="0" applyBorder="0" applyProtection="0">
      <alignment horizontal="left"/>
    </xf>
    <xf numFmtId="0" fontId="23" fillId="20" borderId="0" applyNumberFormat="0" applyFont="0" applyBorder="0" applyAlignment="0" applyProtection="0"/>
    <xf numFmtId="0" fontId="186" fillId="0" borderId="0" applyNumberFormat="0" applyFill="0" applyBorder="0" applyAlignment="0" applyProtection="0"/>
    <xf numFmtId="0" fontId="55" fillId="0" borderId="0" applyNumberFormat="0" applyFill="0" applyBorder="0" applyAlignment="0" applyProtection="0"/>
    <xf numFmtId="0" fontId="23" fillId="0" borderId="69" applyNumberFormat="0" applyFont="0" applyFill="0" applyAlignment="0" applyProtection="0"/>
    <xf numFmtId="0" fontId="23" fillId="0" borderId="101" applyNumberFormat="0" applyFont="0" applyFill="0" applyAlignment="0" applyProtection="0"/>
    <xf numFmtId="238" fontId="23" fillId="0" borderId="0" applyFont="0" applyFill="0" applyBorder="0" applyAlignment="0" applyProtection="0"/>
    <xf numFmtId="0" fontId="23" fillId="0" borderId="102" applyNumberFormat="0" applyFont="0" applyFill="0" applyAlignment="0" applyProtection="0"/>
    <xf numFmtId="0" fontId="23" fillId="0" borderId="103" applyNumberFormat="0" applyFont="0" applyFill="0" applyAlignment="0" applyProtection="0"/>
    <xf numFmtId="0" fontId="23" fillId="0" borderId="104" applyNumberFormat="0" applyFont="0" applyFill="0" applyAlignment="0" applyProtection="0"/>
    <xf numFmtId="0" fontId="23" fillId="0" borderId="105" applyNumberFormat="0" applyFont="0" applyFill="0" applyAlignment="0" applyProtection="0"/>
    <xf numFmtId="0" fontId="23" fillId="0" borderId="70" applyNumberFormat="0" applyFont="0" applyFill="0" applyAlignment="0" applyProtection="0"/>
    <xf numFmtId="38" fontId="178" fillId="0" borderId="0"/>
    <xf numFmtId="193" fontId="27" fillId="0" borderId="0">
      <alignment horizontal="center"/>
    </xf>
    <xf numFmtId="0" fontId="128" fillId="80" borderId="64"/>
    <xf numFmtId="4" fontId="187" fillId="81" borderId="106" applyNumberFormat="0" applyProtection="0">
      <alignment vertical="center"/>
    </xf>
    <xf numFmtId="4" fontId="187" fillId="81" borderId="106" applyNumberFormat="0" applyProtection="0">
      <alignment vertical="center"/>
    </xf>
    <xf numFmtId="4" fontId="188" fillId="81" borderId="106" applyNumberFormat="0" applyProtection="0">
      <alignment vertical="center"/>
    </xf>
    <xf numFmtId="4" fontId="188" fillId="81" borderId="106" applyNumberFormat="0" applyProtection="0">
      <alignment vertical="center"/>
    </xf>
    <xf numFmtId="4" fontId="189" fillId="81" borderId="106" applyNumberFormat="0" applyProtection="0">
      <alignment horizontal="left" vertical="center" indent="1"/>
    </xf>
    <xf numFmtId="4" fontId="189" fillId="81" borderId="106" applyNumberFormat="0" applyProtection="0">
      <alignment horizontal="left" vertical="center" indent="1"/>
    </xf>
    <xf numFmtId="0" fontId="88" fillId="81" borderId="106" applyNumberFormat="0" applyProtection="0">
      <alignment horizontal="left" vertical="top" indent="1"/>
    </xf>
    <xf numFmtId="4" fontId="189" fillId="82" borderId="0" applyNumberFormat="0" applyProtection="0">
      <alignment horizontal="left" vertical="center" indent="1"/>
    </xf>
    <xf numFmtId="4" fontId="189" fillId="82" borderId="0" applyNumberFormat="0" applyProtection="0">
      <alignment horizontal="left" vertical="center" indent="1"/>
    </xf>
    <xf numFmtId="4" fontId="189" fillId="83" borderId="106" applyNumberFormat="0" applyProtection="0">
      <alignment horizontal="right" vertical="center"/>
    </xf>
    <xf numFmtId="4" fontId="189" fillId="83" borderId="106" applyNumberFormat="0" applyProtection="0">
      <alignment horizontal="right" vertical="center"/>
    </xf>
    <xf numFmtId="4" fontId="189" fillId="84" borderId="106" applyNumberFormat="0" applyProtection="0">
      <alignment horizontal="right" vertical="center"/>
    </xf>
    <xf numFmtId="4" fontId="189" fillId="84" borderId="106" applyNumberFormat="0" applyProtection="0">
      <alignment horizontal="right" vertical="center"/>
    </xf>
    <xf numFmtId="4" fontId="189" fillId="85" borderId="106" applyNumberFormat="0" applyProtection="0">
      <alignment horizontal="right" vertical="center"/>
    </xf>
    <xf numFmtId="4" fontId="189" fillId="85" borderId="106" applyNumberFormat="0" applyProtection="0">
      <alignment horizontal="right" vertical="center"/>
    </xf>
    <xf numFmtId="4" fontId="189" fillId="78" borderId="106" applyNumberFormat="0" applyProtection="0">
      <alignment horizontal="right" vertical="center"/>
    </xf>
    <xf numFmtId="4" fontId="189" fillId="78" borderId="106" applyNumberFormat="0" applyProtection="0">
      <alignment horizontal="right" vertical="center"/>
    </xf>
    <xf numFmtId="4" fontId="189" fillId="86" borderId="106" applyNumberFormat="0" applyProtection="0">
      <alignment horizontal="right" vertical="center"/>
    </xf>
    <xf numFmtId="4" fontId="189" fillId="86" borderId="106" applyNumberFormat="0" applyProtection="0">
      <alignment horizontal="right" vertical="center"/>
    </xf>
    <xf numFmtId="4" fontId="189" fillId="72" borderId="106" applyNumberFormat="0" applyProtection="0">
      <alignment horizontal="right" vertical="center"/>
    </xf>
    <xf numFmtId="4" fontId="189" fillId="72" borderId="106" applyNumberFormat="0" applyProtection="0">
      <alignment horizontal="right" vertical="center"/>
    </xf>
    <xf numFmtId="4" fontId="189" fillId="87" borderId="106" applyNumberFormat="0" applyProtection="0">
      <alignment horizontal="right" vertical="center"/>
    </xf>
    <xf numFmtId="4" fontId="189" fillId="87" borderId="106" applyNumberFormat="0" applyProtection="0">
      <alignment horizontal="right" vertical="center"/>
    </xf>
    <xf numFmtId="4" fontId="189" fillId="80" borderId="106" applyNumberFormat="0" applyProtection="0">
      <alignment horizontal="right" vertical="center"/>
    </xf>
    <xf numFmtId="4" fontId="189" fillId="80" borderId="106" applyNumberFormat="0" applyProtection="0">
      <alignment horizontal="right" vertical="center"/>
    </xf>
    <xf numFmtId="4" fontId="189" fillId="88" borderId="106" applyNumberFormat="0" applyProtection="0">
      <alignment horizontal="right" vertical="center"/>
    </xf>
    <xf numFmtId="4" fontId="189" fillId="88" borderId="106" applyNumberFormat="0" applyProtection="0">
      <alignment horizontal="right" vertical="center"/>
    </xf>
    <xf numFmtId="4" fontId="187" fillId="89" borderId="107" applyNumberFormat="0" applyProtection="0">
      <alignment horizontal="left" vertical="center" indent="1"/>
    </xf>
    <xf numFmtId="4" fontId="187" fillId="89" borderId="107" applyNumberFormat="0" applyProtection="0">
      <alignment horizontal="left" vertical="center" indent="1"/>
    </xf>
    <xf numFmtId="4" fontId="187" fillId="56" borderId="0" applyNumberFormat="0" applyProtection="0">
      <alignment horizontal="left" vertical="center" indent="1"/>
    </xf>
    <xf numFmtId="4" fontId="187" fillId="56" borderId="0" applyNumberFormat="0" applyProtection="0">
      <alignment horizontal="left" vertical="center" indent="1"/>
    </xf>
    <xf numFmtId="4" fontId="187" fillId="82" borderId="0" applyNumberFormat="0" applyProtection="0">
      <alignment horizontal="left" vertical="center" indent="1"/>
    </xf>
    <xf numFmtId="4" fontId="187" fillId="82" borderId="0" applyNumberFormat="0" applyProtection="0">
      <alignment horizontal="left" vertical="center" indent="1"/>
    </xf>
    <xf numFmtId="4" fontId="189" fillId="56" borderId="106" applyNumberFormat="0" applyProtection="0">
      <alignment horizontal="right" vertical="center"/>
    </xf>
    <xf numFmtId="4" fontId="189" fillId="56" borderId="106" applyNumberFormat="0" applyProtection="0">
      <alignment horizontal="right" vertical="center"/>
    </xf>
    <xf numFmtId="4" fontId="55" fillId="56" borderId="0" applyNumberFormat="0" applyProtection="0">
      <alignment horizontal="left" vertical="center" indent="1"/>
    </xf>
    <xf numFmtId="4" fontId="55" fillId="56" borderId="0" applyNumberFormat="0" applyProtection="0">
      <alignment horizontal="left" vertical="center" indent="1"/>
    </xf>
    <xf numFmtId="4" fontId="55" fillId="82" borderId="0" applyNumberFormat="0" applyProtection="0">
      <alignment horizontal="left" vertical="center" indent="1"/>
    </xf>
    <xf numFmtId="4" fontId="55" fillId="82" borderId="0" applyNumberFormat="0" applyProtection="0">
      <alignment horizontal="left" vertical="center" indent="1"/>
    </xf>
    <xf numFmtId="0" fontId="23" fillId="82" borderId="106" applyNumberFormat="0" applyProtection="0">
      <alignment horizontal="left" vertical="center" indent="1"/>
    </xf>
    <xf numFmtId="0" fontId="23" fillId="82" borderId="106" applyNumberFormat="0" applyProtection="0">
      <alignment horizontal="left" vertical="center" indent="1"/>
    </xf>
    <xf numFmtId="0" fontId="23" fillId="82" borderId="106" applyNumberFormat="0" applyProtection="0">
      <alignment horizontal="left" vertical="top" indent="1"/>
    </xf>
    <xf numFmtId="0" fontId="23" fillId="82" borderId="106" applyNumberFormat="0" applyProtection="0">
      <alignment horizontal="left" vertical="top" indent="1"/>
    </xf>
    <xf numFmtId="0" fontId="23" fillId="79" borderId="106" applyNumberFormat="0" applyProtection="0">
      <alignment horizontal="left" vertical="center" indent="1"/>
    </xf>
    <xf numFmtId="0" fontId="23" fillId="79" borderId="106" applyNumberFormat="0" applyProtection="0">
      <alignment horizontal="left" vertical="center" indent="1"/>
    </xf>
    <xf numFmtId="0" fontId="23" fillId="79" borderId="106" applyNumberFormat="0" applyProtection="0">
      <alignment horizontal="left" vertical="top" indent="1"/>
    </xf>
    <xf numFmtId="0" fontId="23" fillId="79" borderId="106" applyNumberFormat="0" applyProtection="0">
      <alignment horizontal="left" vertical="top" indent="1"/>
    </xf>
    <xf numFmtId="0" fontId="23" fillId="56" borderId="106" applyNumberFormat="0" applyProtection="0">
      <alignment horizontal="left" vertical="center" indent="1"/>
    </xf>
    <xf numFmtId="0" fontId="23" fillId="56" borderId="106" applyNumberFormat="0" applyProtection="0">
      <alignment horizontal="left" vertical="center" indent="1"/>
    </xf>
    <xf numFmtId="0" fontId="23" fillId="56" borderId="106" applyNumberFormat="0" applyProtection="0">
      <alignment horizontal="left" vertical="top" indent="1"/>
    </xf>
    <xf numFmtId="0" fontId="23" fillId="56" borderId="106" applyNumberFormat="0" applyProtection="0">
      <alignment horizontal="left" vertical="top" indent="1"/>
    </xf>
    <xf numFmtId="0" fontId="23" fillId="90" borderId="106" applyNumberFormat="0" applyProtection="0">
      <alignment horizontal="left" vertical="center" indent="1"/>
    </xf>
    <xf numFmtId="0" fontId="23" fillId="90" borderId="106" applyNumberFormat="0" applyProtection="0">
      <alignment horizontal="left" vertical="center" indent="1"/>
    </xf>
    <xf numFmtId="0" fontId="23" fillId="90" borderId="106" applyNumberFormat="0" applyProtection="0">
      <alignment horizontal="left" vertical="top" indent="1"/>
    </xf>
    <xf numFmtId="0" fontId="23" fillId="90" borderId="106" applyNumberFormat="0" applyProtection="0">
      <alignment horizontal="left" vertical="top" indent="1"/>
    </xf>
    <xf numFmtId="4" fontId="189" fillId="90" borderId="106" applyNumberFormat="0" applyProtection="0">
      <alignment vertical="center"/>
    </xf>
    <xf numFmtId="4" fontId="189" fillId="90" borderId="106" applyNumberFormat="0" applyProtection="0">
      <alignment vertical="center"/>
    </xf>
    <xf numFmtId="4" fontId="190" fillId="90" borderId="106" applyNumberFormat="0" applyProtection="0">
      <alignment vertical="center"/>
    </xf>
    <xf numFmtId="4" fontId="190" fillId="90" borderId="106" applyNumberFormat="0" applyProtection="0">
      <alignment vertical="center"/>
    </xf>
    <xf numFmtId="4" fontId="187" fillId="56" borderId="108" applyNumberFormat="0" applyProtection="0">
      <alignment horizontal="left" vertical="center" indent="1"/>
    </xf>
    <xf numFmtId="4" fontId="187" fillId="56" borderId="108" applyNumberFormat="0" applyProtection="0">
      <alignment horizontal="left" vertical="center" indent="1"/>
    </xf>
    <xf numFmtId="0" fontId="55" fillId="73" borderId="106" applyNumberFormat="0" applyProtection="0">
      <alignment horizontal="left" vertical="top" indent="1"/>
    </xf>
    <xf numFmtId="4" fontId="189" fillId="90" borderId="106" applyNumberFormat="0" applyProtection="0">
      <alignment horizontal="right" vertical="center"/>
    </xf>
    <xf numFmtId="4" fontId="189" fillId="90" borderId="106" applyNumberFormat="0" applyProtection="0">
      <alignment horizontal="right" vertical="center"/>
    </xf>
    <xf numFmtId="4" fontId="190" fillId="90" borderId="106" applyNumberFormat="0" applyProtection="0">
      <alignment horizontal="right" vertical="center"/>
    </xf>
    <xf numFmtId="4" fontId="190" fillId="90" borderId="106" applyNumberFormat="0" applyProtection="0">
      <alignment horizontal="right" vertical="center"/>
    </xf>
    <xf numFmtId="4" fontId="187" fillId="56" borderId="106" applyNumberFormat="0" applyProtection="0">
      <alignment horizontal="left" vertical="center" indent="1"/>
    </xf>
    <xf numFmtId="4" fontId="187" fillId="56" borderId="106" applyNumberFormat="0" applyProtection="0">
      <alignment horizontal="left" vertical="center" indent="1"/>
    </xf>
    <xf numFmtId="0" fontId="55" fillId="79" borderId="106" applyNumberFormat="0" applyProtection="0">
      <alignment horizontal="left" vertical="top" indent="1"/>
    </xf>
    <xf numFmtId="4" fontId="191" fillId="79" borderId="108" applyNumberFormat="0" applyProtection="0">
      <alignment horizontal="left" vertical="center" indent="1"/>
    </xf>
    <xf numFmtId="4" fontId="191" fillId="79" borderId="108" applyNumberFormat="0" applyProtection="0">
      <alignment horizontal="left" vertical="center" indent="1"/>
    </xf>
    <xf numFmtId="4" fontId="192" fillId="90" borderId="106" applyNumberFormat="0" applyProtection="0">
      <alignment horizontal="right" vertical="center"/>
    </xf>
    <xf numFmtId="4" fontId="192" fillId="90" borderId="106" applyNumberFormat="0" applyProtection="0">
      <alignment horizontal="right" vertical="center"/>
    </xf>
    <xf numFmtId="0" fontId="155" fillId="0" borderId="109"/>
    <xf numFmtId="239" fontId="62" fillId="0" borderId="37" applyFont="0" applyFill="0" applyBorder="0" applyAlignment="0" applyProtection="0"/>
    <xf numFmtId="0" fontId="193" fillId="0" borderId="18"/>
    <xf numFmtId="0" fontId="194" fillId="91" borderId="0"/>
    <xf numFmtId="0" fontId="195" fillId="91" borderId="0"/>
    <xf numFmtId="0" fontId="27" fillId="92" borderId="0" applyNumberFormat="0" applyFont="0" applyBorder="0" applyAlignment="0" applyProtection="0"/>
    <xf numFmtId="240" fontId="196" fillId="0" borderId="0" applyFont="0" applyFill="0" applyBorder="0" applyAlignment="0" applyProtection="0"/>
    <xf numFmtId="3" fontId="23" fillId="57" borderId="64" applyFont="0" applyProtection="0">
      <alignment horizontal="right"/>
    </xf>
    <xf numFmtId="10" fontId="23" fillId="57" borderId="64" applyFont="0">
      <alignment horizontal="right"/>
    </xf>
    <xf numFmtId="9" fontId="23" fillId="57" borderId="64" applyFont="0" applyProtection="0">
      <alignment horizontal="right"/>
    </xf>
    <xf numFmtId="241" fontId="197" fillId="0" borderId="0"/>
    <xf numFmtId="38" fontId="198" fillId="0" borderId="0"/>
    <xf numFmtId="0" fontId="7" fillId="0" borderId="0"/>
    <xf numFmtId="0" fontId="23" fillId="0" borderId="0"/>
    <xf numFmtId="0" fontId="27" fillId="0" borderId="0"/>
    <xf numFmtId="15" fontId="23" fillId="0" borderId="0" applyFont="0" applyFill="0" applyBorder="0" applyAlignment="0" applyProtection="0"/>
    <xf numFmtId="3" fontId="23" fillId="2" borderId="20" applyBorder="0"/>
    <xf numFmtId="0" fontId="199" fillId="61" borderId="0"/>
    <xf numFmtId="207" fontId="54" fillId="0" borderId="0" applyFont="0" applyFill="0" applyBorder="0" applyAlignment="0" applyProtection="0"/>
    <xf numFmtId="0" fontId="23" fillId="0" borderId="0"/>
    <xf numFmtId="0" fontId="62" fillId="2" borderId="0"/>
    <xf numFmtId="0" fontId="23" fillId="0" borderId="0">
      <alignment horizontal="left" wrapText="1"/>
    </xf>
    <xf numFmtId="0" fontId="23" fillId="0" borderId="0"/>
    <xf numFmtId="0" fontId="23" fillId="0" borderId="0"/>
    <xf numFmtId="0" fontId="23" fillId="0" borderId="0"/>
    <xf numFmtId="0" fontId="23" fillId="0" borderId="0">
      <alignment horizontal="left" wrapText="1"/>
    </xf>
    <xf numFmtId="0" fontId="23" fillId="0" borderId="0"/>
    <xf numFmtId="41" fontId="23" fillId="0" borderId="0" applyFont="0" applyFill="0" applyBorder="0" applyAlignment="0" applyProtection="0"/>
    <xf numFmtId="41" fontId="23" fillId="0" borderId="0" applyFon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212" fontId="23" fillId="0" borderId="0" applyFon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0" fontId="23" fillId="0" borderId="0" applyFon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0" fontId="60" fillId="0" borderId="0" applyNumberForma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0" fontId="113" fillId="92" borderId="110" applyNumberFormat="0" applyProtection="0">
      <alignment horizontal="center" wrapText="1"/>
    </xf>
    <xf numFmtId="212" fontId="23" fillId="0" borderId="0" applyFont="0" applyFill="0" applyBorder="0" applyAlignment="0" applyProtection="0"/>
    <xf numFmtId="41" fontId="23" fillId="0" borderId="0" applyFont="0" applyFill="0" applyBorder="0" applyAlignment="0" applyProtection="0"/>
    <xf numFmtId="212" fontId="23" fillId="0" borderId="0" applyFont="0" applyFill="0" applyBorder="0" applyAlignment="0" applyProtection="0"/>
    <xf numFmtId="212" fontId="23" fillId="0" borderId="0" applyFont="0" applyFill="0" applyBorder="0" applyAlignment="0" applyProtection="0"/>
    <xf numFmtId="0" fontId="23" fillId="57" borderId="64" applyNumberFormat="0" applyFont="0" applyFill="0" applyAlignment="0" applyProtection="0"/>
    <xf numFmtId="41" fontId="23" fillId="0" borderId="0" applyFont="0" applyFill="0" applyBorder="0" applyAlignment="0" applyProtection="0"/>
    <xf numFmtId="41" fontId="23" fillId="0" borderId="0" applyFont="0" applyFill="0" applyBorder="0" applyAlignment="0" applyProtection="0"/>
    <xf numFmtId="4" fontId="23" fillId="57" borderId="64" applyFont="0" applyFill="0" applyAlignment="0" applyProtection="0"/>
    <xf numFmtId="41" fontId="23" fillId="0" borderId="0" applyFon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212" fontId="23" fillId="0" borderId="0" applyFon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212" fontId="23" fillId="0" borderId="0" applyFont="0" applyFill="0" applyBorder="0" applyAlignment="0" applyProtection="0"/>
    <xf numFmtId="3" fontId="62" fillId="0" borderId="0" applyFill="0" applyBorder="0" applyAlignment="0" applyProtection="0"/>
    <xf numFmtId="169" fontId="62" fillId="0" borderId="0" applyFill="0" applyBorder="0" applyProtection="0">
      <alignment horizontal="center"/>
    </xf>
    <xf numFmtId="212" fontId="23" fillId="0" borderId="0" applyFont="0" applyFill="0" applyBorder="0" applyAlignment="0" applyProtection="0"/>
    <xf numFmtId="41" fontId="23" fillId="0" borderId="0" applyFont="0" applyFill="0" applyBorder="0" applyAlignment="0" applyProtection="0"/>
    <xf numFmtId="0" fontId="62" fillId="0" borderId="0" applyNumberFormat="0" applyFill="0" applyBorder="0" applyProtection="0">
      <alignment horizontal="center"/>
    </xf>
    <xf numFmtId="219" fontId="62" fillId="0" borderId="0" applyFill="0" applyBorder="0" applyAlignment="0" applyProtection="0"/>
    <xf numFmtId="41" fontId="23" fillId="0" borderId="0" applyFon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212" fontId="23" fillId="0" borderId="0" applyFon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212" fontId="23" fillId="0" borderId="0" applyFont="0" applyFill="0" applyBorder="0" applyAlignment="0" applyProtection="0"/>
    <xf numFmtId="212"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0" fontId="200" fillId="93" borderId="0"/>
    <xf numFmtId="0" fontId="154" fillId="0" borderId="86"/>
    <xf numFmtId="0" fontId="124" fillId="0" borderId="0"/>
    <xf numFmtId="0" fontId="201" fillId="0" borderId="111">
      <alignment horizontal="left"/>
    </xf>
    <xf numFmtId="0" fontId="124" fillId="0" borderId="0"/>
    <xf numFmtId="206" fontId="88" fillId="0" borderId="64"/>
    <xf numFmtId="40" fontId="202" fillId="0" borderId="0" applyBorder="0">
      <alignment horizontal="right"/>
    </xf>
    <xf numFmtId="206" fontId="88" fillId="0" borderId="0"/>
    <xf numFmtId="0" fontId="203" fillId="0" borderId="112">
      <alignment vertical="center" wrapText="1"/>
    </xf>
    <xf numFmtId="9" fontId="23" fillId="84" borderId="113" applyFont="0" applyProtection="0">
      <alignment horizontal="right"/>
    </xf>
    <xf numFmtId="0" fontId="23" fillId="84" borderId="64" applyNumberFormat="0" applyFont="0" applyAlignment="0" applyProtection="0"/>
    <xf numFmtId="0" fontId="9" fillId="0" borderId="0" applyFill="0" applyBorder="0" applyProtection="0">
      <alignment horizontal="center" vertical="center"/>
    </xf>
    <xf numFmtId="0" fontId="204" fillId="0" borderId="0" applyBorder="0" applyProtection="0">
      <alignment vertical="center"/>
    </xf>
    <xf numFmtId="0" fontId="204" fillId="0" borderId="6" applyBorder="0" applyProtection="0">
      <alignment horizontal="right" vertical="center"/>
    </xf>
    <xf numFmtId="0" fontId="205" fillId="94" borderId="0" applyBorder="0" applyProtection="0">
      <alignment horizontal="centerContinuous" vertical="center"/>
    </xf>
    <xf numFmtId="0" fontId="205" fillId="66" borderId="6" applyBorder="0" applyProtection="0">
      <alignment horizontal="centerContinuous" vertical="center"/>
    </xf>
    <xf numFmtId="0" fontId="65" fillId="0" borderId="0" applyBorder="0" applyProtection="0">
      <alignment horizontal="left"/>
    </xf>
    <xf numFmtId="0" fontId="9" fillId="0" borderId="0" applyFill="0" applyBorder="0" applyProtection="0"/>
    <xf numFmtId="0" fontId="206" fillId="0" borderId="0" applyFill="0" applyBorder="0" applyProtection="0">
      <alignment horizontal="left"/>
    </xf>
    <xf numFmtId="0" fontId="122" fillId="0" borderId="26" applyFill="0" applyBorder="0" applyProtection="0">
      <alignment horizontal="left" vertical="top"/>
    </xf>
    <xf numFmtId="0" fontId="5" fillId="0" borderId="0">
      <alignment horizontal="center"/>
    </xf>
    <xf numFmtId="15" fontId="5" fillId="0" borderId="0">
      <alignment horizontal="center"/>
    </xf>
    <xf numFmtId="3" fontId="5" fillId="0" borderId="0">
      <alignment horizontal="center"/>
    </xf>
    <xf numFmtId="242" fontId="5" fillId="0" borderId="0">
      <alignment horizontal="center"/>
    </xf>
    <xf numFmtId="0" fontId="207" fillId="0" borderId="0">
      <alignment horizontal="center"/>
    </xf>
    <xf numFmtId="243" fontId="23" fillId="0" borderId="0"/>
    <xf numFmtId="0" fontId="94" fillId="20" borderId="0">
      <protection locked="0"/>
    </xf>
    <xf numFmtId="49" fontId="55" fillId="0" borderId="0" applyFill="0" applyBorder="0" applyAlignment="0"/>
    <xf numFmtId="244" fontId="55" fillId="0" borderId="0" applyFill="0" applyBorder="0" applyAlignment="0"/>
    <xf numFmtId="245" fontId="55" fillId="0" borderId="0" applyFill="0" applyBorder="0" applyAlignment="0"/>
    <xf numFmtId="0" fontId="50" fillId="0" borderId="0" applyNumberFormat="0" applyFont="0" applyFill="0" applyBorder="0" applyProtection="0">
      <alignment horizontal="left" vertical="top" wrapText="1"/>
    </xf>
    <xf numFmtId="0" fontId="94" fillId="20" borderId="0">
      <protection locked="0"/>
    </xf>
    <xf numFmtId="49" fontId="23" fillId="0" borderId="0"/>
    <xf numFmtId="0" fontId="4" fillId="0" borderId="0" applyNumberFormat="0" applyFill="0" applyBorder="0" applyAlignment="0" applyProtection="0"/>
    <xf numFmtId="0" fontId="208" fillId="0" borderId="0" applyNumberFormat="0" applyFill="0" applyBorder="0" applyAlignment="0" applyProtection="0"/>
    <xf numFmtId="0" fontId="209" fillId="0" borderId="0">
      <alignment horizontal="left"/>
    </xf>
    <xf numFmtId="37" fontId="210" fillId="0" borderId="0" applyNumberFormat="0">
      <alignment horizontal="center"/>
    </xf>
    <xf numFmtId="0" fontId="9" fillId="0" borderId="0" applyNumberFormat="0" applyFill="0" applyBorder="0" applyAlignment="0" applyProtection="0"/>
    <xf numFmtId="37" fontId="34" fillId="0" borderId="0" applyNumberFormat="0">
      <alignment horizontal="center"/>
    </xf>
    <xf numFmtId="0" fontId="211" fillId="93" borderId="0">
      <alignment horizontal="centerContinuous"/>
    </xf>
    <xf numFmtId="0" fontId="212" fillId="63" borderId="0" applyNumberFormat="0" applyBorder="0" applyAlignment="0">
      <alignment horizontal="center"/>
    </xf>
    <xf numFmtId="38" fontId="182" fillId="0" borderId="0"/>
    <xf numFmtId="0" fontId="213" fillId="0" borderId="114" applyNumberFormat="0" applyFill="0" applyAlignment="0" applyProtection="0"/>
    <xf numFmtId="191" fontId="27" fillId="0" borderId="11">
      <alignment horizontal="right"/>
    </xf>
    <xf numFmtId="38" fontId="214" fillId="95" borderId="64"/>
    <xf numFmtId="0" fontId="88" fillId="96" borderId="115" applyProtection="0">
      <alignment horizontal="left"/>
    </xf>
    <xf numFmtId="0" fontId="215" fillId="83" borderId="0" applyNumberFormat="0" applyBorder="0"/>
    <xf numFmtId="0" fontId="65" fillId="97" borderId="74" applyFill="0" applyAlignment="0">
      <alignment horizontal="center" vertical="center"/>
    </xf>
    <xf numFmtId="246" fontId="62" fillId="73" borderId="74" applyFont="0" applyFill="0">
      <alignment horizontal="right"/>
    </xf>
    <xf numFmtId="0" fontId="113" fillId="97" borderId="74">
      <alignment horizontal="center" vertical="center"/>
    </xf>
    <xf numFmtId="246" fontId="216" fillId="73" borderId="74">
      <alignment horizontal="right"/>
    </xf>
    <xf numFmtId="0" fontId="80" fillId="0" borderId="4" applyNumberFormat="0" applyBorder="0">
      <protection locked="0"/>
    </xf>
    <xf numFmtId="37" fontId="217" fillId="66" borderId="0"/>
    <xf numFmtId="37" fontId="218" fillId="0" borderId="6">
      <alignment horizontal="center"/>
    </xf>
    <xf numFmtId="0" fontId="219" fillId="0" borderId="74">
      <alignment horizontal="center"/>
    </xf>
    <xf numFmtId="204" fontId="23" fillId="0" borderId="0" applyNumberFormat="0" applyFont="0" applyBorder="0" applyAlignment="0">
      <protection locked="0"/>
    </xf>
    <xf numFmtId="2" fontId="217" fillId="66" borderId="0" applyNumberFormat="0" applyFill="0" applyBorder="0" applyAlignment="0" applyProtection="0"/>
    <xf numFmtId="247" fontId="220" fillId="66" borderId="0" applyNumberFormat="0" applyFill="0" applyBorder="0" applyAlignment="0" applyProtection="0"/>
    <xf numFmtId="37" fontId="221" fillId="98" borderId="0" applyNumberFormat="0" applyFill="0" applyBorder="0" applyAlignment="0"/>
    <xf numFmtId="0" fontId="222" fillId="66" borderId="0" applyNumberFormat="0" applyBorder="0" applyAlignment="0"/>
    <xf numFmtId="236" fontId="23" fillId="0" borderId="0"/>
    <xf numFmtId="248" fontId="223" fillId="57" borderId="26">
      <alignment horizontal="center"/>
    </xf>
    <xf numFmtId="10" fontId="23" fillId="0" borderId="0">
      <alignment horizontal="center"/>
    </xf>
    <xf numFmtId="10" fontId="23" fillId="0" borderId="0">
      <alignment horizontal="center"/>
    </xf>
    <xf numFmtId="0" fontId="23" fillId="90" borderId="0">
      <alignment horizontal="left"/>
    </xf>
    <xf numFmtId="0" fontId="23" fillId="90" borderId="0">
      <alignment horizontal="left"/>
    </xf>
    <xf numFmtId="0" fontId="23" fillId="90" borderId="0">
      <alignment horizontal="left"/>
    </xf>
    <xf numFmtId="10" fontId="23" fillId="0" borderId="0">
      <alignment horizontal="center"/>
    </xf>
    <xf numFmtId="10" fontId="23" fillId="0" borderId="0">
      <alignment horizontal="center"/>
    </xf>
    <xf numFmtId="0" fontId="23" fillId="90" borderId="0">
      <alignment horizontal="left"/>
    </xf>
    <xf numFmtId="10" fontId="23" fillId="0" borderId="0">
      <alignment horizontal="center"/>
    </xf>
    <xf numFmtId="10" fontId="23" fillId="0" borderId="0">
      <alignment horizontal="center"/>
    </xf>
    <xf numFmtId="248" fontId="223" fillId="57" borderId="26">
      <alignment horizontal="center"/>
    </xf>
    <xf numFmtId="248" fontId="223" fillId="57" borderId="26">
      <alignment horizontal="center"/>
    </xf>
    <xf numFmtId="249" fontId="23" fillId="0" borderId="0" applyFont="0" applyFill="0" applyBorder="0" applyAlignment="0" applyProtection="0"/>
    <xf numFmtId="249" fontId="23" fillId="0" borderId="0" applyFont="0" applyFill="0" applyBorder="0" applyAlignment="0" applyProtection="0"/>
    <xf numFmtId="250" fontId="23" fillId="0" borderId="0" applyFont="0" applyFill="0" applyBorder="0" applyAlignment="0" applyProtection="0"/>
    <xf numFmtId="249" fontId="55" fillId="0" borderId="0" applyFont="0" applyFill="0" applyBorder="0" applyAlignment="0" applyProtection="0"/>
    <xf numFmtId="250" fontId="55" fillId="0" borderId="0" applyFont="0" applyFill="0" applyBorder="0" applyAlignment="0" applyProtection="0"/>
    <xf numFmtId="0" fontId="224" fillId="20" borderId="0"/>
    <xf numFmtId="0" fontId="225" fillId="0" borderId="0" applyNumberFormat="0" applyFill="0" applyBorder="0" applyAlignment="0" applyProtection="0"/>
    <xf numFmtId="0" fontId="5" fillId="2" borderId="0"/>
    <xf numFmtId="0" fontId="3" fillId="0" borderId="116" applyNumberFormat="0"/>
    <xf numFmtId="14" fontId="27" fillId="0" borderId="0" applyFont="0" applyFill="0" applyBorder="0" applyProtection="0"/>
    <xf numFmtId="194" fontId="94" fillId="0" borderId="0" applyFont="0" applyFill="0" applyBorder="0" applyProtection="0">
      <alignment horizontal="right"/>
    </xf>
    <xf numFmtId="0" fontId="108" fillId="0" borderId="0"/>
    <xf numFmtId="177" fontId="23" fillId="0" borderId="0" applyFont="0" applyFill="0" applyBorder="0" applyAlignment="0" applyProtection="0"/>
    <xf numFmtId="0" fontId="8" fillId="0" borderId="0"/>
    <xf numFmtId="0" fontId="7" fillId="0" borderId="0"/>
    <xf numFmtId="0" fontId="23" fillId="0" borderId="0"/>
    <xf numFmtId="0" fontId="27"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50" fontId="2" fillId="0" borderId="0" applyFont="0" applyFill="0" applyBorder="0" applyAlignment="0" applyProtection="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8" borderId="25" applyNumberFormat="0" applyFont="0" applyAlignment="0" applyProtection="0"/>
    <xf numFmtId="0" fontId="19" fillId="77" borderId="86" applyNumberFormat="0" applyFont="0" applyAlignment="0" applyProtection="0"/>
    <xf numFmtId="0" fontId="7" fillId="0" borderId="0"/>
    <xf numFmtId="0" fontId="2" fillId="0" borderId="0"/>
    <xf numFmtId="0" fontId="2" fillId="0" borderId="0"/>
    <xf numFmtId="0" fontId="2" fillId="0" borderId="0"/>
    <xf numFmtId="0" fontId="2" fillId="0" borderId="0"/>
    <xf numFmtId="0" fontId="7" fillId="0" borderId="0"/>
    <xf numFmtId="40" fontId="7" fillId="0" borderId="0" applyFont="0" applyFill="0" applyBorder="0" applyAlignment="0" applyProtection="0"/>
    <xf numFmtId="9" fontId="32" fillId="0" borderId="0" applyFont="0" applyFill="0" applyBorder="0" applyAlignment="0" applyProtection="0"/>
    <xf numFmtId="0" fontId="7" fillId="0" borderId="0"/>
    <xf numFmtId="0" fontId="7" fillId="0" borderId="0"/>
    <xf numFmtId="204" fontId="32" fillId="0" borderId="0" applyFont="0" applyFill="0" applyBorder="0" applyAlignment="0" applyProtection="0"/>
    <xf numFmtId="0" fontId="308" fillId="0" borderId="0"/>
    <xf numFmtId="0" fontId="308" fillId="0" borderId="0"/>
    <xf numFmtId="0" fontId="19" fillId="0" borderId="0"/>
    <xf numFmtId="0" fontId="23" fillId="0" borderId="0"/>
    <xf numFmtId="43" fontId="23" fillId="0" borderId="0" applyFont="0" applyFill="0" applyBorder="0" applyAlignment="0" applyProtection="0"/>
    <xf numFmtId="0" fontId="23" fillId="0" borderId="0"/>
    <xf numFmtId="43" fontId="2" fillId="0" borderId="0" applyFont="0" applyFill="0" applyBorder="0" applyAlignment="0" applyProtection="0"/>
    <xf numFmtId="0" fontId="2" fillId="0" borderId="0"/>
    <xf numFmtId="0" fontId="2" fillId="0" borderId="0"/>
    <xf numFmtId="0" fontId="2" fillId="0" borderId="0"/>
    <xf numFmtId="0" fontId="23" fillId="0" borderId="0"/>
    <xf numFmtId="0" fontId="2" fillId="0" borderId="0"/>
    <xf numFmtId="0" fontId="19" fillId="0" borderId="0"/>
    <xf numFmtId="43" fontId="23" fillId="0" borderId="0" applyFont="0" applyFill="0" applyBorder="0" applyAlignment="0" applyProtection="0"/>
    <xf numFmtId="43" fontId="1"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1" fillId="0" borderId="0"/>
    <xf numFmtId="0" fontId="1" fillId="0" borderId="0"/>
  </cellStyleXfs>
  <cellXfs count="3509">
    <xf numFmtId="0" fontId="0" fillId="0" borderId="0" xfId="0"/>
    <xf numFmtId="0" fontId="3" fillId="0" borderId="0" xfId="0" applyFont="1" applyBorder="1"/>
    <xf numFmtId="0" fontId="4" fillId="0" borderId="0" xfId="0" applyFont="1" applyBorder="1" applyAlignment="1">
      <alignment horizontal="left"/>
    </xf>
    <xf numFmtId="0" fontId="4" fillId="0" borderId="0" xfId="0" applyFont="1" applyBorder="1"/>
    <xf numFmtId="0" fontId="5" fillId="0" borderId="0" xfId="0" applyFont="1" applyBorder="1"/>
    <xf numFmtId="0" fontId="6" fillId="0" borderId="0" xfId="0" applyFont="1" applyAlignment="1">
      <alignment horizontal="center"/>
    </xf>
    <xf numFmtId="40" fontId="0" fillId="0" borderId="0" xfId="1" applyFont="1"/>
    <xf numFmtId="0" fontId="8" fillId="0" borderId="0" xfId="0" applyFont="1"/>
    <xf numFmtId="0" fontId="9" fillId="0" borderId="0" xfId="0" applyFont="1" applyBorder="1"/>
    <xf numFmtId="0" fontId="4" fillId="0" borderId="0" xfId="0" applyFont="1" applyBorder="1" applyAlignment="1">
      <alignment horizontal="center"/>
    </xf>
    <xf numFmtId="0" fontId="9" fillId="2" borderId="1" xfId="0" applyFont="1" applyFill="1" applyBorder="1"/>
    <xf numFmtId="0" fontId="9" fillId="2" borderId="2" xfId="0" applyFont="1" applyFill="1" applyBorder="1" applyAlignment="1">
      <alignment horizontal="center"/>
    </xf>
    <xf numFmtId="164" fontId="4" fillId="2" borderId="2" xfId="0" applyNumberFormat="1" applyFont="1" applyFill="1" applyBorder="1" applyAlignment="1">
      <alignment horizontal="center"/>
    </xf>
    <xf numFmtId="0" fontId="5" fillId="2" borderId="2" xfId="0" applyFont="1" applyFill="1" applyBorder="1" applyAlignment="1">
      <alignment horizontal="center"/>
    </xf>
    <xf numFmtId="0" fontId="8" fillId="2" borderId="3" xfId="0" applyFont="1" applyFill="1" applyBorder="1"/>
    <xf numFmtId="40" fontId="0" fillId="0" borderId="4" xfId="1" applyFont="1" applyBorder="1"/>
    <xf numFmtId="0" fontId="9" fillId="2" borderId="4" xfId="0" applyFont="1" applyFill="1" applyBorder="1"/>
    <xf numFmtId="0" fontId="9" fillId="2" borderId="0" xfId="0" applyFont="1" applyFill="1" applyBorder="1" applyAlignment="1">
      <alignment horizontal="center"/>
    </xf>
    <xf numFmtId="164" fontId="4" fillId="2" borderId="0" xfId="0" applyNumberFormat="1" applyFont="1" applyFill="1" applyBorder="1" applyAlignment="1">
      <alignment horizontal="center"/>
    </xf>
    <xf numFmtId="0" fontId="5" fillId="2" borderId="0" xfId="0" applyFont="1" applyFill="1" applyBorder="1" applyAlignment="1">
      <alignment horizontal="center"/>
    </xf>
    <xf numFmtId="0" fontId="8" fillId="2" borderId="5" xfId="0" applyFont="1" applyFill="1" applyBorder="1"/>
    <xf numFmtId="0" fontId="5" fillId="2" borderId="0" xfId="0" applyFont="1" applyFill="1" applyBorder="1"/>
    <xf numFmtId="4" fontId="9" fillId="2" borderId="0" xfId="0" applyNumberFormat="1" applyFont="1" applyFill="1" applyBorder="1" applyAlignment="1">
      <alignment horizontal="right"/>
    </xf>
    <xf numFmtId="4" fontId="5" fillId="0" borderId="0" xfId="0" applyNumberFormat="1" applyFont="1" applyBorder="1"/>
    <xf numFmtId="0" fontId="8" fillId="0" borderId="5" xfId="0" applyFont="1" applyBorder="1"/>
    <xf numFmtId="0" fontId="0" fillId="0" borderId="4" xfId="0" applyBorder="1"/>
    <xf numFmtId="0" fontId="5" fillId="2" borderId="4" xfId="0" applyFont="1" applyFill="1" applyBorder="1"/>
    <xf numFmtId="3" fontId="5" fillId="0" borderId="0" xfId="0" applyNumberFormat="1" applyFont="1" applyBorder="1" applyAlignment="1"/>
    <xf numFmtId="3" fontId="9" fillId="0" borderId="0" xfId="0" applyNumberFormat="1" applyFont="1" applyBorder="1" applyAlignment="1">
      <alignment horizontal="center"/>
    </xf>
    <xf numFmtId="3" fontId="5" fillId="0" borderId="6" xfId="0" applyNumberFormat="1" applyFont="1" applyBorder="1" applyAlignment="1"/>
    <xf numFmtId="0" fontId="10" fillId="0" borderId="0" xfId="0" applyFont="1" applyBorder="1"/>
    <xf numFmtId="165" fontId="5" fillId="0" borderId="0" xfId="1" applyNumberFormat="1" applyFont="1" applyBorder="1" applyAlignment="1">
      <alignment horizontal="center"/>
    </xf>
    <xf numFmtId="0" fontId="10" fillId="2" borderId="4" xfId="0" applyFont="1" applyFill="1" applyBorder="1"/>
    <xf numFmtId="3" fontId="5" fillId="0" borderId="7" xfId="0" applyNumberFormat="1" applyFont="1" applyBorder="1" applyAlignment="1"/>
    <xf numFmtId="0" fontId="4" fillId="2" borderId="4" xfId="0" applyFont="1" applyFill="1" applyBorder="1"/>
    <xf numFmtId="0" fontId="9" fillId="0" borderId="0" xfId="0" applyFont="1" applyBorder="1" applyAlignment="1">
      <alignment horizontal="center"/>
    </xf>
    <xf numFmtId="3" fontId="11" fillId="0" borderId="0" xfId="0" applyNumberFormat="1" applyFont="1" applyBorder="1"/>
    <xf numFmtId="39" fontId="5" fillId="0" borderId="0" xfId="0" applyNumberFormat="1" applyFont="1" applyBorder="1"/>
    <xf numFmtId="40" fontId="0" fillId="0" borderId="4" xfId="0" applyNumberFormat="1" applyBorder="1"/>
    <xf numFmtId="3" fontId="5" fillId="0" borderId="8" xfId="0" applyNumberFormat="1" applyFont="1" applyBorder="1"/>
    <xf numFmtId="3" fontId="5" fillId="0" borderId="9" xfId="0" applyNumberFormat="1" applyFont="1" applyBorder="1"/>
    <xf numFmtId="3" fontId="5" fillId="0" borderId="10" xfId="0" applyNumberFormat="1" applyFont="1" applyBorder="1"/>
    <xf numFmtId="3" fontId="0" fillId="0" borderId="0" xfId="0" applyNumberFormat="1"/>
    <xf numFmtId="3" fontId="5" fillId="0" borderId="0" xfId="0" applyNumberFormat="1" applyFont="1" applyBorder="1" applyAlignment="1">
      <alignment horizontal="right"/>
    </xf>
    <xf numFmtId="3" fontId="5" fillId="0" borderId="0" xfId="0" applyNumberFormat="1" applyFont="1" applyBorder="1"/>
    <xf numFmtId="3" fontId="5" fillId="0" borderId="6" xfId="0" applyNumberFormat="1" applyFont="1" applyBorder="1"/>
    <xf numFmtId="0" fontId="12" fillId="2" borderId="4" xfId="0" applyFont="1" applyFill="1" applyBorder="1"/>
    <xf numFmtId="3" fontId="5" fillId="0" borderId="11" xfId="0" applyNumberFormat="1" applyFont="1" applyBorder="1"/>
    <xf numFmtId="0" fontId="5" fillId="2" borderId="12" xfId="0" applyFont="1" applyFill="1" applyBorder="1"/>
    <xf numFmtId="0" fontId="5" fillId="0" borderId="13" xfId="0" applyFont="1" applyBorder="1"/>
    <xf numFmtId="39" fontId="5" fillId="0" borderId="13" xfId="0" applyNumberFormat="1" applyFont="1" applyBorder="1"/>
    <xf numFmtId="0" fontId="8" fillId="0" borderId="14" xfId="0" applyFont="1" applyBorder="1"/>
    <xf numFmtId="0" fontId="8" fillId="0" borderId="0" xfId="0" applyFont="1" applyBorder="1"/>
    <xf numFmtId="0" fontId="0" fillId="0" borderId="0" xfId="0" applyBorder="1"/>
    <xf numFmtId="0" fontId="11" fillId="0" borderId="0" xfId="0" applyFont="1" applyBorder="1"/>
    <xf numFmtId="0" fontId="13" fillId="0" borderId="0" xfId="0" applyFont="1"/>
    <xf numFmtId="39" fontId="13" fillId="0" borderId="0" xfId="0" applyNumberFormat="1" applyFont="1"/>
    <xf numFmtId="39" fontId="14" fillId="0" borderId="0" xfId="0" applyNumberFormat="1" applyFont="1"/>
    <xf numFmtId="0" fontId="15" fillId="0" borderId="0" xfId="0" applyFont="1"/>
    <xf numFmtId="0" fontId="16" fillId="0" borderId="0" xfId="0" applyFont="1"/>
    <xf numFmtId="38" fontId="17" fillId="0" borderId="0" xfId="1" applyNumberFormat="1" applyFont="1"/>
    <xf numFmtId="0" fontId="17" fillId="0" borderId="0" xfId="0" applyFont="1"/>
    <xf numFmtId="0" fontId="18" fillId="0" borderId="0" xfId="0" applyFont="1"/>
    <xf numFmtId="0" fontId="19" fillId="0" borderId="0" xfId="0" applyFont="1"/>
    <xf numFmtId="0" fontId="20" fillId="0" borderId="0" xfId="0" applyFont="1" applyBorder="1"/>
    <xf numFmtId="38" fontId="20" fillId="0" borderId="0" xfId="1" applyNumberFormat="1" applyFont="1" applyBorder="1"/>
    <xf numFmtId="0" fontId="21" fillId="0" borderId="0" xfId="0" applyFont="1"/>
    <xf numFmtId="0" fontId="20" fillId="3" borderId="15" xfId="0" applyFont="1" applyFill="1" applyBorder="1"/>
    <xf numFmtId="164" fontId="22" fillId="3" borderId="16" xfId="1" applyNumberFormat="1" applyFont="1" applyFill="1" applyBorder="1" applyAlignment="1">
      <alignment horizontal="center"/>
    </xf>
    <xf numFmtId="164" fontId="22" fillId="3" borderId="17" xfId="0" applyNumberFormat="1" applyFont="1" applyFill="1" applyBorder="1" applyAlignment="1">
      <alignment horizontal="center"/>
    </xf>
    <xf numFmtId="0" fontId="21" fillId="0" borderId="0" xfId="0" applyFont="1" applyBorder="1"/>
    <xf numFmtId="0" fontId="20" fillId="3" borderId="18" xfId="0" applyFont="1" applyFill="1" applyBorder="1"/>
    <xf numFmtId="38" fontId="6" fillId="3" borderId="0" xfId="1" applyNumberFormat="1" applyFont="1" applyFill="1" applyAlignment="1">
      <alignment horizontal="center"/>
    </xf>
    <xf numFmtId="0" fontId="6" fillId="3" borderId="19" xfId="0" applyFont="1" applyFill="1" applyBorder="1" applyAlignment="1">
      <alignment horizontal="center"/>
    </xf>
    <xf numFmtId="0" fontId="6" fillId="3" borderId="18" xfId="0" applyFont="1" applyFill="1" applyBorder="1"/>
    <xf numFmtId="38" fontId="20" fillId="0" borderId="0" xfId="1" applyNumberFormat="1" applyFont="1"/>
    <xf numFmtId="0" fontId="20" fillId="0" borderId="19" xfId="0" applyFont="1" applyBorder="1"/>
    <xf numFmtId="0" fontId="6" fillId="3" borderId="18" xfId="0" applyFont="1" applyFill="1" applyBorder="1" applyAlignment="1">
      <alignment horizontal="left"/>
    </xf>
    <xf numFmtId="0" fontId="23" fillId="3" borderId="18" xfId="0" applyFont="1" applyFill="1" applyBorder="1"/>
    <xf numFmtId="38" fontId="23" fillId="0" borderId="0" xfId="1" applyNumberFormat="1" applyFont="1"/>
    <xf numFmtId="37" fontId="20" fillId="0" borderId="19" xfId="0" applyNumberFormat="1" applyFont="1" applyBorder="1"/>
    <xf numFmtId="38" fontId="19" fillId="0" borderId="0" xfId="0" applyNumberFormat="1" applyFont="1"/>
    <xf numFmtId="38" fontId="23" fillId="0" borderId="0" xfId="1" applyNumberFormat="1" applyFont="1" applyBorder="1"/>
    <xf numFmtId="38" fontId="23" fillId="0" borderId="8" xfId="1" applyNumberFormat="1" applyFont="1" applyBorder="1"/>
    <xf numFmtId="38" fontId="23" fillId="0" borderId="9" xfId="1" applyNumberFormat="1" applyFont="1" applyBorder="1"/>
    <xf numFmtId="38" fontId="23" fillId="0" borderId="10" xfId="1" applyNumberFormat="1" applyFont="1" applyBorder="1"/>
    <xf numFmtId="38" fontId="23" fillId="0" borderId="6" xfId="1" applyNumberFormat="1" applyFont="1" applyBorder="1"/>
    <xf numFmtId="0" fontId="24" fillId="3" borderId="18" xfId="0" applyFont="1" applyFill="1" applyBorder="1"/>
    <xf numFmtId="0" fontId="3" fillId="3" borderId="18" xfId="0" applyFont="1" applyFill="1" applyBorder="1"/>
    <xf numFmtId="38" fontId="23" fillId="0" borderId="20" xfId="1" applyNumberFormat="1" applyFont="1" applyBorder="1"/>
    <xf numFmtId="38" fontId="3" fillId="0" borderId="21" xfId="1" applyNumberFormat="1" applyFont="1" applyBorder="1"/>
    <xf numFmtId="38" fontId="3" fillId="0" borderId="0" xfId="1" applyNumberFormat="1" applyFont="1" applyBorder="1"/>
    <xf numFmtId="37" fontId="17" fillId="0" borderId="19" xfId="0" applyNumberFormat="1" applyFont="1" applyBorder="1"/>
    <xf numFmtId="166" fontId="23" fillId="3" borderId="18" xfId="0" applyNumberFormat="1" applyFont="1" applyFill="1" applyBorder="1" applyAlignment="1">
      <alignment horizontal="left"/>
    </xf>
    <xf numFmtId="0" fontId="20" fillId="3" borderId="22" xfId="0" applyFont="1" applyFill="1" applyBorder="1"/>
    <xf numFmtId="38" fontId="20" fillId="0" borderId="23" xfId="1" applyNumberFormat="1" applyFont="1" applyBorder="1"/>
    <xf numFmtId="37" fontId="20" fillId="0" borderId="24" xfId="0" applyNumberFormat="1" applyFont="1" applyBorder="1"/>
    <xf numFmtId="0" fontId="21" fillId="4" borderId="0" xfId="0" applyFont="1" applyFill="1"/>
    <xf numFmtId="38" fontId="21" fillId="0" borderId="0" xfId="1" applyNumberFormat="1" applyFont="1"/>
    <xf numFmtId="0" fontId="25" fillId="0" borderId="0" xfId="0" applyFont="1"/>
    <xf numFmtId="0" fontId="26" fillId="0" borderId="0" xfId="0" applyFont="1"/>
    <xf numFmtId="38" fontId="27" fillId="0" borderId="0" xfId="1" applyNumberFormat="1" applyFont="1"/>
    <xf numFmtId="0" fontId="33" fillId="11" borderId="0" xfId="2" applyFont="1" applyFill="1" applyBorder="1" applyAlignment="1" applyProtection="1">
      <alignment horizontal="left"/>
    </xf>
    <xf numFmtId="0" fontId="27" fillId="11" borderId="0" xfId="2" applyFont="1" applyFill="1" applyAlignment="1" applyProtection="1">
      <alignment horizontal="centerContinuous"/>
    </xf>
    <xf numFmtId="0" fontId="19" fillId="11" borderId="0" xfId="2" applyFont="1" applyFill="1" applyBorder="1" applyAlignment="1" applyProtection="1">
      <alignment horizontal="centerContinuous"/>
    </xf>
    <xf numFmtId="0" fontId="23" fillId="0" borderId="0" xfId="2" applyFont="1"/>
    <xf numFmtId="0" fontId="34" fillId="11" borderId="0" xfId="2" applyFont="1" applyFill="1" applyAlignment="1">
      <alignment horizontal="left"/>
    </xf>
    <xf numFmtId="0" fontId="35" fillId="11" borderId="0" xfId="2" applyFont="1" applyFill="1"/>
    <xf numFmtId="0" fontId="27" fillId="11" borderId="0" xfId="2" applyFont="1" applyFill="1"/>
    <xf numFmtId="0" fontId="24" fillId="11" borderId="0" xfId="2" applyFont="1" applyFill="1" applyBorder="1" applyAlignment="1" applyProtection="1">
      <alignment horizontal="center"/>
    </xf>
    <xf numFmtId="0" fontId="16" fillId="12" borderId="15" xfId="2" applyFont="1" applyFill="1" applyBorder="1" applyAlignment="1" applyProtection="1">
      <alignment horizontal="centerContinuous" wrapText="1"/>
    </xf>
    <xf numFmtId="17" fontId="26" fillId="12" borderId="16" xfId="2" applyNumberFormat="1" applyFont="1" applyFill="1" applyBorder="1" applyAlignment="1">
      <alignment horizontal="centerContinuous"/>
    </xf>
    <xf numFmtId="17" fontId="23" fillId="12" borderId="16" xfId="2" applyNumberFormat="1" applyFont="1" applyFill="1" applyBorder="1" applyAlignment="1">
      <alignment horizontal="centerContinuous"/>
    </xf>
    <xf numFmtId="0" fontId="5" fillId="12" borderId="17" xfId="2" applyFont="1" applyFill="1" applyBorder="1" applyAlignment="1" applyProtection="1">
      <alignment horizontal="centerContinuous"/>
    </xf>
    <xf numFmtId="0" fontId="5" fillId="0" borderId="0" xfId="2" applyFont="1" applyFill="1" applyBorder="1" applyProtection="1"/>
    <xf numFmtId="0" fontId="5" fillId="12" borderId="18" xfId="2" applyFont="1" applyFill="1" applyBorder="1" applyProtection="1"/>
    <xf numFmtId="0" fontId="11" fillId="11" borderId="0" xfId="2" applyFont="1" applyFill="1" applyBorder="1" applyProtection="1"/>
    <xf numFmtId="0" fontId="5" fillId="11" borderId="0" xfId="2" applyFont="1" applyFill="1" applyBorder="1" applyProtection="1"/>
    <xf numFmtId="0" fontId="5" fillId="11" borderId="19" xfId="2" applyFont="1" applyFill="1" applyBorder="1" applyProtection="1"/>
    <xf numFmtId="0" fontId="3" fillId="12" borderId="18" xfId="2" applyFont="1" applyFill="1" applyBorder="1" applyProtection="1"/>
    <xf numFmtId="0" fontId="24" fillId="11" borderId="0" xfId="2" applyFont="1" applyFill="1" applyBorder="1" applyProtection="1"/>
    <xf numFmtId="0" fontId="23" fillId="11" borderId="0" xfId="2" applyFont="1" applyFill="1" applyBorder="1" applyProtection="1"/>
    <xf numFmtId="167" fontId="3" fillId="11" borderId="19" xfId="2" applyNumberFormat="1" applyFont="1" applyFill="1" applyBorder="1" applyProtection="1"/>
    <xf numFmtId="38" fontId="9" fillId="0" borderId="0" xfId="2" applyNumberFormat="1" applyFont="1" applyFill="1" applyBorder="1" applyProtection="1"/>
    <xf numFmtId="167" fontId="5" fillId="0" borderId="0" xfId="2" applyNumberFormat="1" applyFont="1" applyFill="1" applyBorder="1" applyProtection="1"/>
    <xf numFmtId="0" fontId="23" fillId="12" borderId="18" xfId="2" applyFont="1" applyFill="1" applyBorder="1" applyProtection="1"/>
    <xf numFmtId="38" fontId="26" fillId="11" borderId="0" xfId="2" applyNumberFormat="1" applyFont="1" applyFill="1" applyBorder="1" applyProtection="1"/>
    <xf numFmtId="167" fontId="23" fillId="11" borderId="0" xfId="2" applyNumberFormat="1" applyFont="1" applyFill="1" applyBorder="1" applyProtection="1"/>
    <xf numFmtId="0" fontId="3" fillId="11" borderId="19" xfId="2" applyFont="1" applyFill="1" applyBorder="1" applyProtection="1"/>
    <xf numFmtId="167" fontId="26" fillId="11" borderId="0" xfId="2" applyNumberFormat="1" applyFont="1" applyFill="1" applyBorder="1" applyProtection="1"/>
    <xf numFmtId="38" fontId="23" fillId="11" borderId="0" xfId="2" applyNumberFormat="1" applyFont="1" applyFill="1" applyBorder="1" applyProtection="1"/>
    <xf numFmtId="0" fontId="26" fillId="11" borderId="0" xfId="2" applyFont="1" applyFill="1" applyBorder="1" applyProtection="1"/>
    <xf numFmtId="38" fontId="3" fillId="11" borderId="19" xfId="2" applyNumberFormat="1" applyFont="1" applyFill="1" applyBorder="1" applyProtection="1"/>
    <xf numFmtId="0" fontId="26" fillId="12" borderId="18" xfId="2" applyFont="1" applyFill="1" applyBorder="1" applyProtection="1"/>
    <xf numFmtId="0" fontId="9" fillId="0" borderId="0" xfId="2" applyFont="1" applyFill="1" applyBorder="1" applyProtection="1"/>
    <xf numFmtId="38" fontId="5" fillId="0" borderId="0" xfId="2" applyNumberFormat="1" applyFont="1" applyFill="1" applyBorder="1" applyProtection="1"/>
    <xf numFmtId="0" fontId="23" fillId="0" borderId="0" xfId="2" applyFont="1" applyFill="1" applyBorder="1" applyProtection="1"/>
    <xf numFmtId="0" fontId="23" fillId="11" borderId="0" xfId="2" applyFont="1" applyFill="1"/>
    <xf numFmtId="167" fontId="23" fillId="0" borderId="0" xfId="2" applyNumberFormat="1" applyFont="1" applyFill="1" applyBorder="1" applyProtection="1"/>
    <xf numFmtId="38" fontId="23" fillId="0" borderId="0" xfId="2" applyNumberFormat="1" applyFont="1" applyFill="1" applyBorder="1" applyProtection="1"/>
    <xf numFmtId="0" fontId="26" fillId="11" borderId="0" xfId="2" applyFont="1" applyFill="1" applyBorder="1"/>
    <xf numFmtId="0" fontId="23" fillId="11" borderId="0" xfId="2" applyFont="1" applyFill="1" applyBorder="1"/>
    <xf numFmtId="0" fontId="23" fillId="12" borderId="22" xfId="2" applyFont="1" applyFill="1" applyBorder="1"/>
    <xf numFmtId="0" fontId="26" fillId="11" borderId="23" xfId="2" applyFont="1" applyFill="1" applyBorder="1"/>
    <xf numFmtId="0" fontId="23" fillId="11" borderId="23" xfId="2" applyFont="1" applyFill="1" applyBorder="1"/>
    <xf numFmtId="0" fontId="3" fillId="11" borderId="24" xfId="2" applyFont="1" applyFill="1" applyBorder="1"/>
    <xf numFmtId="0" fontId="3" fillId="11" borderId="0" xfId="2" applyFont="1" applyFill="1" applyBorder="1"/>
    <xf numFmtId="0" fontId="26" fillId="11" borderId="0" xfId="2" applyFont="1" applyFill="1"/>
    <xf numFmtId="0" fontId="3" fillId="11" borderId="0" xfId="2" applyFont="1" applyFill="1"/>
    <xf numFmtId="0" fontId="3" fillId="12" borderId="15" xfId="2" applyFont="1" applyFill="1" applyBorder="1" applyAlignment="1" applyProtection="1">
      <alignment horizontal="centerContinuous" wrapText="1"/>
    </xf>
    <xf numFmtId="0" fontId="26" fillId="12" borderId="16" xfId="2" applyFont="1" applyFill="1" applyBorder="1" applyAlignment="1" applyProtection="1">
      <alignment horizontal="centerContinuous" wrapText="1"/>
    </xf>
    <xf numFmtId="0" fontId="23" fillId="12" borderId="16" xfId="2" applyFont="1" applyFill="1" applyBorder="1" applyAlignment="1" applyProtection="1">
      <alignment horizontal="centerContinuous" wrapText="1"/>
    </xf>
    <xf numFmtId="168" fontId="37" fillId="12" borderId="17" xfId="2" applyNumberFormat="1" applyFont="1" applyFill="1" applyBorder="1" applyAlignment="1">
      <alignment horizontal="centerContinuous"/>
    </xf>
    <xf numFmtId="38" fontId="26" fillId="11" borderId="0" xfId="3" applyNumberFormat="1" applyFont="1" applyFill="1" applyBorder="1" applyProtection="1"/>
    <xf numFmtId="38" fontId="23" fillId="11" borderId="0" xfId="3" applyNumberFormat="1" applyFont="1" applyFill="1" applyBorder="1" applyProtection="1"/>
    <xf numFmtId="0" fontId="23" fillId="12" borderId="18" xfId="2" applyFont="1" applyFill="1" applyBorder="1"/>
    <xf numFmtId="0" fontId="3" fillId="11" borderId="0" xfId="2" applyFont="1" applyFill="1" applyBorder="1" applyProtection="1"/>
    <xf numFmtId="167" fontId="23" fillId="0" borderId="0" xfId="2" applyNumberFormat="1" applyFont="1"/>
    <xf numFmtId="0" fontId="24" fillId="11" borderId="19" xfId="2" applyFont="1" applyFill="1" applyBorder="1" applyProtection="1"/>
    <xf numFmtId="167" fontId="24" fillId="11" borderId="19" xfId="2" applyNumberFormat="1" applyFont="1" applyFill="1" applyBorder="1" applyProtection="1"/>
    <xf numFmtId="169" fontId="23" fillId="11" borderId="0" xfId="2" applyNumberFormat="1" applyFont="1" applyFill="1" applyBorder="1" applyProtection="1"/>
    <xf numFmtId="169" fontId="26" fillId="11" borderId="0" xfId="2" applyNumberFormat="1" applyFont="1" applyFill="1" applyBorder="1" applyProtection="1"/>
    <xf numFmtId="38" fontId="38" fillId="11" borderId="19" xfId="2" applyNumberFormat="1" applyFont="1" applyFill="1" applyBorder="1" applyProtection="1"/>
    <xf numFmtId="0" fontId="23" fillId="12" borderId="22" xfId="2" applyFont="1" applyFill="1" applyBorder="1" applyProtection="1"/>
    <xf numFmtId="0" fontId="26" fillId="11" borderId="23" xfId="2" applyFont="1" applyFill="1" applyBorder="1" applyProtection="1"/>
    <xf numFmtId="0" fontId="23" fillId="11" borderId="23" xfId="2" applyFont="1" applyFill="1" applyBorder="1" applyProtection="1"/>
    <xf numFmtId="38" fontId="3" fillId="11" borderId="24" xfId="2" applyNumberFormat="1" applyFont="1" applyFill="1" applyBorder="1" applyProtection="1"/>
    <xf numFmtId="0" fontId="11" fillId="11" borderId="0" xfId="2" applyFont="1" applyFill="1"/>
    <xf numFmtId="0" fontId="11" fillId="0" borderId="0" xfId="2" applyFont="1"/>
    <xf numFmtId="167" fontId="3" fillId="0" borderId="0" xfId="2" applyNumberFormat="1" applyFont="1"/>
    <xf numFmtId="0" fontId="3" fillId="0" borderId="0" xfId="2" applyFont="1"/>
    <xf numFmtId="0" fontId="10" fillId="11" borderId="0" xfId="5" applyFont="1" applyFill="1"/>
    <xf numFmtId="0" fontId="41" fillId="11" borderId="0" xfId="5" applyFont="1" applyFill="1"/>
    <xf numFmtId="0" fontId="42" fillId="11" borderId="0" xfId="5" applyFont="1" applyFill="1" applyAlignment="1">
      <alignment horizontal="right"/>
    </xf>
    <xf numFmtId="0" fontId="43" fillId="3" borderId="27" xfId="5" applyFont="1" applyFill="1" applyBorder="1" applyAlignment="1">
      <alignment horizontal="center"/>
    </xf>
    <xf numFmtId="0" fontId="41" fillId="3" borderId="28" xfId="5" applyFont="1" applyFill="1" applyBorder="1" applyAlignment="1">
      <alignment horizontal="centerContinuous"/>
    </xf>
    <xf numFmtId="0" fontId="10" fillId="3" borderId="16" xfId="5" applyFont="1" applyFill="1" applyBorder="1" applyAlignment="1">
      <alignment horizontal="centerContinuous"/>
    </xf>
    <xf numFmtId="0" fontId="10" fillId="3" borderId="29" xfId="5" applyFont="1" applyFill="1" applyBorder="1" applyAlignment="1">
      <alignment horizontal="centerContinuous"/>
    </xf>
    <xf numFmtId="0" fontId="41" fillId="3" borderId="16" xfId="5" applyFont="1" applyFill="1" applyBorder="1" applyAlignment="1">
      <alignment horizontal="centerContinuous"/>
    </xf>
    <xf numFmtId="0" fontId="41" fillId="3" borderId="29" xfId="5" applyFont="1" applyFill="1" applyBorder="1" applyAlignment="1">
      <alignment horizontal="centerContinuous"/>
    </xf>
    <xf numFmtId="0" fontId="41" fillId="3" borderId="30" xfId="5" applyFont="1" applyFill="1" applyBorder="1" applyAlignment="1">
      <alignment horizontal="centerContinuous"/>
    </xf>
    <xf numFmtId="0" fontId="41" fillId="3" borderId="16" xfId="5" applyFont="1" applyFill="1" applyBorder="1" applyAlignment="1">
      <alignment horizontal="center" vertical="center"/>
    </xf>
    <xf numFmtId="0" fontId="41" fillId="3" borderId="31" xfId="5" applyFont="1" applyFill="1" applyBorder="1" applyAlignment="1">
      <alignment horizontal="center"/>
    </xf>
    <xf numFmtId="0" fontId="41" fillId="3" borderId="17" xfId="5" applyFont="1" applyFill="1" applyBorder="1" applyAlignment="1">
      <alignment horizontal="center"/>
    </xf>
    <xf numFmtId="0" fontId="43" fillId="3" borderId="32" xfId="5" applyFont="1" applyFill="1" applyBorder="1" applyAlignment="1">
      <alignment horizontal="center"/>
    </xf>
    <xf numFmtId="0" fontId="43" fillId="13" borderId="33" xfId="5" applyFont="1" applyFill="1" applyBorder="1" applyAlignment="1">
      <alignment horizontal="center"/>
    </xf>
    <xf numFmtId="0" fontId="43" fillId="13" borderId="34" xfId="5" applyFont="1" applyFill="1" applyBorder="1" applyAlignment="1">
      <alignment horizontal="center"/>
    </xf>
    <xf numFmtId="0" fontId="43" fillId="13" borderId="3" xfId="5" applyFont="1" applyFill="1" applyBorder="1" applyAlignment="1">
      <alignment horizontal="center"/>
    </xf>
    <xf numFmtId="0" fontId="43" fillId="13" borderId="35" xfId="5" applyFont="1" applyFill="1" applyBorder="1" applyAlignment="1">
      <alignment horizontal="center"/>
    </xf>
    <xf numFmtId="0" fontId="43" fillId="13" borderId="36" xfId="5" applyFont="1" applyFill="1" applyBorder="1" applyAlignment="1">
      <alignment horizontal="center"/>
    </xf>
    <xf numFmtId="0" fontId="43" fillId="3" borderId="37" xfId="5" applyFont="1" applyFill="1" applyBorder="1" applyAlignment="1">
      <alignment horizontal="centerContinuous"/>
    </xf>
    <xf numFmtId="0" fontId="43" fillId="3" borderId="0" xfId="5" applyFont="1" applyFill="1" applyBorder="1" applyAlignment="1">
      <alignment horizontal="center" vertical="center"/>
    </xf>
    <xf numFmtId="0" fontId="43" fillId="3" borderId="38" xfId="5" applyFont="1" applyFill="1" applyBorder="1" applyAlignment="1">
      <alignment horizontal="center"/>
    </xf>
    <xf numFmtId="0" fontId="43" fillId="3" borderId="19" xfId="5" applyFont="1" applyFill="1" applyBorder="1" applyAlignment="1">
      <alignment horizontal="center"/>
    </xf>
    <xf numFmtId="0" fontId="43" fillId="13" borderId="39" xfId="5" applyFont="1" applyFill="1" applyBorder="1" applyAlignment="1">
      <alignment horizontal="center"/>
    </xf>
    <xf numFmtId="0" fontId="43" fillId="13" borderId="9" xfId="5" applyFont="1" applyFill="1" applyBorder="1" applyAlignment="1">
      <alignment horizontal="center"/>
    </xf>
    <xf numFmtId="0" fontId="19" fillId="13" borderId="0" xfId="5" applyFont="1" applyFill="1"/>
    <xf numFmtId="0" fontId="43" fillId="13" borderId="40" xfId="5" applyFont="1" applyFill="1" applyBorder="1" applyAlignment="1">
      <alignment horizontal="center"/>
    </xf>
    <xf numFmtId="0" fontId="43" fillId="13" borderId="5" xfId="5" applyFont="1" applyFill="1" applyBorder="1" applyAlignment="1">
      <alignment horizontal="center"/>
    </xf>
    <xf numFmtId="0" fontId="43" fillId="3" borderId="0" xfId="5" applyFont="1" applyFill="1" applyBorder="1" applyAlignment="1">
      <alignment horizontal="center"/>
    </xf>
    <xf numFmtId="0" fontId="43" fillId="3" borderId="41" xfId="5" applyFont="1" applyFill="1" applyBorder="1" applyAlignment="1">
      <alignment horizontal="center"/>
    </xf>
    <xf numFmtId="0" fontId="43" fillId="13" borderId="42" xfId="5" applyFont="1" applyFill="1" applyBorder="1" applyAlignment="1">
      <alignment horizontal="center"/>
    </xf>
    <xf numFmtId="0" fontId="43" fillId="13" borderId="10" xfId="5" applyFont="1" applyFill="1" applyBorder="1" applyAlignment="1">
      <alignment horizontal="center"/>
    </xf>
    <xf numFmtId="0" fontId="43" fillId="13" borderId="43" xfId="5" applyFont="1" applyFill="1" applyBorder="1" applyAlignment="1">
      <alignment horizontal="center"/>
    </xf>
    <xf numFmtId="0" fontId="43" fillId="13" borderId="44" xfId="5" applyFont="1" applyFill="1" applyBorder="1" applyAlignment="1">
      <alignment horizontal="center"/>
    </xf>
    <xf numFmtId="0" fontId="43" fillId="3" borderId="45" xfId="5" applyFont="1" applyFill="1" applyBorder="1" applyAlignment="1">
      <alignment horizontal="centerContinuous"/>
    </xf>
    <xf numFmtId="0" fontId="43" fillId="3" borderId="42" xfId="5" applyFont="1" applyFill="1" applyBorder="1" applyAlignment="1">
      <alignment horizontal="center"/>
    </xf>
    <xf numFmtId="0" fontId="43" fillId="3" borderId="46" xfId="5" applyFont="1" applyFill="1" applyBorder="1" applyAlignment="1">
      <alignment horizontal="center"/>
    </xf>
    <xf numFmtId="0" fontId="43" fillId="3" borderId="47" xfId="5" applyFont="1" applyFill="1" applyBorder="1" applyAlignment="1">
      <alignment horizontal="center"/>
    </xf>
    <xf numFmtId="171" fontId="43" fillId="3" borderId="32" xfId="5" applyNumberFormat="1" applyFont="1" applyFill="1" applyBorder="1" applyAlignment="1" applyProtection="1">
      <alignment horizontal="left"/>
      <protection locked="0" hidden="1"/>
    </xf>
    <xf numFmtId="167" fontId="10" fillId="11" borderId="39" xfId="5" applyNumberFormat="1" applyFont="1" applyFill="1" applyBorder="1"/>
    <xf numFmtId="167" fontId="10" fillId="11" borderId="9" xfId="5" applyNumberFormat="1" applyFont="1" applyFill="1" applyBorder="1"/>
    <xf numFmtId="167" fontId="41" fillId="11" borderId="5" xfId="5" applyNumberFormat="1" applyFont="1" applyFill="1" applyBorder="1"/>
    <xf numFmtId="167" fontId="10" fillId="11" borderId="40" xfId="5" applyNumberFormat="1" applyFont="1" applyFill="1" applyBorder="1"/>
    <xf numFmtId="167" fontId="41" fillId="11" borderId="37" xfId="5" applyNumberFormat="1" applyFont="1" applyFill="1" applyBorder="1"/>
    <xf numFmtId="167" fontId="10" fillId="11" borderId="38" xfId="5" applyNumberFormat="1" applyFont="1" applyFill="1" applyBorder="1"/>
    <xf numFmtId="167" fontId="41" fillId="11" borderId="19" xfId="5" applyNumberFormat="1" applyFont="1" applyFill="1" applyBorder="1"/>
    <xf numFmtId="167" fontId="10" fillId="11" borderId="32" xfId="5" applyNumberFormat="1" applyFont="1" applyFill="1" applyBorder="1"/>
    <xf numFmtId="167" fontId="10" fillId="11" borderId="0" xfId="5" applyNumberFormat="1" applyFont="1" applyFill="1"/>
    <xf numFmtId="17" fontId="43" fillId="3" borderId="32" xfId="5" applyNumberFormat="1" applyFont="1" applyFill="1" applyBorder="1" applyAlignment="1" applyProtection="1">
      <alignment horizontal="left"/>
      <protection locked="0" hidden="1"/>
    </xf>
    <xf numFmtId="167" fontId="10" fillId="11" borderId="39" xfId="6" applyNumberFormat="1" applyFont="1" applyFill="1" applyBorder="1" applyAlignment="1">
      <alignment horizontal="right"/>
    </xf>
    <xf numFmtId="167" fontId="41" fillId="11" borderId="5" xfId="5" applyNumberFormat="1" applyFont="1" applyFill="1" applyBorder="1" applyAlignment="1">
      <alignment horizontal="right"/>
    </xf>
    <xf numFmtId="167" fontId="41" fillId="11" borderId="37" xfId="5" applyNumberFormat="1" applyFont="1" applyFill="1" applyBorder="1" applyAlignment="1">
      <alignment horizontal="right"/>
    </xf>
    <xf numFmtId="167" fontId="10" fillId="11" borderId="0" xfId="5" applyNumberFormat="1" applyFont="1" applyFill="1" applyBorder="1"/>
    <xf numFmtId="167" fontId="46" fillId="11" borderId="0" xfId="5" applyNumberFormat="1" applyFont="1" applyFill="1"/>
    <xf numFmtId="172" fontId="47" fillId="11" borderId="0" xfId="5" applyNumberFormat="1" applyFont="1" applyFill="1" applyBorder="1"/>
    <xf numFmtId="167" fontId="41" fillId="11" borderId="0" xfId="5" applyNumberFormat="1" applyFont="1" applyFill="1" applyBorder="1"/>
    <xf numFmtId="17" fontId="43" fillId="3" borderId="32" xfId="5" quotePrefix="1" applyNumberFormat="1" applyFont="1" applyFill="1" applyBorder="1" applyAlignment="1" applyProtection="1">
      <alignment horizontal="left"/>
      <protection locked="0" hidden="1"/>
    </xf>
    <xf numFmtId="167" fontId="10" fillId="0" borderId="39" xfId="5" applyNumberFormat="1" applyFont="1" applyFill="1" applyBorder="1"/>
    <xf numFmtId="167" fontId="41" fillId="0" borderId="5" xfId="5" applyNumberFormat="1" applyFont="1" applyFill="1" applyBorder="1"/>
    <xf numFmtId="167" fontId="10" fillId="0" borderId="39" xfId="6" applyNumberFormat="1" applyFont="1" applyFill="1" applyBorder="1" applyAlignment="1">
      <alignment horizontal="right"/>
    </xf>
    <xf numFmtId="167" fontId="41" fillId="0" borderId="5" xfId="5" applyNumberFormat="1" applyFont="1" applyFill="1" applyBorder="1" applyAlignment="1">
      <alignment horizontal="right"/>
    </xf>
    <xf numFmtId="167" fontId="41" fillId="0" borderId="37" xfId="5" applyNumberFormat="1" applyFont="1" applyFill="1" applyBorder="1" applyAlignment="1">
      <alignment horizontal="right"/>
    </xf>
    <xf numFmtId="167" fontId="10" fillId="0" borderId="38" xfId="5" applyNumberFormat="1" applyFont="1" applyFill="1" applyBorder="1"/>
    <xf numFmtId="167" fontId="41" fillId="0" borderId="19" xfId="5" applyNumberFormat="1" applyFont="1" applyFill="1" applyBorder="1"/>
    <xf numFmtId="167" fontId="10" fillId="0" borderId="32" xfId="5" applyNumberFormat="1" applyFont="1" applyFill="1" applyBorder="1"/>
    <xf numFmtId="167" fontId="19" fillId="0" borderId="39" xfId="5" applyNumberFormat="1" applyFont="1" applyFill="1" applyBorder="1"/>
    <xf numFmtId="167" fontId="43" fillId="0" borderId="5" xfId="5" applyNumberFormat="1" applyFont="1" applyFill="1" applyBorder="1"/>
    <xf numFmtId="167" fontId="19" fillId="0" borderId="39" xfId="6" applyNumberFormat="1" applyFont="1" applyFill="1" applyBorder="1" applyAlignment="1">
      <alignment horizontal="right"/>
    </xf>
    <xf numFmtId="167" fontId="43" fillId="0" borderId="5" xfId="5" applyNumberFormat="1" applyFont="1" applyFill="1" applyBorder="1" applyAlignment="1">
      <alignment horizontal="right"/>
    </xf>
    <xf numFmtId="167" fontId="43" fillId="0" borderId="37" xfId="5" applyNumberFormat="1" applyFont="1" applyFill="1" applyBorder="1" applyAlignment="1">
      <alignment horizontal="right"/>
    </xf>
    <xf numFmtId="167" fontId="19" fillId="0" borderId="38" xfId="5" applyNumberFormat="1" applyFont="1" applyFill="1" applyBorder="1"/>
    <xf numFmtId="167" fontId="43" fillId="0" borderId="19" xfId="5" applyNumberFormat="1" applyFont="1" applyFill="1" applyBorder="1"/>
    <xf numFmtId="167" fontId="19" fillId="0" borderId="32" xfId="5" applyNumberFormat="1" applyFont="1" applyFill="1" applyBorder="1"/>
    <xf numFmtId="172" fontId="10" fillId="11" borderId="0" xfId="5" applyNumberFormat="1" applyFont="1" applyFill="1"/>
    <xf numFmtId="17" fontId="41" fillId="3" borderId="48" xfId="5" applyNumberFormat="1" applyFont="1" applyFill="1" applyBorder="1" applyAlignment="1" applyProtection="1">
      <alignment horizontal="left"/>
      <protection locked="0" hidden="1"/>
    </xf>
    <xf numFmtId="167" fontId="10" fillId="11" borderId="49" xfId="5" applyNumberFormat="1" applyFont="1" applyFill="1" applyBorder="1"/>
    <xf numFmtId="167" fontId="10" fillId="11" borderId="50" xfId="5" applyNumberFormat="1" applyFont="1" applyFill="1" applyBorder="1"/>
    <xf numFmtId="167" fontId="10" fillId="11" borderId="51" xfId="5" applyNumberFormat="1" applyFont="1" applyFill="1" applyBorder="1"/>
    <xf numFmtId="167" fontId="10" fillId="11" borderId="52" xfId="5" applyNumberFormat="1" applyFont="1" applyFill="1" applyBorder="1"/>
    <xf numFmtId="167" fontId="10" fillId="11" borderId="53" xfId="5" applyNumberFormat="1" applyFont="1" applyFill="1" applyBorder="1"/>
    <xf numFmtId="167" fontId="10" fillId="11" borderId="54" xfId="5" applyNumberFormat="1" applyFont="1" applyFill="1" applyBorder="1"/>
    <xf numFmtId="167" fontId="10" fillId="11" borderId="24" xfId="5" applyNumberFormat="1" applyFont="1" applyFill="1" applyBorder="1"/>
    <xf numFmtId="167" fontId="10" fillId="11" borderId="48" xfId="5" applyNumberFormat="1" applyFont="1" applyFill="1" applyBorder="1"/>
    <xf numFmtId="0" fontId="48" fillId="11" borderId="0" xfId="5" applyFont="1" applyFill="1"/>
    <xf numFmtId="0" fontId="48" fillId="14" borderId="0" xfId="5" applyFont="1" applyFill="1" applyBorder="1" applyProtection="1"/>
    <xf numFmtId="10" fontId="10" fillId="11" borderId="0" xfId="5" applyNumberFormat="1" applyFont="1" applyFill="1"/>
    <xf numFmtId="173" fontId="10" fillId="11" borderId="0" xfId="5" applyNumberFormat="1" applyFont="1" applyFill="1"/>
    <xf numFmtId="0" fontId="49" fillId="11" borderId="0" xfId="5" applyFont="1" applyFill="1" applyBorder="1"/>
    <xf numFmtId="0" fontId="49" fillId="11" borderId="0" xfId="5" applyFont="1" applyFill="1"/>
    <xf numFmtId="167" fontId="49" fillId="11" borderId="0" xfId="5" applyNumberFormat="1" applyFont="1" applyFill="1"/>
    <xf numFmtId="167" fontId="10" fillId="11" borderId="0" xfId="6" applyNumberFormat="1" applyFont="1" applyFill="1"/>
    <xf numFmtId="4" fontId="10" fillId="11" borderId="0" xfId="5" applyNumberFormat="1" applyFont="1" applyFill="1"/>
    <xf numFmtId="0" fontId="10" fillId="11" borderId="0" xfId="5" applyFont="1" applyFill="1" applyAlignment="1">
      <alignment horizontal="right"/>
    </xf>
    <xf numFmtId="0" fontId="41" fillId="15" borderId="29" xfId="5" applyFont="1" applyFill="1" applyBorder="1" applyAlignment="1">
      <alignment horizontal="center"/>
    </xf>
    <xf numFmtId="0" fontId="41" fillId="3" borderId="30" xfId="5" applyFont="1" applyFill="1" applyBorder="1" applyAlignment="1">
      <alignment horizontal="center"/>
    </xf>
    <xf numFmtId="0" fontId="41" fillId="3" borderId="56" xfId="5" applyFont="1" applyFill="1" applyBorder="1" applyAlignment="1">
      <alignment horizontal="center"/>
    </xf>
    <xf numFmtId="0" fontId="41" fillId="3" borderId="29" xfId="5" applyFont="1" applyFill="1" applyBorder="1" applyAlignment="1">
      <alignment horizontal="center"/>
    </xf>
    <xf numFmtId="0" fontId="41" fillId="15" borderId="5" xfId="5" applyFont="1" applyFill="1" applyBorder="1" applyAlignment="1">
      <alignment horizontal="center"/>
    </xf>
    <xf numFmtId="0" fontId="41" fillId="13" borderId="35" xfId="5" applyFont="1" applyFill="1" applyBorder="1" applyAlignment="1">
      <alignment horizontal="center"/>
    </xf>
    <xf numFmtId="0" fontId="41" fillId="13" borderId="34" xfId="5" applyFont="1" applyFill="1" applyBorder="1" applyAlignment="1">
      <alignment horizontal="center"/>
    </xf>
    <xf numFmtId="0" fontId="41" fillId="13" borderId="3" xfId="5" applyFont="1" applyFill="1" applyBorder="1" applyAlignment="1">
      <alignment horizontal="center"/>
    </xf>
    <xf numFmtId="0" fontId="41" fillId="3" borderId="37" xfId="5" applyFont="1" applyFill="1" applyBorder="1" applyAlignment="1">
      <alignment horizontal="center"/>
    </xf>
    <xf numFmtId="0" fontId="41" fillId="3" borderId="57" xfId="5" applyFont="1" applyFill="1" applyBorder="1" applyAlignment="1">
      <alignment horizontal="center"/>
    </xf>
    <xf numFmtId="0" fontId="41" fillId="3" borderId="5" xfId="5" applyFont="1" applyFill="1" applyBorder="1" applyAlignment="1">
      <alignment horizontal="center"/>
    </xf>
    <xf numFmtId="0" fontId="41" fillId="13" borderId="40" xfId="5" applyFont="1" applyFill="1" applyBorder="1" applyAlignment="1">
      <alignment horizontal="center"/>
    </xf>
    <xf numFmtId="0" fontId="41" fillId="13" borderId="9" xfId="5" applyFont="1" applyFill="1" applyBorder="1" applyAlignment="1">
      <alignment horizontal="center"/>
    </xf>
    <xf numFmtId="0" fontId="41" fillId="13" borderId="5" xfId="5" applyFont="1" applyFill="1" applyBorder="1" applyAlignment="1">
      <alignment horizontal="center"/>
    </xf>
    <xf numFmtId="0" fontId="41" fillId="15" borderId="43" xfId="5" applyFont="1" applyFill="1" applyBorder="1" applyAlignment="1">
      <alignment horizontal="center"/>
    </xf>
    <xf numFmtId="0" fontId="41" fillId="13" borderId="42" xfId="5" applyFont="1" applyFill="1" applyBorder="1" applyAlignment="1">
      <alignment horizontal="center"/>
    </xf>
    <xf numFmtId="0" fontId="41" fillId="13" borderId="10" xfId="5" applyFont="1" applyFill="1" applyBorder="1" applyAlignment="1">
      <alignment horizontal="center"/>
    </xf>
    <xf numFmtId="0" fontId="41" fillId="13" borderId="43" xfId="5" applyFont="1" applyFill="1" applyBorder="1" applyAlignment="1">
      <alignment horizontal="center"/>
    </xf>
    <xf numFmtId="0" fontId="41" fillId="3" borderId="45" xfId="5" applyFont="1" applyFill="1" applyBorder="1" applyAlignment="1">
      <alignment horizontal="center"/>
    </xf>
    <xf numFmtId="0" fontId="41" fillId="13" borderId="44" xfId="5" applyFont="1" applyFill="1" applyBorder="1" applyAlignment="1">
      <alignment horizontal="center"/>
    </xf>
    <xf numFmtId="0" fontId="41" fillId="3" borderId="58" xfId="5" applyFont="1" applyFill="1" applyBorder="1" applyAlignment="1">
      <alignment horizontal="center"/>
    </xf>
    <xf numFmtId="0" fontId="41" fillId="3" borderId="43" xfId="5" applyFont="1" applyFill="1" applyBorder="1" applyAlignment="1">
      <alignment horizontal="center"/>
    </xf>
    <xf numFmtId="0" fontId="41" fillId="12" borderId="43" xfId="5" applyFont="1" applyFill="1" applyBorder="1" applyAlignment="1">
      <alignment horizontal="center"/>
    </xf>
    <xf numFmtId="0" fontId="41" fillId="16" borderId="42" xfId="5" applyFont="1" applyFill="1" applyBorder="1" applyAlignment="1">
      <alignment horizontal="center"/>
    </xf>
    <xf numFmtId="0" fontId="41" fillId="16" borderId="10" xfId="5" applyFont="1" applyFill="1" applyBorder="1" applyAlignment="1">
      <alignment horizontal="center"/>
    </xf>
    <xf numFmtId="0" fontId="41" fillId="16" borderId="43" xfId="5" applyFont="1" applyFill="1" applyBorder="1" applyAlignment="1">
      <alignment horizontal="center"/>
    </xf>
    <xf numFmtId="0" fontId="41" fillId="12" borderId="45" xfId="5" applyFont="1" applyFill="1" applyBorder="1" applyAlignment="1">
      <alignment horizontal="center"/>
    </xf>
    <xf numFmtId="0" fontId="41" fillId="16" borderId="44" xfId="5" applyFont="1" applyFill="1" applyBorder="1" applyAlignment="1">
      <alignment horizontal="center"/>
    </xf>
    <xf numFmtId="0" fontId="41" fillId="12" borderId="58" xfId="5" applyFont="1" applyFill="1" applyBorder="1" applyAlignment="1">
      <alignment horizontal="center"/>
    </xf>
    <xf numFmtId="167" fontId="10" fillId="11" borderId="5" xfId="5" applyNumberFormat="1" applyFont="1" applyFill="1" applyBorder="1"/>
    <xf numFmtId="167" fontId="10" fillId="11" borderId="37" xfId="5" applyNumberFormat="1" applyFont="1" applyFill="1" applyBorder="1"/>
    <xf numFmtId="167" fontId="41" fillId="11" borderId="57" xfId="5" applyNumberFormat="1" applyFont="1" applyFill="1" applyBorder="1"/>
    <xf numFmtId="167" fontId="10" fillId="11" borderId="57" xfId="5" applyNumberFormat="1" applyFont="1" applyFill="1" applyBorder="1"/>
    <xf numFmtId="167" fontId="10" fillId="11" borderId="5" xfId="5" applyNumberFormat="1" applyFont="1" applyFill="1" applyBorder="1" applyAlignment="1">
      <alignment horizontal="right"/>
    </xf>
    <xf numFmtId="167" fontId="41" fillId="11" borderId="57" xfId="5" applyNumberFormat="1" applyFont="1" applyFill="1" applyBorder="1" applyAlignment="1">
      <alignment horizontal="right"/>
    </xf>
    <xf numFmtId="167" fontId="43" fillId="11" borderId="5" xfId="5" applyNumberFormat="1" applyFont="1" applyFill="1" applyBorder="1"/>
    <xf numFmtId="167" fontId="19" fillId="11" borderId="39" xfId="5" applyNumberFormat="1" applyFont="1" applyFill="1" applyBorder="1"/>
    <xf numFmtId="167" fontId="19" fillId="11" borderId="9" xfId="5" applyNumberFormat="1" applyFont="1" applyFill="1" applyBorder="1"/>
    <xf numFmtId="167" fontId="19" fillId="11" borderId="5" xfId="5" applyNumberFormat="1" applyFont="1" applyFill="1" applyBorder="1"/>
    <xf numFmtId="167" fontId="19" fillId="11" borderId="5" xfId="5" applyNumberFormat="1" applyFont="1" applyFill="1" applyBorder="1" applyAlignment="1">
      <alignment horizontal="right"/>
    </xf>
    <xf numFmtId="167" fontId="19" fillId="11" borderId="40" xfId="5" applyNumberFormat="1" applyFont="1" applyFill="1" applyBorder="1"/>
    <xf numFmtId="167" fontId="19" fillId="11" borderId="37" xfId="5" applyNumberFormat="1" applyFont="1" applyFill="1" applyBorder="1"/>
    <xf numFmtId="167" fontId="19" fillId="11" borderId="0" xfId="5" applyNumberFormat="1" applyFont="1" applyFill="1"/>
    <xf numFmtId="167" fontId="43" fillId="11" borderId="57" xfId="5" applyNumberFormat="1" applyFont="1" applyFill="1" applyBorder="1" applyAlignment="1">
      <alignment horizontal="right"/>
    </xf>
    <xf numFmtId="167" fontId="19" fillId="11" borderId="57" xfId="5" applyNumberFormat="1" applyFont="1" applyFill="1" applyBorder="1"/>
    <xf numFmtId="167" fontId="19" fillId="0" borderId="9" xfId="5" applyNumberFormat="1" applyFont="1" applyFill="1" applyBorder="1"/>
    <xf numFmtId="167" fontId="19" fillId="0" borderId="5" xfId="5" applyNumberFormat="1" applyFont="1" applyFill="1" applyBorder="1"/>
    <xf numFmtId="167" fontId="19" fillId="0" borderId="5" xfId="5" applyNumberFormat="1" applyFont="1" applyFill="1" applyBorder="1" applyAlignment="1">
      <alignment horizontal="right"/>
    </xf>
    <xf numFmtId="167" fontId="19" fillId="0" borderId="40" xfId="5" applyNumberFormat="1" applyFont="1" applyFill="1" applyBorder="1"/>
    <xf numFmtId="167" fontId="19" fillId="0" borderId="37" xfId="5" applyNumberFormat="1" applyFont="1" applyFill="1" applyBorder="1"/>
    <xf numFmtId="167" fontId="19" fillId="0" borderId="0" xfId="5" applyNumberFormat="1" applyFont="1" applyFill="1"/>
    <xf numFmtId="167" fontId="43" fillId="0" borderId="57" xfId="5" applyNumberFormat="1" applyFont="1" applyFill="1" applyBorder="1" applyAlignment="1">
      <alignment horizontal="right"/>
    </xf>
    <xf numFmtId="167" fontId="19" fillId="0" borderId="57" xfId="5" applyNumberFormat="1" applyFont="1" applyFill="1" applyBorder="1"/>
    <xf numFmtId="167" fontId="43" fillId="0" borderId="59" xfId="5" applyNumberFormat="1" applyFont="1" applyFill="1" applyBorder="1"/>
    <xf numFmtId="167" fontId="19" fillId="0" borderId="0" xfId="5" applyNumberFormat="1" applyFont="1" applyFill="1" applyBorder="1"/>
    <xf numFmtId="17" fontId="43" fillId="3" borderId="48" xfId="5" applyNumberFormat="1" applyFont="1" applyFill="1" applyBorder="1" applyAlignment="1" applyProtection="1">
      <alignment horizontal="left"/>
      <protection locked="0" hidden="1"/>
    </xf>
    <xf numFmtId="167" fontId="43" fillId="0" borderId="51" xfId="5" applyNumberFormat="1" applyFont="1" applyFill="1" applyBorder="1"/>
    <xf numFmtId="167" fontId="19" fillId="0" borderId="49" xfId="5" applyNumberFormat="1" applyFont="1" applyFill="1" applyBorder="1"/>
    <xf numFmtId="167" fontId="19" fillId="0" borderId="50" xfId="5" applyNumberFormat="1" applyFont="1" applyFill="1" applyBorder="1"/>
    <xf numFmtId="167" fontId="19" fillId="0" borderId="51" xfId="5" applyNumberFormat="1" applyFont="1" applyFill="1" applyBorder="1"/>
    <xf numFmtId="167" fontId="19" fillId="0" borderId="51" xfId="5" applyNumberFormat="1" applyFont="1" applyFill="1" applyBorder="1" applyAlignment="1">
      <alignment horizontal="right"/>
    </xf>
    <xf numFmtId="167" fontId="19" fillId="0" borderId="52" xfId="5" applyNumberFormat="1" applyFont="1" applyFill="1" applyBorder="1"/>
    <xf numFmtId="167" fontId="19" fillId="0" borderId="53" xfId="5" applyNumberFormat="1" applyFont="1" applyFill="1" applyBorder="1"/>
    <xf numFmtId="167" fontId="19" fillId="0" borderId="23" xfId="5" applyNumberFormat="1" applyFont="1" applyFill="1" applyBorder="1"/>
    <xf numFmtId="167" fontId="43" fillId="0" borderId="60" xfId="5" applyNumberFormat="1" applyFont="1" applyFill="1" applyBorder="1" applyAlignment="1">
      <alignment horizontal="right"/>
    </xf>
    <xf numFmtId="167" fontId="19" fillId="0" borderId="60" xfId="5" applyNumberFormat="1" applyFont="1" applyFill="1" applyBorder="1"/>
    <xf numFmtId="0" fontId="10" fillId="11" borderId="23" xfId="5" applyFont="1" applyFill="1" applyBorder="1"/>
    <xf numFmtId="0" fontId="48" fillId="11" borderId="0" xfId="5" applyFont="1" applyFill="1" applyAlignment="1">
      <alignment horizontal="left"/>
    </xf>
    <xf numFmtId="3" fontId="49" fillId="11" borderId="0" xfId="5" applyNumberFormat="1" applyFont="1" applyFill="1"/>
    <xf numFmtId="3" fontId="10" fillId="11" borderId="0" xfId="5" applyNumberFormat="1" applyFont="1" applyFill="1" applyBorder="1"/>
    <xf numFmtId="167" fontId="49" fillId="11" borderId="0" xfId="5" applyNumberFormat="1" applyFont="1" applyFill="1" applyBorder="1"/>
    <xf numFmtId="2" fontId="49" fillId="11" borderId="0" xfId="5" applyNumberFormat="1" applyFont="1" applyFill="1"/>
    <xf numFmtId="169" fontId="49" fillId="11" borderId="0" xfId="5" applyNumberFormat="1" applyFont="1" applyFill="1"/>
    <xf numFmtId="0" fontId="18" fillId="11" borderId="0" xfId="5463" applyFont="1" applyFill="1" applyBorder="1"/>
    <xf numFmtId="0" fontId="226" fillId="11" borderId="0" xfId="5463" applyFont="1" applyFill="1" applyBorder="1"/>
    <xf numFmtId="0" fontId="103" fillId="11" borderId="0" xfId="5463" applyFont="1" applyFill="1" applyBorder="1"/>
    <xf numFmtId="0" fontId="27" fillId="11" borderId="0" xfId="5463" applyFont="1" applyFill="1"/>
    <xf numFmtId="167" fontId="103" fillId="11" borderId="0" xfId="5463" applyNumberFormat="1" applyFont="1" applyFill="1" applyBorder="1"/>
    <xf numFmtId="0" fontId="227" fillId="11" borderId="0" xfId="5463" applyFont="1" applyFill="1" applyBorder="1" applyAlignment="1">
      <alignment horizontal="right"/>
    </xf>
    <xf numFmtId="3" fontId="198" fillId="3" borderId="27" xfId="5463" applyNumberFormat="1" applyFont="1" applyFill="1" applyBorder="1" applyAlignment="1">
      <alignment horizontal="center"/>
    </xf>
    <xf numFmtId="0" fontId="198" fillId="3" borderId="32" xfId="5463" applyFont="1" applyFill="1" applyBorder="1" applyAlignment="1">
      <alignment horizontal="center"/>
    </xf>
    <xf numFmtId="3" fontId="198" fillId="3" borderId="48" xfId="5463" applyNumberFormat="1" applyFont="1" applyFill="1" applyBorder="1" applyAlignment="1">
      <alignment horizontal="center"/>
    </xf>
    <xf numFmtId="3" fontId="103" fillId="13" borderId="32" xfId="5463" applyNumberFormat="1" applyFont="1" applyFill="1" applyBorder="1"/>
    <xf numFmtId="0" fontId="103" fillId="11" borderId="18" xfId="5463" applyFont="1" applyFill="1" applyBorder="1"/>
    <xf numFmtId="0" fontId="103" fillId="11" borderId="30" xfId="5463" applyFont="1" applyFill="1" applyBorder="1"/>
    <xf numFmtId="3" fontId="103" fillId="99" borderId="32" xfId="5463" applyNumberFormat="1" applyFont="1" applyFill="1" applyBorder="1"/>
    <xf numFmtId="3" fontId="34" fillId="13" borderId="32" xfId="6345" applyNumberFormat="1" applyFont="1" applyFill="1" applyBorder="1" applyProtection="1">
      <protection hidden="1"/>
    </xf>
    <xf numFmtId="167" fontId="34" fillId="11" borderId="18" xfId="5463" applyNumberFormat="1" applyFont="1" applyFill="1" applyBorder="1"/>
    <xf numFmtId="167" fontId="34" fillId="11" borderId="37" xfId="5463" applyNumberFormat="1" applyFont="1" applyFill="1" applyBorder="1"/>
    <xf numFmtId="3" fontId="34" fillId="99" borderId="32" xfId="6345" applyNumberFormat="1" applyFont="1" applyFill="1" applyBorder="1" applyProtection="1">
      <protection hidden="1"/>
    </xf>
    <xf numFmtId="167" fontId="27" fillId="11" borderId="0" xfId="5463" applyNumberFormat="1" applyFont="1" applyFill="1"/>
    <xf numFmtId="3" fontId="35" fillId="13" borderId="32" xfId="6345" applyNumberFormat="1" applyFont="1" applyFill="1" applyBorder="1" applyProtection="1">
      <protection hidden="1"/>
    </xf>
    <xf numFmtId="3" fontId="35" fillId="99" borderId="32" xfId="6345" applyNumberFormat="1" applyFont="1" applyFill="1" applyBorder="1" applyProtection="1">
      <protection hidden="1"/>
    </xf>
    <xf numFmtId="3" fontId="27" fillId="13" borderId="32" xfId="6345" applyNumberFormat="1" applyFont="1" applyFill="1" applyBorder="1" applyProtection="1">
      <protection hidden="1"/>
    </xf>
    <xf numFmtId="167" fontId="27" fillId="11" borderId="18" xfId="5463" applyNumberFormat="1" applyFont="1" applyFill="1" applyBorder="1"/>
    <xf numFmtId="167" fontId="27" fillId="11" borderId="37" xfId="5463" applyNumberFormat="1" applyFont="1" applyFill="1" applyBorder="1"/>
    <xf numFmtId="3" fontId="27" fillId="99" borderId="32" xfId="6345" applyNumberFormat="1" applyFont="1" applyFill="1" applyBorder="1" applyProtection="1">
      <protection hidden="1"/>
    </xf>
    <xf numFmtId="167" fontId="27" fillId="11" borderId="4" xfId="5463" applyNumberFormat="1" applyFont="1" applyFill="1" applyBorder="1"/>
    <xf numFmtId="3" fontId="27" fillId="13" borderId="48" xfId="6345" applyNumberFormat="1" applyFont="1" applyFill="1" applyBorder="1" applyProtection="1">
      <protection hidden="1"/>
    </xf>
    <xf numFmtId="167" fontId="27" fillId="11" borderId="117" xfId="5463" applyNumberFormat="1" applyFont="1" applyFill="1" applyBorder="1"/>
    <xf numFmtId="167" fontId="27" fillId="11" borderId="53" xfId="5463" applyNumberFormat="1" applyFont="1" applyFill="1" applyBorder="1"/>
    <xf numFmtId="3" fontId="27" fillId="99" borderId="48" xfId="6345" applyNumberFormat="1" applyFont="1" applyFill="1" applyBorder="1" applyProtection="1">
      <protection hidden="1"/>
    </xf>
    <xf numFmtId="3" fontId="35" fillId="0" borderId="0" xfId="6345" applyNumberFormat="1" applyFont="1" applyFill="1" applyBorder="1" applyProtection="1">
      <protection hidden="1"/>
    </xf>
    <xf numFmtId="167" fontId="27" fillId="11" borderId="0" xfId="5463" applyNumberFormat="1" applyFont="1" applyFill="1" applyBorder="1"/>
    <xf numFmtId="167" fontId="34" fillId="11" borderId="0" xfId="5463" applyNumberFormat="1" applyFont="1" applyFill="1" applyBorder="1"/>
    <xf numFmtId="0" fontId="27" fillId="11" borderId="0" xfId="5463" applyFont="1" applyFill="1" applyBorder="1"/>
    <xf numFmtId="3" fontId="35" fillId="0" borderId="23" xfId="6345" applyNumberFormat="1" applyFont="1" applyFill="1" applyBorder="1" applyProtection="1">
      <protection hidden="1"/>
    </xf>
    <xf numFmtId="167" fontId="27" fillId="11" borderId="23" xfId="5463" applyNumberFormat="1" applyFont="1" applyFill="1" applyBorder="1"/>
    <xf numFmtId="0" fontId="35" fillId="11" borderId="23" xfId="5463" applyFont="1" applyFill="1" applyBorder="1" applyAlignment="1">
      <alignment horizontal="center"/>
    </xf>
    <xf numFmtId="3" fontId="34" fillId="3" borderId="27" xfId="5463" applyNumberFormat="1" applyFont="1" applyFill="1" applyBorder="1" applyAlignment="1">
      <alignment horizontal="center"/>
    </xf>
    <xf numFmtId="0" fontId="34" fillId="99" borderId="118" xfId="5463" applyFont="1" applyFill="1" applyBorder="1" applyAlignment="1">
      <alignment horizontal="center"/>
    </xf>
    <xf numFmtId="0" fontId="34" fillId="99" borderId="30" xfId="5463" applyFont="1" applyFill="1" applyBorder="1" applyAlignment="1">
      <alignment horizontal="center"/>
    </xf>
    <xf numFmtId="0" fontId="34" fillId="99" borderId="17" xfId="5463" applyFont="1" applyFill="1" applyBorder="1" applyAlignment="1">
      <alignment horizontal="center"/>
    </xf>
    <xf numFmtId="0" fontId="34" fillId="3" borderId="32" xfId="5463" applyFont="1" applyFill="1" applyBorder="1" applyAlignment="1">
      <alignment horizontal="center"/>
    </xf>
    <xf numFmtId="0" fontId="34" fillId="99" borderId="59" xfId="5463" applyFont="1" applyFill="1" applyBorder="1" applyAlignment="1">
      <alignment horizontal="center"/>
    </xf>
    <xf numFmtId="0" fontId="34" fillId="99" borderId="37" xfId="5463" applyFont="1" applyFill="1" applyBorder="1" applyAlignment="1">
      <alignment horizontal="center"/>
    </xf>
    <xf numFmtId="0" fontId="34" fillId="99" borderId="19" xfId="5463" applyFont="1" applyFill="1" applyBorder="1" applyAlignment="1">
      <alignment horizontal="center"/>
    </xf>
    <xf numFmtId="3" fontId="34" fillId="3" borderId="48" xfId="5463" applyNumberFormat="1" applyFont="1" applyFill="1" applyBorder="1" applyAlignment="1">
      <alignment horizontal="center"/>
    </xf>
    <xf numFmtId="0" fontId="34" fillId="99" borderId="119" xfId="5463" applyFont="1" applyFill="1" applyBorder="1" applyAlignment="1">
      <alignment horizontal="center"/>
    </xf>
    <xf numFmtId="0" fontId="34" fillId="99" borderId="53" xfId="5463" applyFont="1" applyFill="1" applyBorder="1" applyAlignment="1">
      <alignment horizontal="center"/>
    </xf>
    <xf numFmtId="0" fontId="34" fillId="99" borderId="24" xfId="5463" applyFont="1" applyFill="1" applyBorder="1" applyAlignment="1">
      <alignment horizontal="center"/>
    </xf>
    <xf numFmtId="0" fontId="34" fillId="11" borderId="118" xfId="5463" applyFont="1" applyFill="1" applyBorder="1" applyAlignment="1">
      <alignment horizontal="center"/>
    </xf>
    <xf numFmtId="0" fontId="34" fillId="11" borderId="30" xfId="5463" applyFont="1" applyFill="1" applyBorder="1" applyAlignment="1">
      <alignment horizontal="center"/>
    </xf>
    <xf numFmtId="3" fontId="27" fillId="99" borderId="32" xfId="5463" applyNumberFormat="1" applyFont="1" applyFill="1" applyBorder="1"/>
    <xf numFmtId="167" fontId="34" fillId="11" borderId="59" xfId="5463" applyNumberFormat="1" applyFont="1" applyFill="1" applyBorder="1"/>
    <xf numFmtId="167" fontId="27" fillId="11" borderId="59" xfId="5463" applyNumberFormat="1" applyFont="1" applyFill="1" applyBorder="1"/>
    <xf numFmtId="3" fontId="141" fillId="99" borderId="32" xfId="6345" applyNumberFormat="1" applyFont="1" applyFill="1" applyBorder="1" applyProtection="1">
      <protection hidden="1"/>
    </xf>
    <xf numFmtId="3" fontId="34" fillId="99" borderId="32" xfId="5463" applyNumberFormat="1" applyFont="1" applyFill="1" applyBorder="1"/>
    <xf numFmtId="3" fontId="27" fillId="13" borderId="32" xfId="5463" applyNumberFormat="1" applyFont="1" applyFill="1" applyBorder="1"/>
    <xf numFmtId="0" fontId="27" fillId="13" borderId="48" xfId="5463" applyFont="1" applyFill="1" applyBorder="1"/>
    <xf numFmtId="3" fontId="27" fillId="11" borderId="119" xfId="5463" applyNumberFormat="1" applyFont="1" applyFill="1" applyBorder="1"/>
    <xf numFmtId="3" fontId="27" fillId="11" borderId="53" xfId="5463" applyNumberFormat="1" applyFont="1" applyFill="1" applyBorder="1"/>
    <xf numFmtId="0" fontId="27" fillId="99" borderId="48" xfId="5463" applyFont="1" applyFill="1" applyBorder="1"/>
    <xf numFmtId="0" fontId="229" fillId="11" borderId="0" xfId="5463" applyFont="1" applyFill="1" applyBorder="1"/>
    <xf numFmtId="167" fontId="230" fillId="11" borderId="0" xfId="5463" applyNumberFormat="1" applyFont="1" applyFill="1" applyBorder="1"/>
    <xf numFmtId="0" fontId="227" fillId="11" borderId="0" xfId="5463" applyFont="1" applyFill="1" applyBorder="1"/>
    <xf numFmtId="0" fontId="35" fillId="11" borderId="0" xfId="5463" applyFont="1" applyFill="1"/>
    <xf numFmtId="0" fontId="231" fillId="11" borderId="0" xfId="5463" applyFont="1" applyFill="1"/>
    <xf numFmtId="0" fontId="18" fillId="11" borderId="0" xfId="5463" applyFont="1" applyFill="1"/>
    <xf numFmtId="0" fontId="10" fillId="11" borderId="0" xfId="5463" applyFont="1" applyFill="1"/>
    <xf numFmtId="0" fontId="41" fillId="11" borderId="0" xfId="5463" applyFont="1" applyFill="1"/>
    <xf numFmtId="0" fontId="49" fillId="11" borderId="0" xfId="5463" applyFont="1" applyFill="1" applyBorder="1" applyAlignment="1">
      <alignment horizontal="center"/>
    </xf>
    <xf numFmtId="0" fontId="49" fillId="11" borderId="0" xfId="5463" applyFont="1" applyFill="1"/>
    <xf numFmtId="0" fontId="49" fillId="11" borderId="0" xfId="5463" applyFont="1" applyFill="1" applyAlignment="1">
      <alignment horizontal="right"/>
    </xf>
    <xf numFmtId="0" fontId="49" fillId="11" borderId="23" xfId="5463" applyFont="1" applyFill="1" applyBorder="1" applyAlignment="1"/>
    <xf numFmtId="0" fontId="49" fillId="11" borderId="23" xfId="5463" applyFont="1" applyFill="1" applyBorder="1" applyAlignment="1">
      <alignment horizontal="right"/>
    </xf>
    <xf numFmtId="3" fontId="43" fillId="3" borderId="120" xfId="5463" applyNumberFormat="1" applyFont="1" applyFill="1" applyBorder="1" applyAlignment="1">
      <alignment horizontal="center"/>
    </xf>
    <xf numFmtId="17" fontId="43" fillId="100" borderId="121" xfId="5463" applyNumberFormat="1" applyFont="1" applyFill="1" applyBorder="1" applyAlignment="1">
      <alignment horizontal="center"/>
    </xf>
    <xf numFmtId="17" fontId="43" fillId="100" borderId="122" xfId="5463" applyNumberFormat="1" applyFont="1" applyFill="1" applyBorder="1" applyAlignment="1">
      <alignment horizontal="center"/>
    </xf>
    <xf numFmtId="17" fontId="43" fillId="100" borderId="123" xfId="5463" applyNumberFormat="1" applyFont="1" applyFill="1" applyBorder="1" applyAlignment="1">
      <alignment horizontal="center"/>
    </xf>
    <xf numFmtId="17" fontId="43" fillId="100" borderId="124" xfId="5463" applyNumberFormat="1" applyFont="1" applyFill="1" applyBorder="1" applyAlignment="1">
      <alignment horizontal="center"/>
    </xf>
    <xf numFmtId="17" fontId="43" fillId="100" borderId="125" xfId="5463" applyNumberFormat="1" applyFont="1" applyFill="1" applyBorder="1" applyAlignment="1">
      <alignment horizontal="center"/>
    </xf>
    <xf numFmtId="17" fontId="43" fillId="100" borderId="120" xfId="5463" applyNumberFormat="1" applyFont="1" applyFill="1" applyBorder="1" applyAlignment="1">
      <alignment horizontal="center"/>
    </xf>
    <xf numFmtId="17" fontId="43" fillId="100" borderId="120" xfId="5463" quotePrefix="1" applyNumberFormat="1" applyFont="1" applyFill="1" applyBorder="1" applyAlignment="1">
      <alignment horizontal="center"/>
    </xf>
    <xf numFmtId="17" fontId="43" fillId="100" borderId="126" xfId="5463" quotePrefix="1" applyNumberFormat="1" applyFont="1" applyFill="1" applyBorder="1" applyAlignment="1">
      <alignment horizontal="center"/>
    </xf>
    <xf numFmtId="3" fontId="41" fillId="13" borderId="32" xfId="6345" applyNumberFormat="1" applyFont="1" applyFill="1" applyBorder="1" applyProtection="1">
      <protection hidden="1"/>
    </xf>
    <xf numFmtId="167" fontId="41" fillId="11" borderId="59" xfId="5463" applyNumberFormat="1" applyFont="1" applyFill="1" applyBorder="1"/>
    <xf numFmtId="167" fontId="41" fillId="11" borderId="30" xfId="5463" applyNumberFormat="1" applyFont="1" applyFill="1" applyBorder="1"/>
    <xf numFmtId="167" fontId="41" fillId="11" borderId="37" xfId="5463" applyNumberFormat="1" applyFont="1" applyFill="1" applyBorder="1"/>
    <xf numFmtId="167" fontId="41" fillId="11" borderId="0" xfId="5463" applyNumberFormat="1" applyFont="1" applyFill="1" applyBorder="1"/>
    <xf numFmtId="167" fontId="41" fillId="11" borderId="16" xfId="5463" applyNumberFormat="1" applyFont="1" applyFill="1" applyBorder="1"/>
    <xf numFmtId="167" fontId="41" fillId="11" borderId="19" xfId="5463" applyNumberFormat="1" applyFont="1" applyFill="1" applyBorder="1"/>
    <xf numFmtId="167" fontId="41" fillId="11" borderId="57" xfId="5463" applyNumberFormat="1" applyFont="1" applyFill="1" applyBorder="1"/>
    <xf numFmtId="167" fontId="41" fillId="11" borderId="32" xfId="5463" applyNumberFormat="1" applyFont="1" applyFill="1" applyBorder="1"/>
    <xf numFmtId="167" fontId="41" fillId="11" borderId="27" xfId="5463" applyNumberFormat="1" applyFont="1" applyFill="1" applyBorder="1"/>
    <xf numFmtId="251" fontId="41" fillId="11" borderId="27" xfId="4847" applyNumberFormat="1" applyFont="1" applyFill="1" applyBorder="1"/>
    <xf numFmtId="251" fontId="10" fillId="11" borderId="0" xfId="5463" applyNumberFormat="1" applyFont="1" applyFill="1"/>
    <xf numFmtId="3" fontId="10" fillId="13" borderId="32" xfId="6345" applyNumberFormat="1" applyFont="1" applyFill="1" applyBorder="1" applyProtection="1">
      <protection hidden="1"/>
    </xf>
    <xf numFmtId="167" fontId="10" fillId="11" borderId="59" xfId="5463" applyNumberFormat="1" applyFont="1" applyFill="1" applyBorder="1"/>
    <xf numFmtId="167" fontId="10" fillId="11" borderId="37" xfId="5463" applyNumberFormat="1" applyFont="1" applyFill="1" applyBorder="1"/>
    <xf numFmtId="167" fontId="10" fillId="11" borderId="0" xfId="5463" applyNumberFormat="1" applyFont="1" applyFill="1" applyBorder="1"/>
    <xf numFmtId="167" fontId="10" fillId="11" borderId="19" xfId="5463" applyNumberFormat="1" applyFont="1" applyFill="1" applyBorder="1"/>
    <xf numFmtId="167" fontId="10" fillId="11" borderId="32" xfId="5463" applyNumberFormat="1" applyFont="1" applyFill="1" applyBorder="1"/>
    <xf numFmtId="169" fontId="41" fillId="11" borderId="32" xfId="5463" applyNumberFormat="1" applyFont="1" applyFill="1" applyBorder="1"/>
    <xf numFmtId="167" fontId="10" fillId="11" borderId="57" xfId="5463" applyNumberFormat="1" applyFont="1" applyFill="1" applyBorder="1"/>
    <xf numFmtId="251" fontId="10" fillId="11" borderId="32" xfId="4847" applyNumberFormat="1" applyFont="1" applyFill="1" applyBorder="1"/>
    <xf numFmtId="167" fontId="41" fillId="11" borderId="32" xfId="5463" applyNumberFormat="1" applyFont="1" applyFill="1" applyBorder="1" applyAlignment="1">
      <alignment horizontal="right"/>
    </xf>
    <xf numFmtId="251" fontId="41" fillId="11" borderId="32" xfId="4847" applyNumberFormat="1" applyFont="1" applyFill="1" applyBorder="1"/>
    <xf numFmtId="3" fontId="10" fillId="13" borderId="48" xfId="6345" applyNumberFormat="1" applyFont="1" applyFill="1" applyBorder="1" applyProtection="1">
      <protection hidden="1"/>
    </xf>
    <xf numFmtId="167" fontId="10" fillId="11" borderId="119" xfId="5463" applyNumberFormat="1" applyFont="1" applyFill="1" applyBorder="1"/>
    <xf numFmtId="167" fontId="10" fillId="11" borderId="53" xfId="5463" applyNumberFormat="1" applyFont="1" applyFill="1" applyBorder="1"/>
    <xf numFmtId="167" fontId="10" fillId="11" borderId="5" xfId="5463" applyNumberFormat="1" applyFont="1" applyFill="1" applyBorder="1"/>
    <xf numFmtId="0" fontId="10" fillId="11" borderId="53" xfId="5463" applyFont="1" applyFill="1" applyBorder="1"/>
    <xf numFmtId="0" fontId="10" fillId="11" borderId="23" xfId="5463" applyFont="1" applyFill="1" applyBorder="1"/>
    <xf numFmtId="167" fontId="10" fillId="11" borderId="23" xfId="5463" applyNumberFormat="1" applyFont="1" applyFill="1" applyBorder="1"/>
    <xf numFmtId="167" fontId="10" fillId="11" borderId="24" xfId="5463" applyNumberFormat="1" applyFont="1" applyFill="1" applyBorder="1"/>
    <xf numFmtId="0" fontId="10" fillId="11" borderId="48" xfId="5463" applyFont="1" applyFill="1" applyBorder="1"/>
    <xf numFmtId="167" fontId="10" fillId="11" borderId="48" xfId="5463" applyNumberFormat="1" applyFont="1" applyFill="1" applyBorder="1"/>
    <xf numFmtId="169" fontId="41" fillId="11" borderId="48" xfId="5463" applyNumberFormat="1" applyFont="1" applyFill="1" applyBorder="1"/>
    <xf numFmtId="167" fontId="49" fillId="11" borderId="0" xfId="5463" applyNumberFormat="1" applyFont="1" applyFill="1" applyBorder="1"/>
    <xf numFmtId="0" fontId="10" fillId="11" borderId="16" xfId="5463" applyFont="1" applyFill="1" applyBorder="1"/>
    <xf numFmtId="0" fontId="10" fillId="11" borderId="0" xfId="5463" applyFont="1" applyFill="1" applyBorder="1"/>
    <xf numFmtId="169" fontId="10" fillId="11" borderId="0" xfId="5463" applyNumberFormat="1" applyFont="1" applyFill="1" applyBorder="1"/>
    <xf numFmtId="0" fontId="2" fillId="0" borderId="0" xfId="5346"/>
    <xf numFmtId="3" fontId="41" fillId="3" borderId="120" xfId="5463" applyNumberFormat="1" applyFont="1" applyFill="1" applyBorder="1" applyAlignment="1">
      <alignment horizontal="center"/>
    </xf>
    <xf numFmtId="17" fontId="41" fillId="101" borderId="121" xfId="5463" applyNumberFormat="1" applyFont="1" applyFill="1" applyBorder="1" applyAlignment="1">
      <alignment horizontal="center"/>
    </xf>
    <xf numFmtId="17" fontId="41" fillId="101" borderId="123" xfId="5463" applyNumberFormat="1" applyFont="1" applyFill="1" applyBorder="1" applyAlignment="1">
      <alignment horizontal="center"/>
    </xf>
    <xf numFmtId="17" fontId="41" fillId="101" borderId="124" xfId="5463" applyNumberFormat="1" applyFont="1" applyFill="1" applyBorder="1" applyAlignment="1">
      <alignment horizontal="center"/>
    </xf>
    <xf numFmtId="17" fontId="41" fillId="101" borderId="125" xfId="5463" applyNumberFormat="1" applyFont="1" applyFill="1" applyBorder="1" applyAlignment="1">
      <alignment horizontal="center"/>
    </xf>
    <xf numFmtId="17" fontId="41" fillId="101" borderId="120" xfId="5463" applyNumberFormat="1" applyFont="1" applyFill="1" applyBorder="1" applyAlignment="1">
      <alignment horizontal="center"/>
    </xf>
    <xf numFmtId="17" fontId="41" fillId="101" borderId="120" xfId="5463" quotePrefix="1" applyNumberFormat="1" applyFont="1" applyFill="1" applyBorder="1" applyAlignment="1">
      <alignment horizontal="center"/>
    </xf>
    <xf numFmtId="17" fontId="41" fillId="101" borderId="126" xfId="5463" quotePrefix="1" applyNumberFormat="1" applyFont="1" applyFill="1" applyBorder="1" applyAlignment="1">
      <alignment horizontal="center"/>
    </xf>
    <xf numFmtId="167" fontId="41" fillId="11" borderId="15" xfId="5463" applyNumberFormat="1" applyFont="1" applyFill="1" applyBorder="1"/>
    <xf numFmtId="167" fontId="41" fillId="11" borderId="18" xfId="5463" applyNumberFormat="1" applyFont="1" applyFill="1" applyBorder="1"/>
    <xf numFmtId="167" fontId="10" fillId="11" borderId="18" xfId="5463" applyNumberFormat="1" applyFont="1" applyFill="1" applyBorder="1"/>
    <xf numFmtId="167" fontId="41" fillId="11" borderId="18" xfId="5463" applyNumberFormat="1" applyFont="1" applyFill="1" applyBorder="1" applyAlignment="1">
      <alignment horizontal="right"/>
    </xf>
    <xf numFmtId="3" fontId="41" fillId="13" borderId="48" xfId="6345" applyNumberFormat="1" applyFont="1" applyFill="1" applyBorder="1" applyAlignment="1" applyProtection="1">
      <alignment vertical="center"/>
      <protection hidden="1"/>
    </xf>
    <xf numFmtId="167" fontId="41" fillId="11" borderId="119" xfId="5463" applyNumberFormat="1" applyFont="1" applyFill="1" applyBorder="1"/>
    <xf numFmtId="167" fontId="41" fillId="11" borderId="53" xfId="5463" applyNumberFormat="1" applyFont="1" applyFill="1" applyBorder="1"/>
    <xf numFmtId="167" fontId="41" fillId="11" borderId="23" xfId="5463" applyNumberFormat="1" applyFont="1" applyFill="1" applyBorder="1"/>
    <xf numFmtId="167" fontId="41" fillId="11" borderId="24" xfId="5463" applyNumberFormat="1" applyFont="1" applyFill="1" applyBorder="1"/>
    <xf numFmtId="167" fontId="41" fillId="11" borderId="60" xfId="5463" applyNumberFormat="1" applyFont="1" applyFill="1" applyBorder="1"/>
    <xf numFmtId="167" fontId="41" fillId="11" borderId="48" xfId="5463" applyNumberFormat="1" applyFont="1" applyFill="1" applyBorder="1"/>
    <xf numFmtId="3" fontId="41" fillId="99" borderId="48" xfId="6345" applyNumberFormat="1" applyFont="1" applyFill="1" applyBorder="1" applyAlignment="1" applyProtection="1">
      <alignment vertical="center"/>
      <protection hidden="1"/>
    </xf>
    <xf numFmtId="167" fontId="41" fillId="11" borderId="120" xfId="5463" applyNumberFormat="1" applyFont="1" applyFill="1" applyBorder="1"/>
    <xf numFmtId="167" fontId="41" fillId="11" borderId="126" xfId="5463" applyNumberFormat="1" applyFont="1" applyFill="1" applyBorder="1"/>
    <xf numFmtId="0" fontId="48" fillId="11" borderId="0" xfId="5463" applyFont="1" applyFill="1"/>
    <xf numFmtId="167" fontId="232" fillId="11" borderId="16" xfId="5463" applyNumberFormat="1" applyFont="1" applyFill="1" applyBorder="1"/>
    <xf numFmtId="0" fontId="49" fillId="11" borderId="0" xfId="5463" applyFont="1" applyFill="1" applyBorder="1"/>
    <xf numFmtId="167" fontId="10" fillId="11" borderId="0" xfId="5463" applyNumberFormat="1" applyFont="1" applyFill="1"/>
    <xf numFmtId="167" fontId="49" fillId="11" borderId="0" xfId="5463" applyNumberFormat="1" applyFont="1" applyFill="1"/>
    <xf numFmtId="169" fontId="10" fillId="11" borderId="0" xfId="5463" applyNumberFormat="1" applyFont="1" applyFill="1"/>
    <xf numFmtId="0" fontId="18" fillId="11" borderId="0" xfId="6346" applyFont="1" applyFill="1" applyBorder="1" applyAlignment="1"/>
    <xf numFmtId="0" fontId="21" fillId="11" borderId="0" xfId="6346" applyFont="1" applyFill="1" applyBorder="1" applyAlignment="1"/>
    <xf numFmtId="0" fontId="21" fillId="11" borderId="0" xfId="5463" applyFont="1" applyFill="1"/>
    <xf numFmtId="0" fontId="10" fillId="102" borderId="0" xfId="5463" applyFont="1" applyFill="1" applyBorder="1"/>
    <xf numFmtId="0" fontId="26" fillId="11" borderId="0" xfId="5463" applyFont="1" applyFill="1" applyAlignment="1">
      <alignment horizontal="right"/>
    </xf>
    <xf numFmtId="0" fontId="43" fillId="13" borderId="127" xfId="6347" applyFont="1" applyFill="1" applyBorder="1" applyAlignment="1">
      <alignment horizontal="center"/>
    </xf>
    <xf numFmtId="0" fontId="43" fillId="13" borderId="128" xfId="6347" applyFont="1" applyFill="1" applyBorder="1" applyAlignment="1">
      <alignment horizontal="center"/>
    </xf>
    <xf numFmtId="17" fontId="43" fillId="13" borderId="129" xfId="5463" applyNumberFormat="1" applyFont="1" applyFill="1" applyBorder="1" applyAlignment="1">
      <alignment horizontal="center"/>
    </xf>
    <xf numFmtId="17" fontId="43" fillId="13" borderId="127" xfId="5463" applyNumberFormat="1" applyFont="1" applyFill="1" applyBorder="1" applyAlignment="1">
      <alignment horizontal="center"/>
    </xf>
    <xf numFmtId="17" fontId="43" fillId="13" borderId="130" xfId="5463" applyNumberFormat="1" applyFont="1" applyFill="1" applyBorder="1" applyAlignment="1">
      <alignment horizontal="center"/>
    </xf>
    <xf numFmtId="17" fontId="43" fillId="13" borderId="128" xfId="5463" applyNumberFormat="1" applyFont="1" applyFill="1" applyBorder="1" applyAlignment="1">
      <alignment horizontal="center"/>
    </xf>
    <xf numFmtId="17" fontId="43" fillId="13" borderId="131" xfId="5463" applyNumberFormat="1" applyFont="1" applyFill="1" applyBorder="1" applyAlignment="1">
      <alignment horizontal="center"/>
    </xf>
    <xf numFmtId="0" fontId="19" fillId="13" borderId="132" xfId="5463" applyFont="1" applyFill="1" applyBorder="1"/>
    <xf numFmtId="0" fontId="19" fillId="13" borderId="133" xfId="5463" applyFont="1" applyFill="1" applyBorder="1"/>
    <xf numFmtId="0" fontId="19" fillId="11" borderId="134" xfId="5463" applyFont="1" applyFill="1" applyBorder="1"/>
    <xf numFmtId="0" fontId="19" fillId="11" borderId="135" xfId="5463" applyFont="1" applyFill="1" applyBorder="1"/>
    <xf numFmtId="0" fontId="19" fillId="11" borderId="136" xfId="5463" applyFont="1" applyFill="1" applyBorder="1"/>
    <xf numFmtId="0" fontId="19" fillId="11" borderId="137" xfId="5463" applyFont="1" applyFill="1" applyBorder="1"/>
    <xf numFmtId="0" fontId="19" fillId="11" borderId="138" xfId="5463" applyFont="1" applyFill="1" applyBorder="1"/>
    <xf numFmtId="0" fontId="43" fillId="13" borderId="132" xfId="6347" applyFont="1" applyFill="1" applyBorder="1"/>
    <xf numFmtId="0" fontId="43" fillId="13" borderId="133" xfId="6347" applyFont="1" applyFill="1" applyBorder="1"/>
    <xf numFmtId="167" fontId="43" fillId="11" borderId="139" xfId="5463" applyNumberFormat="1" applyFont="1" applyFill="1" applyBorder="1"/>
    <xf numFmtId="167" fontId="43" fillId="11" borderId="138" xfId="5463" applyNumberFormat="1" applyFont="1" applyFill="1" applyBorder="1"/>
    <xf numFmtId="0" fontId="19" fillId="13" borderId="132" xfId="6347" applyFont="1" applyFill="1" applyBorder="1"/>
    <xf numFmtId="0" fontId="19" fillId="13" borderId="133" xfId="6347" applyFont="1" applyFill="1" applyBorder="1"/>
    <xf numFmtId="0" fontId="19" fillId="11" borderId="139" xfId="6347" applyFont="1" applyFill="1" applyBorder="1"/>
    <xf numFmtId="167" fontId="19" fillId="11" borderId="139" xfId="5463" applyNumberFormat="1" applyFont="1" applyFill="1" applyBorder="1"/>
    <xf numFmtId="167" fontId="19" fillId="11" borderId="138" xfId="5463" applyNumberFormat="1" applyFont="1" applyFill="1" applyBorder="1"/>
    <xf numFmtId="0" fontId="19" fillId="13" borderId="133" xfId="6347" applyFont="1" applyFill="1" applyBorder="1" applyAlignment="1">
      <alignment horizontal="left" indent="2"/>
    </xf>
    <xf numFmtId="0" fontId="43" fillId="13" borderId="140" xfId="6347" applyFont="1" applyFill="1" applyBorder="1"/>
    <xf numFmtId="0" fontId="43" fillId="13" borderId="141" xfId="6347" applyFont="1" applyFill="1" applyBorder="1"/>
    <xf numFmtId="167" fontId="43" fillId="11" borderId="142" xfId="5463" applyNumberFormat="1" applyFont="1" applyFill="1" applyBorder="1"/>
    <xf numFmtId="167" fontId="43" fillId="11" borderId="140" xfId="5463" applyNumberFormat="1" applyFont="1" applyFill="1" applyBorder="1"/>
    <xf numFmtId="167" fontId="43" fillId="11" borderId="143" xfId="5463" applyNumberFormat="1" applyFont="1" applyFill="1" applyBorder="1"/>
    <xf numFmtId="167" fontId="43" fillId="11" borderId="141" xfId="5463" applyNumberFormat="1" applyFont="1" applyFill="1" applyBorder="1"/>
    <xf numFmtId="167" fontId="43" fillId="11" borderId="144" xfId="5463" applyNumberFormat="1" applyFont="1" applyFill="1" applyBorder="1"/>
    <xf numFmtId="0" fontId="19" fillId="11" borderId="0" xfId="5463" applyFont="1" applyFill="1"/>
    <xf numFmtId="17" fontId="43" fillId="99" borderId="129" xfId="5463" applyNumberFormat="1" applyFont="1" applyFill="1" applyBorder="1" applyAlignment="1">
      <alignment horizontal="center"/>
    </xf>
    <xf numFmtId="17" fontId="43" fillId="99" borderId="127" xfId="5463" applyNumberFormat="1" applyFont="1" applyFill="1" applyBorder="1" applyAlignment="1">
      <alignment horizontal="center"/>
    </xf>
    <xf numFmtId="17" fontId="43" fillId="99" borderId="130" xfId="5463" applyNumberFormat="1" applyFont="1" applyFill="1" applyBorder="1" applyAlignment="1">
      <alignment horizontal="center"/>
    </xf>
    <xf numFmtId="17" fontId="43" fillId="99" borderId="128" xfId="5463" applyNumberFormat="1" applyFont="1" applyFill="1" applyBorder="1" applyAlignment="1">
      <alignment horizontal="center"/>
    </xf>
    <xf numFmtId="17" fontId="43" fillId="99" borderId="131" xfId="5463" applyNumberFormat="1" applyFont="1" applyFill="1" applyBorder="1" applyAlignment="1">
      <alignment horizontal="center"/>
    </xf>
    <xf numFmtId="0" fontId="19" fillId="13" borderId="133" xfId="6347" applyFont="1" applyFill="1" applyBorder="1" applyAlignment="1">
      <alignment horizontal="center"/>
    </xf>
    <xf numFmtId="167" fontId="19" fillId="11" borderId="132" xfId="5463" applyNumberFormat="1" applyFont="1" applyFill="1" applyBorder="1"/>
    <xf numFmtId="167" fontId="19" fillId="11" borderId="145" xfId="5463" applyNumberFormat="1" applyFont="1" applyFill="1" applyBorder="1"/>
    <xf numFmtId="167" fontId="19" fillId="11" borderId="133" xfId="5463" applyNumberFormat="1" applyFont="1" applyFill="1" applyBorder="1"/>
    <xf numFmtId="0" fontId="19" fillId="13" borderId="133" xfId="6347" applyFont="1" applyFill="1" applyBorder="1" applyAlignment="1">
      <alignment horizontal="left" indent="1"/>
    </xf>
    <xf numFmtId="0" fontId="19" fillId="13" borderId="140" xfId="5463" applyFont="1" applyFill="1" applyBorder="1"/>
    <xf numFmtId="0" fontId="19" fillId="13" borderId="141" xfId="5463" applyFont="1" applyFill="1" applyBorder="1"/>
    <xf numFmtId="0" fontId="19" fillId="11" borderId="142" xfId="5463" applyFont="1" applyFill="1" applyBorder="1"/>
    <xf numFmtId="0" fontId="19" fillId="11" borderId="140" xfId="5463" applyFont="1" applyFill="1" applyBorder="1"/>
    <xf numFmtId="0" fontId="19" fillId="11" borderId="143" xfId="5463" applyFont="1" applyFill="1" applyBorder="1"/>
    <xf numFmtId="0" fontId="19" fillId="11" borderId="141" xfId="5463" applyFont="1" applyFill="1" applyBorder="1"/>
    <xf numFmtId="0" fontId="19" fillId="11" borderId="144" xfId="5463" applyFont="1" applyFill="1" applyBorder="1"/>
    <xf numFmtId="0" fontId="234" fillId="11" borderId="0" xfId="5463" applyFont="1" applyFill="1"/>
    <xf numFmtId="0" fontId="236" fillId="11" borderId="0" xfId="5463" applyFont="1" applyFill="1" applyBorder="1"/>
    <xf numFmtId="0" fontId="237" fillId="11" borderId="0" xfId="5463" applyFont="1" applyFill="1"/>
    <xf numFmtId="0" fontId="235" fillId="11" borderId="0" xfId="5463" applyFont="1" applyFill="1"/>
    <xf numFmtId="0" fontId="10" fillId="11" borderId="0" xfId="6346" applyFont="1" applyFill="1" applyBorder="1" applyAlignment="1"/>
    <xf numFmtId="0" fontId="10" fillId="11" borderId="0" xfId="6346" applyFont="1" applyFill="1" applyBorder="1"/>
    <xf numFmtId="0" fontId="238" fillId="11" borderId="0" xfId="5463" applyFont="1" applyFill="1"/>
    <xf numFmtId="0" fontId="41" fillId="102" borderId="0" xfId="6346" applyFont="1" applyFill="1" applyBorder="1" applyAlignment="1"/>
    <xf numFmtId="0" fontId="10" fillId="102" borderId="0" xfId="6346" applyFont="1" applyFill="1" applyBorder="1" applyAlignment="1"/>
    <xf numFmtId="0" fontId="10" fillId="102" borderId="0" xfId="6346" applyFont="1" applyFill="1" applyBorder="1"/>
    <xf numFmtId="0" fontId="49" fillId="11" borderId="79" xfId="5463" applyFont="1" applyFill="1" applyBorder="1" applyAlignment="1">
      <alignment horizontal="center"/>
    </xf>
    <xf numFmtId="0" fontId="49" fillId="11" borderId="79" xfId="5463" applyFont="1" applyFill="1" applyBorder="1" applyAlignment="1"/>
    <xf numFmtId="0" fontId="26" fillId="11" borderId="0" xfId="5463" applyFont="1" applyFill="1" applyBorder="1" applyAlignment="1">
      <alignment horizontal="right"/>
    </xf>
    <xf numFmtId="17" fontId="43" fillId="13" borderId="146" xfId="5463" applyNumberFormat="1" applyFont="1" applyFill="1" applyBorder="1" applyAlignment="1">
      <alignment horizontal="center"/>
    </xf>
    <xf numFmtId="17" fontId="43" fillId="13" borderId="147" xfId="5463" applyNumberFormat="1" applyFont="1" applyFill="1" applyBorder="1" applyAlignment="1">
      <alignment horizontal="center"/>
    </xf>
    <xf numFmtId="0" fontId="19" fillId="11" borderId="145" xfId="5463" applyFont="1" applyFill="1" applyBorder="1"/>
    <xf numFmtId="0" fontId="19" fillId="11" borderId="0" xfId="5463" applyFont="1" applyFill="1" applyBorder="1"/>
    <xf numFmtId="0" fontId="19" fillId="11" borderId="148" xfId="5463" applyFont="1" applyFill="1" applyBorder="1"/>
    <xf numFmtId="0" fontId="239" fillId="11" borderId="145" xfId="5463" applyFont="1" applyFill="1" applyBorder="1"/>
    <xf numFmtId="0" fontId="239" fillId="11" borderId="149" xfId="5463" applyFont="1" applyFill="1" applyBorder="1"/>
    <xf numFmtId="0" fontId="239" fillId="11" borderId="139" xfId="5463" applyFont="1" applyFill="1" applyBorder="1"/>
    <xf numFmtId="167" fontId="43" fillId="11" borderId="145" xfId="5463" applyNumberFormat="1" applyFont="1" applyFill="1" applyBorder="1"/>
    <xf numFmtId="167" fontId="43" fillId="11" borderId="0" xfId="5463" applyNumberFormat="1" applyFont="1" applyFill="1" applyBorder="1"/>
    <xf numFmtId="167" fontId="43" fillId="11" borderId="148" xfId="5463" applyNumberFormat="1" applyFont="1" applyFill="1" applyBorder="1"/>
    <xf numFmtId="167" fontId="43" fillId="11" borderId="150" xfId="5463" applyNumberFormat="1" applyFont="1" applyFill="1" applyBorder="1"/>
    <xf numFmtId="0" fontId="19" fillId="11" borderId="145" xfId="6347" applyFont="1" applyFill="1" applyBorder="1"/>
    <xf numFmtId="0" fontId="19" fillId="11" borderId="0" xfId="6347" applyFont="1" applyFill="1" applyBorder="1"/>
    <xf numFmtId="0" fontId="19" fillId="11" borderId="148" xfId="6347" applyFont="1" applyFill="1" applyBorder="1"/>
    <xf numFmtId="0" fontId="19" fillId="11" borderId="150" xfId="6347" applyFont="1" applyFill="1" applyBorder="1"/>
    <xf numFmtId="167" fontId="19" fillId="11" borderId="0" xfId="5463" applyNumberFormat="1" applyFont="1" applyFill="1" applyBorder="1"/>
    <xf numFmtId="167" fontId="19" fillId="11" borderId="148" xfId="5463" applyNumberFormat="1" applyFont="1" applyFill="1" applyBorder="1"/>
    <xf numFmtId="167" fontId="19" fillId="11" borderId="150" xfId="5463" applyNumberFormat="1" applyFont="1" applyFill="1" applyBorder="1"/>
    <xf numFmtId="248" fontId="43" fillId="11" borderId="143" xfId="5977" applyNumberFormat="1" applyFont="1" applyFill="1" applyBorder="1"/>
    <xf numFmtId="248" fontId="43" fillId="11" borderId="79" xfId="5977" applyNumberFormat="1" applyFont="1" applyFill="1" applyBorder="1"/>
    <xf numFmtId="248" fontId="43" fillId="11" borderId="151" xfId="5977" applyNumberFormat="1" applyFont="1" applyFill="1" applyBorder="1"/>
    <xf numFmtId="248" fontId="43" fillId="11" borderId="152" xfId="5977" applyNumberFormat="1" applyFont="1" applyFill="1" applyBorder="1"/>
    <xf numFmtId="248" fontId="43" fillId="11" borderId="142" xfId="5977" applyNumberFormat="1" applyFont="1" applyFill="1" applyBorder="1"/>
    <xf numFmtId="0" fontId="19" fillId="103" borderId="0" xfId="5463" applyFont="1" applyFill="1"/>
    <xf numFmtId="0" fontId="19" fillId="102" borderId="0" xfId="5463" applyFont="1" applyFill="1"/>
    <xf numFmtId="0" fontId="19" fillId="102" borderId="148" xfId="5463" applyFont="1" applyFill="1" applyBorder="1"/>
    <xf numFmtId="0" fontId="19" fillId="102" borderId="0" xfId="5463" applyFont="1" applyFill="1" applyBorder="1"/>
    <xf numFmtId="0" fontId="145" fillId="102" borderId="0" xfId="5463" applyFont="1" applyFill="1" applyBorder="1" applyAlignment="1">
      <alignment horizontal="center"/>
    </xf>
    <xf numFmtId="0" fontId="145" fillId="102" borderId="79" xfId="5463" applyFont="1" applyFill="1" applyBorder="1" applyAlignment="1">
      <alignment horizontal="center"/>
    </xf>
    <xf numFmtId="0" fontId="145" fillId="11" borderId="0" xfId="5463" applyFont="1" applyFill="1" applyBorder="1" applyAlignment="1">
      <alignment horizontal="center"/>
    </xf>
    <xf numFmtId="17" fontId="43" fillId="99" borderId="146" xfId="5463" applyNumberFormat="1" applyFont="1" applyFill="1" applyBorder="1" applyAlignment="1">
      <alignment horizontal="center"/>
    </xf>
    <xf numFmtId="17" fontId="43" fillId="99" borderId="147" xfId="5463" applyNumberFormat="1" applyFont="1" applyFill="1" applyBorder="1" applyAlignment="1">
      <alignment horizontal="center"/>
    </xf>
    <xf numFmtId="167" fontId="19" fillId="11" borderId="153" xfId="5463" applyNumberFormat="1" applyFont="1" applyFill="1" applyBorder="1"/>
    <xf numFmtId="167" fontId="19" fillId="11" borderId="136" xfId="5463" applyNumberFormat="1" applyFont="1" applyFill="1" applyBorder="1"/>
    <xf numFmtId="167" fontId="43" fillId="11" borderId="132" xfId="5463" applyNumberFormat="1" applyFont="1" applyFill="1" applyBorder="1"/>
    <xf numFmtId="167" fontId="19" fillId="11" borderId="145" xfId="6347" applyNumberFormat="1" applyFont="1" applyFill="1" applyBorder="1"/>
    <xf numFmtId="167" fontId="19" fillId="11" borderId="0" xfId="6347" applyNumberFormat="1" applyFont="1" applyFill="1" applyBorder="1"/>
    <xf numFmtId="167" fontId="19" fillId="11" borderId="148" xfId="6347" applyNumberFormat="1" applyFont="1" applyFill="1" applyBorder="1"/>
    <xf numFmtId="167" fontId="19" fillId="11" borderId="139" xfId="6347" applyNumberFormat="1" applyFont="1" applyFill="1" applyBorder="1"/>
    <xf numFmtId="167" fontId="19" fillId="11" borderId="132" xfId="6347" applyNumberFormat="1" applyFont="1" applyFill="1" applyBorder="1"/>
    <xf numFmtId="0" fontId="19" fillId="11" borderId="79" xfId="5463" applyFont="1" applyFill="1" applyBorder="1"/>
    <xf numFmtId="0" fontId="19" fillId="11" borderId="151" xfId="5463" applyFont="1" applyFill="1" applyBorder="1"/>
    <xf numFmtId="167" fontId="240" fillId="11" borderId="0" xfId="5463" applyNumberFormat="1" applyFont="1" applyFill="1"/>
    <xf numFmtId="0" fontId="21" fillId="11" borderId="0" xfId="6346" applyFont="1" applyFill="1" applyBorder="1"/>
    <xf numFmtId="0" fontId="241" fillId="11" borderId="0" xfId="5463" applyFont="1" applyFill="1"/>
    <xf numFmtId="0" fontId="49" fillId="11" borderId="0" xfId="5463" applyFont="1" applyFill="1" applyAlignment="1">
      <alignment horizontal="center"/>
    </xf>
    <xf numFmtId="0" fontId="242" fillId="11" borderId="0" xfId="5463" applyFont="1" applyFill="1"/>
    <xf numFmtId="0" fontId="243" fillId="11" borderId="0" xfId="5463" applyFont="1" applyFill="1" applyAlignment="1">
      <alignment horizontal="right"/>
    </xf>
    <xf numFmtId="0" fontId="10" fillId="13" borderId="132" xfId="5463" applyFont="1" applyFill="1" applyBorder="1"/>
    <xf numFmtId="0" fontId="10" fillId="13" borderId="133" xfId="5463" applyFont="1" applyFill="1" applyBorder="1"/>
    <xf numFmtId="0" fontId="10" fillId="11" borderId="145" xfId="5463" applyFont="1" applyFill="1" applyBorder="1"/>
    <xf numFmtId="0" fontId="10" fillId="11" borderId="148" xfId="5463" applyFont="1" applyFill="1" applyBorder="1"/>
    <xf numFmtId="0" fontId="10" fillId="11" borderId="136" xfId="5463" applyFont="1" applyFill="1" applyBorder="1"/>
    <xf numFmtId="0" fontId="238" fillId="11" borderId="136" xfId="5463" applyFont="1" applyFill="1" applyBorder="1"/>
    <xf numFmtId="0" fontId="238" fillId="11" borderId="154" xfId="5463" applyFont="1" applyFill="1" applyBorder="1"/>
    <xf numFmtId="0" fontId="239" fillId="11" borderId="0" xfId="5463" applyFont="1" applyFill="1"/>
    <xf numFmtId="0" fontId="145" fillId="102" borderId="148" xfId="5463" applyFont="1" applyFill="1" applyBorder="1" applyAlignment="1">
      <alignment horizontal="center"/>
    </xf>
    <xf numFmtId="0" fontId="238" fillId="11" borderId="0" xfId="5463" applyFont="1" applyFill="1" applyBorder="1"/>
    <xf numFmtId="0" fontId="10" fillId="11" borderId="0" xfId="5463" applyFont="1" applyFill="1" applyAlignment="1">
      <alignment horizontal="center"/>
    </xf>
    <xf numFmtId="0" fontId="242" fillId="11" borderId="0" xfId="5463" applyFont="1" applyFill="1" applyAlignment="1">
      <alignment horizontal="center"/>
    </xf>
    <xf numFmtId="0" fontId="238" fillId="11" borderId="145" xfId="5463" applyFont="1" applyFill="1" applyBorder="1"/>
    <xf numFmtId="0" fontId="41" fillId="13" borderId="132" xfId="6347" applyFont="1" applyFill="1" applyBorder="1"/>
    <xf numFmtId="0" fontId="10" fillId="13" borderId="132" xfId="6347" applyFont="1" applyFill="1" applyBorder="1"/>
    <xf numFmtId="0" fontId="41" fillId="13" borderId="140" xfId="6347" applyFont="1" applyFill="1" applyBorder="1"/>
    <xf numFmtId="0" fontId="10" fillId="103" borderId="0" xfId="5463" applyFont="1" applyFill="1"/>
    <xf numFmtId="0" fontId="41" fillId="13" borderId="127" xfId="6347" applyFont="1" applyFill="1" applyBorder="1" applyAlignment="1">
      <alignment horizontal="center"/>
    </xf>
    <xf numFmtId="0" fontId="10" fillId="13" borderId="140" xfId="5463" applyFont="1" applyFill="1" applyBorder="1"/>
    <xf numFmtId="0" fontId="244" fillId="11" borderId="0" xfId="5463" applyFont="1" applyFill="1"/>
    <xf numFmtId="167" fontId="238" fillId="11" borderId="0" xfId="5463" applyNumberFormat="1" applyFont="1" applyFill="1"/>
    <xf numFmtId="0" fontId="18" fillId="11" borderId="0" xfId="6348" applyFont="1" applyFill="1" applyBorder="1" applyAlignment="1"/>
    <xf numFmtId="0" fontId="245" fillId="11" borderId="0" xfId="5463" applyFont="1" applyFill="1"/>
    <xf numFmtId="0" fontId="34" fillId="102" borderId="0" xfId="6348" applyFont="1" applyFill="1" applyBorder="1" applyAlignment="1"/>
    <xf numFmtId="0" fontId="27" fillId="102" borderId="0" xfId="5463" applyFont="1" applyFill="1" applyBorder="1" applyAlignment="1"/>
    <xf numFmtId="0" fontId="35" fillId="11" borderId="79" xfId="5463" applyFont="1" applyFill="1" applyBorder="1" applyAlignment="1">
      <alignment horizontal="right"/>
    </xf>
    <xf numFmtId="0" fontId="245" fillId="11" borderId="0" xfId="5463" applyFont="1" applyFill="1" applyAlignment="1">
      <alignment horizontal="right"/>
    </xf>
    <xf numFmtId="0" fontId="246" fillId="11" borderId="0" xfId="5463" applyFont="1" applyFill="1" applyAlignment="1">
      <alignment horizontal="right"/>
    </xf>
    <xf numFmtId="0" fontId="231" fillId="11" borderId="0" xfId="5463" applyFont="1" applyFill="1" applyAlignment="1">
      <alignment horizontal="right"/>
    </xf>
    <xf numFmtId="0" fontId="237" fillId="11" borderId="0" xfId="5463" applyFont="1" applyFill="1" applyAlignment="1">
      <alignment horizontal="right"/>
    </xf>
    <xf numFmtId="0" fontId="43" fillId="13" borderId="134" xfId="5463" applyFont="1" applyFill="1" applyBorder="1" applyAlignment="1">
      <alignment horizontal="center"/>
    </xf>
    <xf numFmtId="0" fontId="27" fillId="13" borderId="138" xfId="5463" applyFont="1" applyFill="1" applyBorder="1" applyAlignment="1">
      <alignment horizontal="center"/>
    </xf>
    <xf numFmtId="0" fontId="245" fillId="11" borderId="138" xfId="5463" applyFont="1" applyFill="1" applyBorder="1"/>
    <xf numFmtId="0" fontId="245" fillId="11" borderId="132" xfId="5463" applyFont="1" applyFill="1" applyBorder="1"/>
    <xf numFmtId="0" fontId="245" fillId="11" borderId="145" xfId="5463" applyFont="1" applyFill="1" applyBorder="1"/>
    <xf numFmtId="0" fontId="238" fillId="11" borderId="139" xfId="5463" applyFont="1" applyFill="1" applyBorder="1"/>
    <xf numFmtId="0" fontId="41" fillId="13" borderId="138" xfId="5463" applyFont="1" applyFill="1" applyBorder="1"/>
    <xf numFmtId="167" fontId="34" fillId="11" borderId="138" xfId="5463" applyNumberFormat="1" applyFont="1" applyFill="1" applyBorder="1"/>
    <xf numFmtId="167" fontId="34" fillId="11" borderId="132" xfId="5463" applyNumberFormat="1" applyFont="1" applyFill="1" applyBorder="1"/>
    <xf numFmtId="167" fontId="34" fillId="11" borderId="145" xfId="5463" applyNumberFormat="1" applyFont="1" applyFill="1" applyBorder="1"/>
    <xf numFmtId="167" fontId="41" fillId="11" borderId="145" xfId="5463" applyNumberFormat="1" applyFont="1" applyFill="1" applyBorder="1"/>
    <xf numFmtId="167" fontId="41" fillId="11" borderId="139" xfId="5463" applyNumberFormat="1" applyFont="1" applyFill="1" applyBorder="1"/>
    <xf numFmtId="0" fontId="10" fillId="13" borderId="138" xfId="5463" applyFont="1" applyFill="1" applyBorder="1"/>
    <xf numFmtId="167" fontId="27" fillId="11" borderId="138" xfId="5463" applyNumberFormat="1" applyFont="1" applyFill="1" applyBorder="1"/>
    <xf numFmtId="167" fontId="27" fillId="11" borderId="132" xfId="5463" applyNumberFormat="1" applyFont="1" applyFill="1" applyBorder="1"/>
    <xf numFmtId="167" fontId="27" fillId="11" borderId="145" xfId="5463" applyNumberFormat="1" applyFont="1" applyFill="1" applyBorder="1"/>
    <xf numFmtId="167" fontId="10" fillId="11" borderId="145" xfId="5463" applyNumberFormat="1" applyFont="1" applyFill="1" applyBorder="1"/>
    <xf numFmtId="167" fontId="10" fillId="11" borderId="139" xfId="5463" applyNumberFormat="1" applyFont="1" applyFill="1" applyBorder="1"/>
    <xf numFmtId="0" fontId="10" fillId="13" borderId="138" xfId="5463" applyFont="1" applyFill="1" applyBorder="1" applyAlignment="1"/>
    <xf numFmtId="167" fontId="27" fillId="11" borderId="138" xfId="5463" applyNumberFormat="1" applyFont="1" applyFill="1" applyBorder="1" applyAlignment="1"/>
    <xf numFmtId="167" fontId="27" fillId="11" borderId="132" xfId="5463" applyNumberFormat="1" applyFont="1" applyFill="1" applyBorder="1" applyAlignment="1"/>
    <xf numFmtId="167" fontId="27" fillId="11" borderId="145" xfId="5463" applyNumberFormat="1" applyFont="1" applyFill="1" applyBorder="1" applyAlignment="1"/>
    <xf numFmtId="167" fontId="10" fillId="11" borderId="145" xfId="5463" applyNumberFormat="1" applyFont="1" applyFill="1" applyBorder="1" applyAlignment="1"/>
    <xf numFmtId="167" fontId="10" fillId="11" borderId="139" xfId="5463" applyNumberFormat="1" applyFont="1" applyFill="1" applyBorder="1" applyAlignment="1"/>
    <xf numFmtId="0" fontId="34" fillId="11" borderId="138" xfId="5463" applyFont="1" applyFill="1" applyBorder="1"/>
    <xf numFmtId="0" fontId="34" fillId="11" borderId="132" xfId="5463" applyFont="1" applyFill="1" applyBorder="1"/>
    <xf numFmtId="0" fontId="34" fillId="11" borderId="145" xfId="5463" applyFont="1" applyFill="1" applyBorder="1"/>
    <xf numFmtId="0" fontId="41" fillId="11" borderId="145" xfId="5463" applyFont="1" applyFill="1" applyBorder="1"/>
    <xf numFmtId="0" fontId="41" fillId="11" borderId="139" xfId="5463" applyFont="1" applyFill="1" applyBorder="1"/>
    <xf numFmtId="0" fontId="247" fillId="11" borderId="0" xfId="5463" applyFont="1" applyFill="1"/>
    <xf numFmtId="0" fontId="41" fillId="13" borderId="138" xfId="5463" applyFont="1" applyFill="1" applyBorder="1" applyAlignment="1">
      <alignment wrapText="1"/>
    </xf>
    <xf numFmtId="167" fontId="34" fillId="11" borderId="138" xfId="5463" applyNumberFormat="1" applyFont="1" applyFill="1" applyBorder="1" applyAlignment="1">
      <alignment vertical="center"/>
    </xf>
    <xf numFmtId="167" fontId="34" fillId="11" borderId="132" xfId="5463" applyNumberFormat="1" applyFont="1" applyFill="1" applyBorder="1" applyAlignment="1">
      <alignment vertical="center"/>
    </xf>
    <xf numFmtId="167" fontId="34" fillId="11" borderId="145" xfId="5463" applyNumberFormat="1" applyFont="1" applyFill="1" applyBorder="1" applyAlignment="1">
      <alignment vertical="center"/>
    </xf>
    <xf numFmtId="167" fontId="41" fillId="11" borderId="145" xfId="5463" applyNumberFormat="1" applyFont="1" applyFill="1" applyBorder="1" applyAlignment="1">
      <alignment vertical="center"/>
    </xf>
    <xf numFmtId="167" fontId="41" fillId="11" borderId="139" xfId="5463" applyNumberFormat="1" applyFont="1" applyFill="1" applyBorder="1" applyAlignment="1">
      <alignment vertical="center"/>
    </xf>
    <xf numFmtId="0" fontId="27" fillId="13" borderId="144" xfId="5463" applyFont="1" applyFill="1" applyBorder="1" applyAlignment="1"/>
    <xf numFmtId="0" fontId="245" fillId="11" borderId="144" xfId="5463" applyFont="1" applyFill="1" applyBorder="1"/>
    <xf numFmtId="0" fontId="245" fillId="11" borderId="140" xfId="5463" applyFont="1" applyFill="1" applyBorder="1"/>
    <xf numFmtId="0" fontId="245" fillId="11" borderId="143" xfId="5463" applyFont="1" applyFill="1" applyBorder="1"/>
    <xf numFmtId="0" fontId="245" fillId="11" borderId="142" xfId="5463" applyFont="1" applyFill="1" applyBorder="1"/>
    <xf numFmtId="167" fontId="245" fillId="11" borderId="0" xfId="5463" applyNumberFormat="1" applyFont="1" applyFill="1"/>
    <xf numFmtId="0" fontId="248" fillId="11" borderId="0" xfId="5463" applyFont="1" applyFill="1" applyBorder="1"/>
    <xf numFmtId="0" fontId="249" fillId="11" borderId="0" xfId="5463" applyFont="1" applyFill="1" applyBorder="1"/>
    <xf numFmtId="0" fontId="250" fillId="11" borderId="0" xfId="5463" applyFont="1" applyFill="1"/>
    <xf numFmtId="0" fontId="35" fillId="11" borderId="0" xfId="5463" applyFont="1" applyFill="1" applyBorder="1"/>
    <xf numFmtId="0" fontId="249" fillId="11" borderId="0" xfId="5463" applyFont="1" applyFill="1"/>
    <xf numFmtId="0" fontId="251" fillId="11" borderId="0" xfId="6348" applyFont="1" applyFill="1" applyBorder="1" applyAlignment="1">
      <alignment vertical="center"/>
    </xf>
    <xf numFmtId="0" fontId="253" fillId="11" borderId="0" xfId="5463" applyFont="1" applyFill="1" applyBorder="1" applyAlignment="1">
      <alignment vertical="center"/>
    </xf>
    <xf numFmtId="0" fontId="254" fillId="11" borderId="0" xfId="5463" applyFont="1" applyFill="1" applyBorder="1" applyAlignment="1">
      <alignment vertical="center"/>
    </xf>
    <xf numFmtId="0" fontId="255" fillId="11" borderId="0" xfId="5463" applyFont="1" applyFill="1" applyBorder="1" applyAlignment="1">
      <alignment vertical="center"/>
    </xf>
    <xf numFmtId="0" fontId="245" fillId="11" borderId="0" xfId="5463" applyFont="1" applyFill="1" applyBorder="1" applyAlignment="1">
      <alignment vertical="center"/>
    </xf>
    <xf numFmtId="0" fontId="27" fillId="11" borderId="0" xfId="5463" applyFont="1" applyFill="1" applyBorder="1" applyAlignment="1">
      <alignment horizontal="left" vertical="center"/>
    </xf>
    <xf numFmtId="0" fontId="227" fillId="11" borderId="0" xfId="5463" applyFont="1" applyFill="1" applyBorder="1" applyAlignment="1">
      <alignment vertical="center"/>
    </xf>
    <xf numFmtId="0" fontId="42" fillId="11" borderId="0" xfId="5463" applyFont="1" applyFill="1" applyBorder="1" applyAlignment="1">
      <alignment horizontal="right" vertical="center"/>
    </xf>
    <xf numFmtId="0" fontId="256" fillId="13" borderId="131" xfId="5463" applyFont="1" applyFill="1" applyBorder="1" applyAlignment="1">
      <alignment horizontal="center" vertical="center"/>
    </xf>
    <xf numFmtId="17" fontId="257" fillId="13" borderId="130" xfId="5463" applyNumberFormat="1" applyFont="1" applyFill="1" applyBorder="1" applyAlignment="1">
      <alignment horizontal="center" vertical="center"/>
    </xf>
    <xf numFmtId="17" fontId="257" fillId="13" borderId="128" xfId="5463" applyNumberFormat="1" applyFont="1" applyFill="1" applyBorder="1" applyAlignment="1">
      <alignment horizontal="center" vertical="center"/>
    </xf>
    <xf numFmtId="17" fontId="257" fillId="13" borderId="146" xfId="5463" applyNumberFormat="1" applyFont="1" applyFill="1" applyBorder="1" applyAlignment="1">
      <alignment horizontal="center" vertical="center"/>
    </xf>
    <xf numFmtId="17" fontId="257" fillId="13" borderId="147" xfId="5463" applyNumberFormat="1" applyFont="1" applyFill="1" applyBorder="1" applyAlignment="1">
      <alignment horizontal="center" vertical="center"/>
    </xf>
    <xf numFmtId="0" fontId="41" fillId="13" borderId="138" xfId="5463" applyFont="1" applyFill="1" applyBorder="1" applyAlignment="1">
      <alignment horizontal="center" vertical="center"/>
    </xf>
    <xf numFmtId="0" fontId="245" fillId="11" borderId="145" xfId="5463" applyFont="1" applyFill="1" applyBorder="1" applyAlignment="1">
      <alignment vertical="center"/>
    </xf>
    <xf numFmtId="0" fontId="245" fillId="11" borderId="136" xfId="5463" applyFont="1" applyFill="1" applyBorder="1" applyAlignment="1">
      <alignment vertical="center"/>
    </xf>
    <xf numFmtId="0" fontId="245" fillId="11" borderId="148" xfId="5463" applyFont="1" applyFill="1" applyBorder="1" applyAlignment="1">
      <alignment vertical="center"/>
    </xf>
    <xf numFmtId="0" fontId="238" fillId="11" borderId="145" xfId="5463" applyFont="1" applyFill="1" applyBorder="1" applyAlignment="1">
      <alignment vertical="center"/>
    </xf>
    <xf numFmtId="0" fontId="238" fillId="11" borderId="0" xfId="5463" applyFont="1" applyFill="1" applyBorder="1" applyAlignment="1">
      <alignment vertical="center"/>
    </xf>
    <xf numFmtId="0" fontId="238" fillId="11" borderId="139" xfId="5463" applyFont="1" applyFill="1" applyBorder="1" applyAlignment="1">
      <alignment vertical="center"/>
    </xf>
    <xf numFmtId="0" fontId="18" fillId="13" borderId="138" xfId="5463" applyFont="1" applyFill="1" applyBorder="1" applyAlignment="1">
      <alignment vertical="center"/>
    </xf>
    <xf numFmtId="167" fontId="18" fillId="11" borderId="145" xfId="5463" applyNumberFormat="1" applyFont="1" applyFill="1" applyBorder="1" applyAlignment="1">
      <alignment vertical="center"/>
    </xf>
    <xf numFmtId="167" fontId="18" fillId="11" borderId="148" xfId="5463" applyNumberFormat="1" applyFont="1" applyFill="1" applyBorder="1" applyAlignment="1">
      <alignment vertical="center"/>
    </xf>
    <xf numFmtId="167" fontId="18" fillId="11" borderId="0" xfId="5463" applyNumberFormat="1" applyFont="1" applyFill="1" applyBorder="1" applyAlignment="1">
      <alignment vertical="center"/>
    </xf>
    <xf numFmtId="167" fontId="18" fillId="11" borderId="139" xfId="5463" applyNumberFormat="1" applyFont="1" applyFill="1" applyBorder="1" applyAlignment="1">
      <alignment vertical="center"/>
    </xf>
    <xf numFmtId="0" fontId="21" fillId="13" borderId="138" xfId="5463" applyFont="1" applyFill="1" applyBorder="1" applyAlignment="1">
      <alignment vertical="center"/>
    </xf>
    <xf numFmtId="167" fontId="21" fillId="11" borderId="145" xfId="5463" applyNumberFormat="1" applyFont="1" applyFill="1" applyBorder="1" applyAlignment="1">
      <alignment vertical="center"/>
    </xf>
    <xf numFmtId="167" fontId="21" fillId="11" borderId="148" xfId="5463" applyNumberFormat="1" applyFont="1" applyFill="1" applyBorder="1" applyAlignment="1">
      <alignment vertical="center"/>
    </xf>
    <xf numFmtId="167" fontId="21" fillId="11" borderId="0" xfId="5463" applyNumberFormat="1" applyFont="1" applyFill="1" applyBorder="1" applyAlignment="1">
      <alignment vertical="center"/>
    </xf>
    <xf numFmtId="167" fontId="21" fillId="11" borderId="139" xfId="5463" applyNumberFormat="1" applyFont="1" applyFill="1" applyBorder="1" applyAlignment="1">
      <alignment vertical="center"/>
    </xf>
    <xf numFmtId="167" fontId="21" fillId="13" borderId="138" xfId="5463" applyNumberFormat="1" applyFont="1" applyFill="1" applyBorder="1" applyAlignment="1">
      <alignment vertical="center"/>
    </xf>
    <xf numFmtId="0" fontId="21" fillId="13" borderId="138" xfId="5463" applyFont="1" applyFill="1" applyBorder="1" applyAlignment="1">
      <alignment horizontal="left" vertical="center"/>
    </xf>
    <xf numFmtId="0" fontId="18" fillId="13" borderId="138" xfId="5463" applyFont="1" applyFill="1" applyBorder="1" applyAlignment="1">
      <alignment horizontal="center" vertical="center"/>
    </xf>
    <xf numFmtId="0" fontId="259" fillId="13" borderId="138" xfId="5463" applyFont="1" applyFill="1" applyBorder="1" applyAlignment="1">
      <alignment vertical="center"/>
    </xf>
    <xf numFmtId="0" fontId="226" fillId="13" borderId="144" xfId="5463" applyFont="1" applyFill="1" applyBorder="1" applyAlignment="1">
      <alignment vertical="center"/>
    </xf>
    <xf numFmtId="0" fontId="245" fillId="11" borderId="143" xfId="5463" applyFont="1" applyFill="1" applyBorder="1" applyAlignment="1">
      <alignment vertical="center"/>
    </xf>
    <xf numFmtId="0" fontId="245" fillId="11" borderId="151" xfId="5463" applyFont="1" applyFill="1" applyBorder="1" applyAlignment="1">
      <alignment vertical="center"/>
    </xf>
    <xf numFmtId="0" fontId="245" fillId="11" borderId="79" xfId="5463" applyFont="1" applyFill="1" applyBorder="1" applyAlignment="1">
      <alignment vertical="center"/>
    </xf>
    <xf numFmtId="0" fontId="245" fillId="11" borderId="142" xfId="5463" applyFont="1" applyFill="1" applyBorder="1" applyAlignment="1">
      <alignment vertical="center"/>
    </xf>
    <xf numFmtId="0" fontId="260" fillId="11" borderId="0" xfId="5463" applyFont="1" applyFill="1" applyAlignment="1">
      <alignment vertical="center"/>
    </xf>
    <xf numFmtId="0" fontId="244" fillId="11" borderId="0" xfId="5463" applyFont="1" applyFill="1" applyAlignment="1">
      <alignment vertical="center"/>
    </xf>
    <xf numFmtId="0" fontId="235" fillId="11" borderId="0" xfId="5463" applyFont="1" applyFill="1" applyAlignment="1">
      <alignment vertical="center"/>
    </xf>
    <xf numFmtId="0" fontId="49" fillId="11" borderId="0" xfId="5463" applyFont="1" applyFill="1" applyBorder="1" applyAlignment="1">
      <alignment vertical="center"/>
    </xf>
    <xf numFmtId="0" fontId="10" fillId="0" borderId="0" xfId="5463" applyFont="1"/>
    <xf numFmtId="0" fontId="27" fillId="0" borderId="0" xfId="5463" applyFont="1"/>
    <xf numFmtId="167" fontId="245" fillId="11" borderId="0" xfId="5463" applyNumberFormat="1" applyFont="1" applyFill="1" applyBorder="1" applyAlignment="1">
      <alignment vertical="center"/>
    </xf>
    <xf numFmtId="0" fontId="235" fillId="11" borderId="0" xfId="5463" applyFont="1" applyFill="1" applyBorder="1"/>
    <xf numFmtId="0" fontId="257" fillId="11" borderId="0" xfId="6348" applyFont="1" applyFill="1" applyBorder="1" applyAlignment="1">
      <alignment vertical="center"/>
    </xf>
    <xf numFmtId="0" fontId="107" fillId="11" borderId="0" xfId="5463" applyFont="1" applyFill="1" applyBorder="1" applyAlignment="1">
      <alignment vertical="center"/>
    </xf>
    <xf numFmtId="0" fontId="263" fillId="11" borderId="0" xfId="5463" applyFont="1" applyFill="1" applyBorder="1" applyAlignment="1">
      <alignment vertical="center"/>
    </xf>
    <xf numFmtId="0" fontId="23" fillId="11" borderId="0" xfId="5463" applyFont="1" applyFill="1" applyAlignment="1">
      <alignment vertical="center"/>
    </xf>
    <xf numFmtId="167" fontId="107" fillId="11" borderId="0" xfId="5463" applyNumberFormat="1" applyFont="1" applyFill="1" applyBorder="1" applyAlignment="1">
      <alignment vertical="center"/>
    </xf>
    <xf numFmtId="0" fontId="3" fillId="102" borderId="0" xfId="5463" applyFont="1" applyFill="1" applyBorder="1" applyAlignment="1">
      <alignment horizontal="center" vertical="center"/>
    </xf>
    <xf numFmtId="0" fontId="11" fillId="11" borderId="0" xfId="5463" applyFont="1" applyFill="1" applyBorder="1" applyAlignment="1">
      <alignment vertical="center"/>
    </xf>
    <xf numFmtId="0" fontId="23" fillId="11" borderId="0" xfId="5463" applyFont="1" applyFill="1" applyBorder="1" applyAlignment="1">
      <alignment vertical="center"/>
    </xf>
    <xf numFmtId="0" fontId="26" fillId="11" borderId="0" xfId="5463" applyFont="1" applyFill="1" applyBorder="1" applyAlignment="1">
      <alignment horizontal="right" vertical="center"/>
    </xf>
    <xf numFmtId="0" fontId="143" fillId="13" borderId="131" xfId="5463" applyFont="1" applyFill="1" applyBorder="1" applyAlignment="1">
      <alignment horizontal="center" vertical="center"/>
    </xf>
    <xf numFmtId="17" fontId="143" fillId="13" borderId="130" xfId="5463" applyNumberFormat="1" applyFont="1" applyFill="1" applyBorder="1" applyAlignment="1">
      <alignment horizontal="center" vertical="center"/>
    </xf>
    <xf numFmtId="17" fontId="143" fillId="13" borderId="146" xfId="5463" applyNumberFormat="1" applyFont="1" applyFill="1" applyBorder="1" applyAlignment="1">
      <alignment horizontal="center" vertical="center"/>
    </xf>
    <xf numFmtId="17" fontId="143" fillId="13" borderId="129" xfId="5463" applyNumberFormat="1" applyFont="1" applyFill="1" applyBorder="1" applyAlignment="1">
      <alignment horizontal="center" vertical="center"/>
    </xf>
    <xf numFmtId="0" fontId="23" fillId="13" borderId="138" xfId="5463" applyFont="1" applyFill="1" applyBorder="1" applyAlignment="1">
      <alignment vertical="center"/>
    </xf>
    <xf numFmtId="0" fontId="107" fillId="11" borderId="145" xfId="5463" applyFont="1" applyFill="1" applyBorder="1" applyAlignment="1">
      <alignment vertical="center"/>
    </xf>
    <xf numFmtId="0" fontId="107" fillId="11" borderId="139" xfId="5463" applyFont="1" applyFill="1" applyBorder="1" applyAlignment="1">
      <alignment vertical="center"/>
    </xf>
    <xf numFmtId="0" fontId="143" fillId="13" borderId="138" xfId="5463" applyFont="1" applyFill="1" applyBorder="1" applyAlignment="1">
      <alignment vertical="center"/>
    </xf>
    <xf numFmtId="167" fontId="143" fillId="11" borderId="145" xfId="5463" applyNumberFormat="1" applyFont="1" applyFill="1" applyBorder="1" applyAlignment="1">
      <alignment vertical="center"/>
    </xf>
    <xf numFmtId="167" fontId="143" fillId="11" borderId="0" xfId="5463" applyNumberFormat="1" applyFont="1" applyFill="1" applyBorder="1" applyAlignment="1">
      <alignment vertical="center"/>
    </xf>
    <xf numFmtId="167" fontId="143" fillId="11" borderId="139" xfId="5463" applyNumberFormat="1" applyFont="1" applyFill="1" applyBorder="1" applyAlignment="1">
      <alignment vertical="center"/>
    </xf>
    <xf numFmtId="0" fontId="226" fillId="13" borderId="138" xfId="5463" applyFont="1" applyFill="1" applyBorder="1" applyAlignment="1">
      <alignment vertical="center"/>
    </xf>
    <xf numFmtId="167" fontId="226" fillId="11" borderId="145" xfId="5463" applyNumberFormat="1" applyFont="1" applyFill="1" applyBorder="1" applyAlignment="1">
      <alignment vertical="center"/>
    </xf>
    <xf numFmtId="167" fontId="226" fillId="11" borderId="0" xfId="5463" applyNumberFormat="1" applyFont="1" applyFill="1" applyBorder="1" applyAlignment="1">
      <alignment vertical="center"/>
    </xf>
    <xf numFmtId="167" fontId="226" fillId="11" borderId="139" xfId="5463" applyNumberFormat="1" applyFont="1" applyFill="1" applyBorder="1" applyAlignment="1">
      <alignment vertical="center"/>
    </xf>
    <xf numFmtId="167" fontId="143" fillId="0" borderId="145" xfId="5463" applyNumberFormat="1" applyFont="1" applyFill="1" applyBorder="1" applyAlignment="1">
      <alignment vertical="center"/>
    </xf>
    <xf numFmtId="167" fontId="143" fillId="0" borderId="0" xfId="5463" applyNumberFormat="1" applyFont="1" applyFill="1" applyBorder="1" applyAlignment="1">
      <alignment vertical="center"/>
    </xf>
    <xf numFmtId="167" fontId="143" fillId="0" borderId="139" xfId="5463" applyNumberFormat="1" applyFont="1" applyFill="1" applyBorder="1" applyAlignment="1">
      <alignment vertical="center"/>
    </xf>
    <xf numFmtId="0" fontId="10" fillId="13" borderId="144" xfId="5463" applyFont="1" applyFill="1" applyBorder="1" applyAlignment="1">
      <alignment vertical="center"/>
    </xf>
    <xf numFmtId="0" fontId="238" fillId="11" borderId="143" xfId="5463" applyFont="1" applyFill="1" applyBorder="1" applyAlignment="1">
      <alignment vertical="center"/>
    </xf>
    <xf numFmtId="0" fontId="238" fillId="11" borderId="79" xfId="5463" applyFont="1" applyFill="1" applyBorder="1" applyAlignment="1">
      <alignment vertical="center"/>
    </xf>
    <xf numFmtId="0" fontId="238" fillId="11" borderId="142" xfId="5463" applyFont="1" applyFill="1" applyBorder="1" applyAlignment="1">
      <alignment vertical="center"/>
    </xf>
    <xf numFmtId="0" fontId="265" fillId="11" borderId="0" xfId="5463" applyFont="1" applyFill="1" applyAlignment="1">
      <alignment vertical="center"/>
    </xf>
    <xf numFmtId="0" fontId="235" fillId="11" borderId="0" xfId="5463" applyFont="1" applyFill="1" applyBorder="1" applyAlignment="1"/>
    <xf numFmtId="167" fontId="238" fillId="11" borderId="0" xfId="5463" applyNumberFormat="1" applyFont="1" applyFill="1" applyBorder="1" applyAlignment="1">
      <alignment vertical="center"/>
    </xf>
    <xf numFmtId="169" fontId="107" fillId="11" borderId="0" xfId="5463" applyNumberFormat="1" applyFont="1" applyFill="1" applyBorder="1" applyAlignment="1">
      <alignment vertical="center"/>
    </xf>
    <xf numFmtId="0" fontId="16" fillId="0" borderId="0" xfId="2" applyFont="1" applyBorder="1"/>
    <xf numFmtId="0" fontId="26" fillId="0" borderId="0" xfId="2" applyFont="1" applyAlignment="1">
      <alignment horizontal="right"/>
    </xf>
    <xf numFmtId="0" fontId="16" fillId="2" borderId="64" xfId="2" applyFont="1" applyFill="1" applyBorder="1" applyAlignment="1">
      <alignment horizontal="center"/>
    </xf>
    <xf numFmtId="17" fontId="16" fillId="2" borderId="64" xfId="2" applyNumberFormat="1" applyFont="1" applyFill="1" applyBorder="1" applyAlignment="1">
      <alignment horizontal="center"/>
    </xf>
    <xf numFmtId="0" fontId="267" fillId="2" borderId="9" xfId="2" applyFont="1" applyFill="1" applyBorder="1"/>
    <xf numFmtId="251" fontId="267" fillId="0" borderId="9" xfId="4363" applyNumberFormat="1" applyFont="1" applyBorder="1" applyAlignment="1">
      <alignment horizontal="center"/>
    </xf>
    <xf numFmtId="251" fontId="267" fillId="0" borderId="9" xfId="4363" applyNumberFormat="1" applyFont="1" applyFill="1" applyBorder="1" applyAlignment="1">
      <alignment horizontal="center"/>
    </xf>
    <xf numFmtId="0" fontId="16" fillId="2" borderId="64" xfId="2" applyFont="1" applyFill="1" applyBorder="1" applyAlignment="1">
      <alignment horizontal="left"/>
    </xf>
    <xf numFmtId="251" fontId="16" fillId="0" borderId="64" xfId="4363" applyNumberFormat="1" applyFont="1" applyBorder="1" applyAlignment="1">
      <alignment horizontal="center"/>
    </xf>
    <xf numFmtId="251" fontId="16" fillId="0" borderId="64" xfId="4363" applyNumberFormat="1" applyFont="1" applyFill="1" applyBorder="1" applyAlignment="1">
      <alignment horizontal="center"/>
    </xf>
    <xf numFmtId="0" fontId="16" fillId="0" borderId="0" xfId="2" applyFont="1" applyFill="1" applyBorder="1" applyAlignment="1">
      <alignment horizontal="left"/>
    </xf>
    <xf numFmtId="251" fontId="16" fillId="0" borderId="0" xfId="4363" applyNumberFormat="1" applyFont="1" applyFill="1" applyBorder="1" applyAlignment="1">
      <alignment horizontal="center"/>
    </xf>
    <xf numFmtId="0" fontId="23" fillId="0" borderId="0" xfId="2" applyFont="1" applyFill="1" applyBorder="1"/>
    <xf numFmtId="0" fontId="267" fillId="0" borderId="0" xfId="2" applyFont="1" applyBorder="1" applyAlignment="1">
      <alignment horizontal="center"/>
    </xf>
    <xf numFmtId="251" fontId="26" fillId="0" borderId="0" xfId="4363" applyNumberFormat="1" applyFont="1" applyBorder="1" applyAlignment="1">
      <alignment horizontal="right"/>
    </xf>
    <xf numFmtId="251" fontId="267" fillId="0" borderId="9" xfId="4363" applyNumberFormat="1" applyFont="1" applyBorder="1"/>
    <xf numFmtId="0" fontId="268" fillId="2" borderId="9" xfId="2" applyFont="1" applyFill="1" applyBorder="1"/>
    <xf numFmtId="251" fontId="268" fillId="0" borderId="9" xfId="4363" applyNumberFormat="1" applyFont="1" applyBorder="1"/>
    <xf numFmtId="0" fontId="267" fillId="0" borderId="0" xfId="2" applyFont="1"/>
    <xf numFmtId="0" fontId="16" fillId="2" borderId="64" xfId="2" applyFont="1" applyFill="1" applyBorder="1"/>
    <xf numFmtId="251" fontId="16" fillId="0" borderId="64" xfId="4363" applyNumberFormat="1" applyFont="1" applyBorder="1"/>
    <xf numFmtId="251" fontId="16" fillId="0" borderId="64" xfId="4363" applyNumberFormat="1" applyFont="1" applyFill="1" applyBorder="1"/>
    <xf numFmtId="0" fontId="26" fillId="0" borderId="0" xfId="2" applyFont="1" applyFill="1" applyBorder="1" applyAlignment="1">
      <alignment horizontal="left" vertical="top"/>
    </xf>
    <xf numFmtId="0" fontId="23" fillId="0" borderId="0" xfId="2" applyFont="1" applyBorder="1" applyAlignment="1">
      <alignment vertical="top"/>
    </xf>
    <xf numFmtId="0" fontId="26" fillId="0" borderId="0" xfId="2" applyFont="1" applyFill="1" applyBorder="1" applyAlignment="1">
      <alignment vertical="top"/>
    </xf>
    <xf numFmtId="0" fontId="23" fillId="0" borderId="0" xfId="2" applyFont="1" applyBorder="1"/>
    <xf numFmtId="165" fontId="23" fillId="0" borderId="0" xfId="2" applyNumberFormat="1" applyFont="1" applyBorder="1"/>
    <xf numFmtId="248" fontId="23" fillId="0" borderId="0" xfId="5960" applyNumberFormat="1" applyFont="1"/>
    <xf numFmtId="0" fontId="49" fillId="11" borderId="0" xfId="5463" applyFont="1" applyFill="1" applyBorder="1" applyAlignment="1">
      <alignment horizontal="right"/>
    </xf>
    <xf numFmtId="0" fontId="19" fillId="4" borderId="74" xfId="5463" applyFont="1" applyFill="1" applyBorder="1"/>
    <xf numFmtId="17" fontId="43" fillId="4" borderId="155" xfId="5463" applyNumberFormat="1" applyFont="1" applyFill="1" applyBorder="1" applyAlignment="1">
      <alignment horizontal="center"/>
    </xf>
    <xf numFmtId="17" fontId="43" fillId="4" borderId="156" xfId="5463" applyNumberFormat="1" applyFont="1" applyFill="1" applyBorder="1" applyAlignment="1">
      <alignment horizontal="center"/>
    </xf>
    <xf numFmtId="17" fontId="43" fillId="4" borderId="157" xfId="5463" applyNumberFormat="1" applyFont="1" applyFill="1" applyBorder="1" applyAlignment="1">
      <alignment horizontal="center"/>
    </xf>
    <xf numFmtId="0" fontId="10" fillId="4" borderId="37" xfId="5463" applyFont="1" applyFill="1" applyBorder="1"/>
    <xf numFmtId="165" fontId="10" fillId="11" borderId="39" xfId="5463" applyNumberFormat="1" applyFont="1" applyFill="1" applyBorder="1"/>
    <xf numFmtId="165" fontId="10" fillId="11" borderId="9" xfId="5463" applyNumberFormat="1" applyFont="1" applyFill="1" applyBorder="1"/>
    <xf numFmtId="165" fontId="10" fillId="11" borderId="38" xfId="5463" applyNumberFormat="1" applyFont="1" applyFill="1" applyBorder="1"/>
    <xf numFmtId="0" fontId="41" fillId="4" borderId="37" xfId="5463" applyFont="1" applyFill="1" applyBorder="1"/>
    <xf numFmtId="165" fontId="41" fillId="11" borderId="39" xfId="5463" applyNumberFormat="1" applyFont="1" applyFill="1" applyBorder="1"/>
    <xf numFmtId="165" fontId="41" fillId="11" borderId="9" xfId="5463" applyNumberFormat="1" applyFont="1" applyFill="1" applyBorder="1"/>
    <xf numFmtId="165" fontId="41" fillId="11" borderId="38" xfId="5463" applyNumberFormat="1" applyFont="1" applyFill="1" applyBorder="1"/>
    <xf numFmtId="0" fontId="226" fillId="4" borderId="37" xfId="5463" applyFont="1" applyFill="1" applyBorder="1"/>
    <xf numFmtId="0" fontId="41" fillId="4" borderId="87" xfId="5463" applyFont="1" applyFill="1" applyBorder="1"/>
    <xf numFmtId="165" fontId="41" fillId="11" borderId="158" xfId="5463" applyNumberFormat="1" applyFont="1" applyFill="1" applyBorder="1"/>
    <xf numFmtId="165" fontId="41" fillId="11" borderId="159" xfId="5463" applyNumberFormat="1" applyFont="1" applyFill="1" applyBorder="1"/>
    <xf numFmtId="165" fontId="41" fillId="11" borderId="160" xfId="5463" applyNumberFormat="1" applyFont="1" applyFill="1" applyBorder="1"/>
    <xf numFmtId="0" fontId="49" fillId="11" borderId="0" xfId="5463" applyFont="1" applyFill="1" applyBorder="1" applyAlignment="1">
      <alignment horizontal="left" vertical="top"/>
    </xf>
    <xf numFmtId="0" fontId="251" fillId="11" borderId="0" xfId="5457" applyFont="1" applyFill="1" applyAlignment="1">
      <alignment vertical="center"/>
    </xf>
    <xf numFmtId="0" fontId="21" fillId="11" borderId="0" xfId="5457" applyFont="1" applyFill="1" applyAlignment="1">
      <alignment vertical="center"/>
    </xf>
    <xf numFmtId="0" fontId="269" fillId="11" borderId="0" xfId="5457" applyFont="1" applyFill="1" applyBorder="1" applyAlignment="1">
      <alignment vertical="center"/>
    </xf>
    <xf numFmtId="0" fontId="27" fillId="11" borderId="0" xfId="5457" applyFont="1" applyFill="1" applyAlignment="1">
      <alignment vertical="center"/>
    </xf>
    <xf numFmtId="0" fontId="35" fillId="11" borderId="0" xfId="5457" applyFont="1" applyFill="1" applyAlignment="1">
      <alignment vertical="center"/>
    </xf>
    <xf numFmtId="0" fontId="35" fillId="11" borderId="0" xfId="5457" applyFont="1" applyFill="1" applyAlignment="1">
      <alignment horizontal="right" vertical="center"/>
    </xf>
    <xf numFmtId="0" fontId="26" fillId="11" borderId="0" xfId="5457" applyFont="1" applyFill="1" applyAlignment="1">
      <alignment horizontal="center" vertical="center"/>
    </xf>
    <xf numFmtId="0" fontId="35" fillId="11" borderId="0" xfId="5457" applyFont="1" applyFill="1" applyAlignment="1">
      <alignment horizontal="center" vertical="center"/>
    </xf>
    <xf numFmtId="0" fontId="42" fillId="11" borderId="0" xfId="5457" applyFont="1" applyFill="1" applyAlignment="1">
      <alignment horizontal="right" vertical="center"/>
    </xf>
    <xf numFmtId="253" fontId="33" fillId="4" borderId="161" xfId="5457" applyNumberFormat="1" applyFont="1" applyFill="1" applyBorder="1" applyAlignment="1">
      <alignment horizontal="center" vertical="center"/>
    </xf>
    <xf numFmtId="253" fontId="33" fillId="104" borderId="162" xfId="5457" applyNumberFormat="1" applyFont="1" applyFill="1" applyBorder="1" applyAlignment="1">
      <alignment horizontal="center" vertical="center"/>
    </xf>
    <xf numFmtId="253" fontId="33" fillId="104" borderId="163" xfId="5457" applyNumberFormat="1" applyFont="1" applyFill="1" applyBorder="1" applyAlignment="1">
      <alignment horizontal="center" vertical="center"/>
    </xf>
    <xf numFmtId="253" fontId="33" fillId="4" borderId="162" xfId="5457" applyNumberFormat="1" applyFont="1" applyFill="1" applyBorder="1" applyAlignment="1">
      <alignment horizontal="center" vertical="center"/>
    </xf>
    <xf numFmtId="253" fontId="34" fillId="11" borderId="0" xfId="5457" applyNumberFormat="1" applyFont="1" applyFill="1" applyAlignment="1">
      <alignment horizontal="center" vertical="center"/>
    </xf>
    <xf numFmtId="0" fontId="33" fillId="4" borderId="164" xfId="5457" applyFont="1" applyFill="1" applyBorder="1" applyAlignment="1">
      <alignment horizontal="center" vertical="center"/>
    </xf>
    <xf numFmtId="0" fontId="27" fillId="104" borderId="165" xfId="5457" applyFont="1" applyFill="1" applyBorder="1" applyAlignment="1">
      <alignment vertical="center"/>
    </xf>
    <xf numFmtId="0" fontId="27" fillId="4" borderId="165" xfId="5457" applyFont="1" applyFill="1" applyBorder="1" applyAlignment="1">
      <alignment vertical="center"/>
    </xf>
    <xf numFmtId="0" fontId="27" fillId="4" borderId="166" xfId="5457" applyFont="1" applyFill="1" applyBorder="1" applyAlignment="1">
      <alignment vertical="center"/>
    </xf>
    <xf numFmtId="0" fontId="27" fillId="11" borderId="167" xfId="5457" applyFont="1" applyFill="1" applyBorder="1" applyAlignment="1">
      <alignment vertical="center"/>
    </xf>
    <xf numFmtId="0" fontId="270" fillId="4" borderId="166" xfId="5457" applyFont="1" applyFill="1" applyBorder="1" applyAlignment="1">
      <alignment vertical="center"/>
    </xf>
    <xf numFmtId="3" fontId="27" fillId="11" borderId="167" xfId="5457" applyNumberFormat="1" applyFont="1" applyFill="1" applyBorder="1" applyAlignment="1">
      <alignment vertical="center"/>
    </xf>
    <xf numFmtId="3" fontId="19" fillId="11" borderId="167" xfId="5457" applyNumberFormat="1" applyFont="1" applyFill="1" applyBorder="1" applyAlignment="1">
      <alignment vertical="center"/>
    </xf>
    <xf numFmtId="3" fontId="270" fillId="11" borderId="167" xfId="5457" applyNumberFormat="1" applyFont="1" applyFill="1" applyBorder="1" applyAlignment="1">
      <alignment vertical="center"/>
    </xf>
    <xf numFmtId="3" fontId="27" fillId="11" borderId="0" xfId="5457" applyNumberFormat="1" applyFont="1" applyFill="1" applyAlignment="1">
      <alignment vertical="center"/>
    </xf>
    <xf numFmtId="0" fontId="271" fillId="4" borderId="166" xfId="5457" applyFont="1" applyFill="1" applyBorder="1" applyAlignment="1">
      <alignment vertical="center"/>
    </xf>
    <xf numFmtId="3" fontId="35" fillId="11" borderId="167" xfId="5457" applyNumberFormat="1" applyFont="1" applyFill="1" applyBorder="1" applyAlignment="1">
      <alignment vertical="center"/>
    </xf>
    <xf numFmtId="3" fontId="145" fillId="11" borderId="167" xfId="5457" applyNumberFormat="1" applyFont="1" applyFill="1" applyBorder="1" applyAlignment="1">
      <alignment vertical="center"/>
    </xf>
    <xf numFmtId="3" fontId="271" fillId="11" borderId="167" xfId="5457" applyNumberFormat="1" applyFont="1" applyFill="1" applyBorder="1" applyAlignment="1">
      <alignment vertical="center"/>
    </xf>
    <xf numFmtId="0" fontId="33" fillId="4" borderId="166" xfId="5457" applyFont="1" applyFill="1" applyBorder="1" applyAlignment="1">
      <alignment vertical="center"/>
    </xf>
    <xf numFmtId="3" fontId="34" fillId="11" borderId="167" xfId="5457" applyNumberFormat="1" applyFont="1" applyFill="1" applyBorder="1" applyAlignment="1">
      <alignment vertical="center"/>
    </xf>
    <xf numFmtId="3" fontId="43" fillId="11" borderId="167" xfId="5457" applyNumberFormat="1" applyFont="1" applyFill="1" applyBorder="1" applyAlignment="1">
      <alignment vertical="center"/>
    </xf>
    <xf numFmtId="3" fontId="33" fillId="11" borderId="167" xfId="5457" applyNumberFormat="1" applyFont="1" applyFill="1" applyBorder="1" applyAlignment="1">
      <alignment vertical="center"/>
    </xf>
    <xf numFmtId="0" fontId="34" fillId="11" borderId="0" xfId="5457" applyFont="1" applyFill="1" applyAlignment="1">
      <alignment vertical="center"/>
    </xf>
    <xf numFmtId="0" fontId="19" fillId="4" borderId="166" xfId="5457" applyFont="1" applyFill="1" applyBorder="1" applyAlignment="1">
      <alignment vertical="center"/>
    </xf>
    <xf numFmtId="3" fontId="27" fillId="11" borderId="165" xfId="5457" applyNumberFormat="1" applyFont="1" applyFill="1" applyBorder="1" applyAlignment="1">
      <alignment vertical="center"/>
    </xf>
    <xf numFmtId="3" fontId="19" fillId="11" borderId="165" xfId="5457" applyNumberFormat="1" applyFont="1" applyFill="1" applyBorder="1" applyAlignment="1">
      <alignment vertical="center"/>
    </xf>
    <xf numFmtId="3" fontId="270" fillId="11" borderId="165" xfId="5457" applyNumberFormat="1" applyFont="1" applyFill="1" applyBorder="1" applyAlignment="1">
      <alignment vertical="center"/>
    </xf>
    <xf numFmtId="0" fontId="27" fillId="4" borderId="168" xfId="5457" applyFont="1" applyFill="1" applyBorder="1" applyAlignment="1">
      <alignment vertical="center"/>
    </xf>
    <xf numFmtId="0" fontId="27" fillId="11" borderId="169" xfId="5457" applyFont="1" applyFill="1" applyBorder="1" applyAlignment="1">
      <alignment vertical="center"/>
    </xf>
    <xf numFmtId="0" fontId="49" fillId="11" borderId="0" xfId="5457" applyFont="1" applyFill="1" applyAlignment="1">
      <alignment vertical="center"/>
    </xf>
    <xf numFmtId="3" fontId="10" fillId="11" borderId="0" xfId="5457" applyNumberFormat="1" applyFont="1" applyFill="1" applyAlignment="1">
      <alignment vertical="center"/>
    </xf>
    <xf numFmtId="0" fontId="10" fillId="11" borderId="0" xfId="5457" applyFont="1" applyFill="1" applyAlignment="1">
      <alignment vertical="center"/>
    </xf>
    <xf numFmtId="0" fontId="235" fillId="11" borderId="0" xfId="5457" applyFont="1" applyFill="1" applyBorder="1" applyAlignment="1"/>
    <xf numFmtId="167" fontId="238" fillId="11" borderId="0" xfId="5457" applyNumberFormat="1" applyFont="1" applyFill="1"/>
    <xf numFmtId="0" fontId="238" fillId="11" borderId="0" xfId="5457" applyFont="1" applyFill="1"/>
    <xf numFmtId="253" fontId="43" fillId="4" borderId="161" xfId="5457" applyNumberFormat="1" applyFont="1" applyFill="1" applyBorder="1" applyAlignment="1">
      <alignment horizontal="center" vertical="center"/>
    </xf>
    <xf numFmtId="253" fontId="43" fillId="4" borderId="163" xfId="5457" applyNumberFormat="1" applyFont="1" applyFill="1" applyBorder="1" applyAlignment="1">
      <alignment horizontal="center" vertical="center"/>
    </xf>
    <xf numFmtId="253" fontId="43" fillId="4" borderId="170" xfId="5457" applyNumberFormat="1" applyFont="1" applyFill="1" applyBorder="1" applyAlignment="1">
      <alignment horizontal="center" vertical="center"/>
    </xf>
    <xf numFmtId="253" fontId="43" fillId="4" borderId="171" xfId="5457" applyNumberFormat="1" applyFont="1" applyFill="1" applyBorder="1" applyAlignment="1">
      <alignment horizontal="center" vertical="center"/>
    </xf>
    <xf numFmtId="0" fontId="27" fillId="11" borderId="172" xfId="5457" applyFont="1" applyFill="1" applyBorder="1" applyAlignment="1">
      <alignment vertical="center"/>
    </xf>
    <xf numFmtId="3" fontId="27" fillId="11" borderId="173" xfId="5457" applyNumberFormat="1" applyFont="1" applyFill="1" applyBorder="1" applyAlignment="1">
      <alignment vertical="center"/>
    </xf>
    <xf numFmtId="3" fontId="27" fillId="11" borderId="167" xfId="5457" applyNumberFormat="1" applyFont="1" applyFill="1" applyBorder="1" applyAlignment="1">
      <alignment horizontal="right" vertical="center"/>
    </xf>
    <xf numFmtId="3" fontId="141" fillId="11" borderId="167" xfId="5457" applyNumberFormat="1" applyFont="1" applyFill="1" applyBorder="1" applyAlignment="1">
      <alignment vertical="center"/>
    </xf>
    <xf numFmtId="3" fontId="144" fillId="11" borderId="167" xfId="5457" applyNumberFormat="1" applyFont="1" applyFill="1" applyBorder="1" applyAlignment="1">
      <alignment vertical="center"/>
    </xf>
    <xf numFmtId="3" fontId="272" fillId="11" borderId="167" xfId="5457" applyNumberFormat="1" applyFont="1" applyFill="1" applyBorder="1" applyAlignment="1">
      <alignment vertical="center"/>
    </xf>
    <xf numFmtId="0" fontId="141" fillId="11" borderId="0" xfId="5457" applyFont="1" applyFill="1" applyAlignment="1">
      <alignment vertical="center"/>
    </xf>
    <xf numFmtId="3" fontId="270" fillId="0" borderId="167" xfId="5457" applyNumberFormat="1" applyFont="1" applyFill="1" applyBorder="1" applyAlignment="1">
      <alignment vertical="center"/>
    </xf>
    <xf numFmtId="3" fontId="141" fillId="11" borderId="0" xfId="5457" applyNumberFormat="1" applyFont="1" applyFill="1" applyAlignment="1">
      <alignment vertical="center"/>
    </xf>
    <xf numFmtId="0" fontId="272" fillId="4" borderId="166" xfId="5457" applyFont="1" applyFill="1" applyBorder="1" applyAlignment="1">
      <alignment vertical="center"/>
    </xf>
    <xf numFmtId="0" fontId="143" fillId="4" borderId="166" xfId="5457" applyFont="1" applyFill="1" applyBorder="1" applyAlignment="1">
      <alignment vertical="center"/>
    </xf>
    <xf numFmtId="0" fontId="19" fillId="11" borderId="167" xfId="5457" applyFont="1" applyFill="1" applyBorder="1" applyAlignment="1">
      <alignment vertical="center"/>
    </xf>
    <xf numFmtId="0" fontId="27" fillId="11" borderId="174" xfId="5457" applyFont="1" applyFill="1" applyBorder="1" applyAlignment="1">
      <alignment vertical="center"/>
    </xf>
    <xf numFmtId="0" fontId="265" fillId="11" borderId="0" xfId="5457" applyFont="1" applyFill="1" applyBorder="1"/>
    <xf numFmtId="0" fontId="18" fillId="11" borderId="0" xfId="5463" applyFont="1" applyFill="1" applyAlignment="1" applyProtection="1">
      <alignment horizontal="left" vertical="center"/>
    </xf>
    <xf numFmtId="0" fontId="47" fillId="11" borderId="0" xfId="5463" applyFont="1" applyFill="1" applyAlignment="1">
      <alignment vertical="center"/>
    </xf>
    <xf numFmtId="0" fontId="10" fillId="11" borderId="0" xfId="5463" applyFont="1" applyFill="1" applyAlignment="1">
      <alignment vertical="center"/>
    </xf>
    <xf numFmtId="4" fontId="10" fillId="11" borderId="0" xfId="5463" applyNumberFormat="1" applyFont="1" applyFill="1" applyAlignment="1">
      <alignment vertical="center"/>
    </xf>
    <xf numFmtId="0" fontId="41" fillId="11" borderId="0" xfId="5463" applyFont="1" applyFill="1" applyAlignment="1">
      <alignment vertical="center"/>
    </xf>
    <xf numFmtId="0" fontId="10" fillId="11" borderId="0" xfId="5463" applyFont="1" applyFill="1" applyAlignment="1">
      <alignment horizontal="center" vertical="center"/>
    </xf>
    <xf numFmtId="0" fontId="10" fillId="11" borderId="0" xfId="6377" applyFont="1" applyFill="1" applyAlignment="1">
      <alignment vertical="center"/>
    </xf>
    <xf numFmtId="0" fontId="10" fillId="11" borderId="0" xfId="5463" applyFont="1" applyFill="1" applyAlignment="1" applyProtection="1">
      <alignment vertical="center"/>
    </xf>
    <xf numFmtId="4" fontId="10" fillId="11" borderId="0" xfId="5463" applyNumberFormat="1" applyFont="1" applyFill="1" applyAlignment="1" applyProtection="1">
      <alignment vertical="center"/>
    </xf>
    <xf numFmtId="0" fontId="10" fillId="11" borderId="0" xfId="5463" applyFont="1" applyFill="1" applyAlignment="1" applyProtection="1">
      <alignment horizontal="center" vertical="center"/>
    </xf>
    <xf numFmtId="0" fontId="10" fillId="11" borderId="0" xfId="5463" applyFont="1" applyFill="1" applyAlignment="1" applyProtection="1">
      <alignment horizontal="left" vertical="center"/>
    </xf>
    <xf numFmtId="0" fontId="41" fillId="11" borderId="0" xfId="5463" applyFont="1" applyFill="1" applyAlignment="1" applyProtection="1">
      <alignment vertical="center"/>
    </xf>
    <xf numFmtId="0" fontId="41" fillId="3" borderId="27" xfId="5463" applyFont="1" applyFill="1" applyBorder="1" applyAlignment="1" applyProtection="1">
      <alignment horizontal="centerContinuous" vertical="center"/>
    </xf>
    <xf numFmtId="0" fontId="41" fillId="3" borderId="29" xfId="5463" applyFont="1" applyFill="1" applyBorder="1" applyAlignment="1" applyProtection="1">
      <alignment horizontal="centerContinuous" vertical="center"/>
    </xf>
    <xf numFmtId="0" fontId="41" fillId="3" borderId="17" xfId="5463" applyFont="1" applyFill="1" applyBorder="1" applyAlignment="1" applyProtection="1">
      <alignment horizontal="center" vertical="center"/>
    </xf>
    <xf numFmtId="0" fontId="41" fillId="3" borderId="32" xfId="5463" applyFont="1" applyFill="1" applyBorder="1" applyAlignment="1" applyProtection="1">
      <alignment horizontal="centerContinuous" vertical="center"/>
    </xf>
    <xf numFmtId="0" fontId="41" fillId="13" borderId="176" xfId="5463" applyFont="1" applyFill="1" applyBorder="1" applyAlignment="1" applyProtection="1">
      <alignment horizontal="center" vertical="center"/>
    </xf>
    <xf numFmtId="0" fontId="41" fillId="13" borderId="33" xfId="5463" applyFont="1" applyFill="1" applyBorder="1" applyAlignment="1" applyProtection="1">
      <alignment horizontal="center" vertical="center"/>
    </xf>
    <xf numFmtId="4" fontId="41" fillId="13" borderId="33" xfId="5463" applyNumberFormat="1" applyFont="1" applyFill="1" applyBorder="1" applyAlignment="1" applyProtection="1">
      <alignment horizontal="center" vertical="center"/>
    </xf>
    <xf numFmtId="0" fontId="41" fillId="13" borderId="36" xfId="5463" applyFont="1" applyFill="1" applyBorder="1" applyAlignment="1" applyProtection="1">
      <alignment horizontal="center" vertical="center"/>
    </xf>
    <xf numFmtId="0" fontId="41" fillId="13" borderId="3" xfId="5463" applyFont="1" applyFill="1" applyBorder="1" applyAlignment="1" applyProtection="1">
      <alignment horizontal="center" vertical="center"/>
    </xf>
    <xf numFmtId="0" fontId="41" fillId="13" borderId="34" xfId="5463" applyFont="1" applyFill="1" applyBorder="1" applyAlignment="1" applyProtection="1">
      <alignment horizontal="center" vertical="center"/>
    </xf>
    <xf numFmtId="0" fontId="41" fillId="3" borderId="19" xfId="5463" applyFont="1" applyFill="1" applyBorder="1" applyAlignment="1" applyProtection="1">
      <alignment horizontal="center" vertical="center"/>
    </xf>
    <xf numFmtId="0" fontId="41" fillId="13" borderId="39" xfId="5463" applyFont="1" applyFill="1" applyBorder="1" applyAlignment="1" applyProtection="1">
      <alignment horizontal="center" vertical="center"/>
    </xf>
    <xf numFmtId="4" fontId="41" fillId="13" borderId="39" xfId="5463" applyNumberFormat="1" applyFont="1" applyFill="1" applyBorder="1" applyAlignment="1" applyProtection="1">
      <alignment horizontal="center" vertical="center"/>
    </xf>
    <xf numFmtId="0" fontId="41" fillId="13" borderId="38" xfId="5463" applyFont="1" applyFill="1" applyBorder="1" applyAlignment="1" applyProtection="1">
      <alignment horizontal="center" vertical="center"/>
    </xf>
    <xf numFmtId="0" fontId="41" fillId="13" borderId="5" xfId="5463" applyFont="1" applyFill="1" applyBorder="1" applyAlignment="1" applyProtection="1">
      <alignment horizontal="center" vertical="center"/>
    </xf>
    <xf numFmtId="0" fontId="41" fillId="13" borderId="9" xfId="5463" applyFont="1" applyFill="1" applyBorder="1" applyAlignment="1" applyProtection="1">
      <alignment horizontal="center" vertical="center"/>
    </xf>
    <xf numFmtId="0" fontId="10" fillId="3" borderId="48" xfId="5463" applyFont="1" applyFill="1" applyBorder="1" applyAlignment="1">
      <alignment vertical="center"/>
    </xf>
    <xf numFmtId="0" fontId="41" fillId="13" borderId="49" xfId="5463" applyFont="1" applyFill="1" applyBorder="1" applyAlignment="1" applyProtection="1">
      <alignment horizontal="center" vertical="center"/>
    </xf>
    <xf numFmtId="4" fontId="41" fillId="13" borderId="49" xfId="5463" applyNumberFormat="1" applyFont="1" applyFill="1" applyBorder="1" applyAlignment="1" applyProtection="1">
      <alignment horizontal="center" vertical="center"/>
    </xf>
    <xf numFmtId="0" fontId="41" fillId="13" borderId="54" xfId="5463" applyFont="1" applyFill="1" applyBorder="1" applyAlignment="1" applyProtection="1">
      <alignment horizontal="center" vertical="center"/>
    </xf>
    <xf numFmtId="0" fontId="41" fillId="13" borderId="51" xfId="5463" applyFont="1" applyFill="1" applyBorder="1" applyAlignment="1" applyProtection="1">
      <alignment horizontal="center" vertical="center"/>
    </xf>
    <xf numFmtId="0" fontId="41" fillId="13" borderId="50" xfId="5463" applyFont="1" applyFill="1" applyBorder="1" applyAlignment="1" applyProtection="1">
      <alignment horizontal="center" vertical="center"/>
    </xf>
    <xf numFmtId="0" fontId="41" fillId="3" borderId="24" xfId="5463" applyFont="1" applyFill="1" applyBorder="1" applyAlignment="1">
      <alignment horizontal="center" vertical="center"/>
    </xf>
    <xf numFmtId="0" fontId="41" fillId="3" borderId="32" xfId="5463" applyFont="1" applyFill="1" applyBorder="1" applyAlignment="1" applyProtection="1">
      <alignment horizontal="right" vertical="center"/>
      <protection hidden="1"/>
    </xf>
    <xf numFmtId="235" fontId="10" fillId="11" borderId="39" xfId="5463" applyNumberFormat="1" applyFont="1" applyFill="1" applyBorder="1" applyAlignment="1" applyProtection="1">
      <alignment horizontal="right" vertical="center"/>
      <protection hidden="1"/>
    </xf>
    <xf numFmtId="0" fontId="10" fillId="11" borderId="39" xfId="5463" applyFont="1" applyFill="1" applyBorder="1" applyAlignment="1" applyProtection="1">
      <alignment horizontal="right" vertical="center"/>
      <protection hidden="1"/>
    </xf>
    <xf numFmtId="4" fontId="10" fillId="11" borderId="39" xfId="5463" applyNumberFormat="1" applyFont="1" applyFill="1" applyBorder="1" applyAlignment="1" applyProtection="1">
      <alignment horizontal="right" vertical="center"/>
      <protection hidden="1"/>
    </xf>
    <xf numFmtId="0" fontId="10" fillId="11" borderId="38" xfId="5463" applyFont="1" applyFill="1" applyBorder="1" applyAlignment="1" applyProtection="1">
      <alignment horizontal="right" vertical="center"/>
      <protection hidden="1"/>
    </xf>
    <xf numFmtId="0" fontId="41" fillId="11" borderId="5" xfId="5463" applyFont="1" applyFill="1" applyBorder="1" applyAlignment="1" applyProtection="1">
      <alignment horizontal="right" vertical="center"/>
      <protection hidden="1"/>
    </xf>
    <xf numFmtId="235" fontId="10" fillId="11" borderId="9" xfId="5463" applyNumberFormat="1" applyFont="1" applyFill="1" applyBorder="1" applyAlignment="1" applyProtection="1">
      <alignment horizontal="right" vertical="center"/>
      <protection hidden="1"/>
    </xf>
    <xf numFmtId="235" fontId="10" fillId="11" borderId="9" xfId="5463" applyNumberFormat="1" applyFont="1" applyFill="1" applyBorder="1" applyAlignment="1" applyProtection="1">
      <alignment horizontal="center" vertical="center"/>
      <protection hidden="1"/>
    </xf>
    <xf numFmtId="0" fontId="10" fillId="11" borderId="9" xfId="5463" applyFont="1" applyFill="1" applyBorder="1" applyAlignment="1" applyProtection="1">
      <alignment horizontal="right" vertical="center"/>
      <protection hidden="1"/>
    </xf>
    <xf numFmtId="0" fontId="41" fillId="11" borderId="38" xfId="5463" applyFont="1" applyFill="1" applyBorder="1" applyAlignment="1" applyProtection="1">
      <alignment horizontal="right" vertical="center"/>
      <protection hidden="1"/>
    </xf>
    <xf numFmtId="0" fontId="41" fillId="11" borderId="30" xfId="5463" applyFont="1" applyFill="1" applyBorder="1" applyAlignment="1" applyProtection="1">
      <alignment horizontal="right" vertical="center"/>
      <protection hidden="1"/>
    </xf>
    <xf numFmtId="17" fontId="41" fillId="3" borderId="32" xfId="5463" applyNumberFormat="1" applyFont="1" applyFill="1" applyBorder="1" applyAlignment="1">
      <alignment horizontal="left" vertical="center"/>
    </xf>
    <xf numFmtId="235" fontId="10" fillId="11" borderId="39" xfId="5463" applyNumberFormat="1" applyFont="1" applyFill="1" applyBorder="1" applyAlignment="1" applyProtection="1">
      <alignment horizontal="right" vertical="center"/>
    </xf>
    <xf numFmtId="235" fontId="10" fillId="11" borderId="9" xfId="5463" applyNumberFormat="1" applyFont="1" applyFill="1" applyBorder="1" applyAlignment="1" applyProtection="1">
      <alignment horizontal="right" vertical="center"/>
    </xf>
    <xf numFmtId="235" fontId="10" fillId="11" borderId="38" xfId="5463" applyNumberFormat="1" applyFont="1" applyFill="1" applyBorder="1" applyAlignment="1" applyProtection="1">
      <alignment horizontal="right" vertical="center"/>
    </xf>
    <xf numFmtId="235" fontId="41" fillId="11" borderId="5" xfId="5463" applyNumberFormat="1" applyFont="1" applyFill="1" applyBorder="1" applyAlignment="1" applyProtection="1">
      <alignment horizontal="right" vertical="center"/>
    </xf>
    <xf numFmtId="235" fontId="10" fillId="11" borderId="9" xfId="5463" applyNumberFormat="1" applyFont="1" applyFill="1" applyBorder="1" applyAlignment="1" applyProtection="1">
      <alignment horizontal="center" vertical="center"/>
    </xf>
    <xf numFmtId="235" fontId="41" fillId="11" borderId="38" xfId="5463" applyNumberFormat="1" applyFont="1" applyFill="1" applyBorder="1" applyAlignment="1" applyProtection="1">
      <alignment horizontal="right" vertical="center"/>
    </xf>
    <xf numFmtId="235" fontId="41" fillId="11" borderId="19" xfId="5463" applyNumberFormat="1" applyFont="1" applyFill="1" applyBorder="1" applyAlignment="1" applyProtection="1">
      <alignment horizontal="right" vertical="center"/>
    </xf>
    <xf numFmtId="235" fontId="10" fillId="11" borderId="0" xfId="5463" applyNumberFormat="1" applyFont="1" applyFill="1" applyAlignment="1">
      <alignment vertical="center"/>
    </xf>
    <xf numFmtId="235" fontId="10" fillId="11" borderId="0" xfId="6377" applyNumberFormat="1" applyFont="1" applyFill="1" applyAlignment="1">
      <alignment vertical="center"/>
    </xf>
    <xf numFmtId="235" fontId="10" fillId="11" borderId="39" xfId="5463" applyNumberFormat="1" applyFont="1" applyFill="1" applyBorder="1" applyAlignment="1" applyProtection="1">
      <alignment horizontal="right"/>
    </xf>
    <xf numFmtId="235" fontId="10" fillId="11" borderId="9" xfId="5463" applyNumberFormat="1" applyFont="1" applyFill="1" applyBorder="1" applyAlignment="1" applyProtection="1">
      <alignment horizontal="right"/>
    </xf>
    <xf numFmtId="235" fontId="10" fillId="11" borderId="38" xfId="5463" applyNumberFormat="1" applyFont="1" applyFill="1" applyBorder="1" applyAlignment="1" applyProtection="1">
      <alignment horizontal="right"/>
    </xf>
    <xf numFmtId="235" fontId="41" fillId="11" borderId="5" xfId="5463" applyNumberFormat="1" applyFont="1" applyFill="1" applyBorder="1" applyAlignment="1" applyProtection="1">
      <alignment horizontal="right"/>
    </xf>
    <xf numFmtId="235" fontId="10" fillId="11" borderId="9" xfId="5463" applyNumberFormat="1" applyFont="1" applyFill="1" applyBorder="1" applyAlignment="1" applyProtection="1">
      <alignment horizontal="center"/>
    </xf>
    <xf numFmtId="235" fontId="41" fillId="11" borderId="38" xfId="5463" applyNumberFormat="1" applyFont="1" applyFill="1" applyBorder="1" applyAlignment="1" applyProtection="1">
      <alignment horizontal="right"/>
    </xf>
    <xf numFmtId="0" fontId="10" fillId="11" borderId="0" xfId="6377" applyFont="1" applyFill="1"/>
    <xf numFmtId="235" fontId="168" fillId="11" borderId="39" xfId="5463" applyNumberFormat="1" applyFont="1" applyFill="1" applyBorder="1" applyAlignment="1" applyProtection="1">
      <alignment horizontal="right"/>
    </xf>
    <xf numFmtId="235" fontId="168" fillId="11" borderId="9" xfId="5463" applyNumberFormat="1" applyFont="1" applyFill="1" applyBorder="1" applyAlignment="1" applyProtection="1">
      <alignment horizontal="right"/>
    </xf>
    <xf numFmtId="235" fontId="168" fillId="11" borderId="38" xfId="5463" applyNumberFormat="1" applyFont="1" applyFill="1" applyBorder="1" applyAlignment="1" applyProtection="1">
      <alignment horizontal="right"/>
    </xf>
    <xf numFmtId="235" fontId="273" fillId="11" borderId="5" xfId="5463" applyNumberFormat="1" applyFont="1" applyFill="1" applyBorder="1" applyAlignment="1" applyProtection="1">
      <alignment horizontal="right"/>
    </xf>
    <xf numFmtId="235" fontId="168" fillId="11" borderId="9" xfId="5463" applyNumberFormat="1" applyFont="1" applyFill="1" applyBorder="1" applyAlignment="1" applyProtection="1">
      <alignment horizontal="center"/>
    </xf>
    <xf numFmtId="235" fontId="273" fillId="11" borderId="38" xfId="5463" applyNumberFormat="1" applyFont="1" applyFill="1" applyBorder="1" applyAlignment="1" applyProtection="1">
      <alignment horizontal="right"/>
    </xf>
    <xf numFmtId="235" fontId="273" fillId="11" borderId="19" xfId="5463" applyNumberFormat="1" applyFont="1" applyFill="1" applyBorder="1" applyAlignment="1" applyProtection="1">
      <alignment horizontal="right" vertical="center"/>
    </xf>
    <xf numFmtId="169" fontId="10" fillId="11" borderId="9" xfId="6377" applyNumberFormat="1" applyFont="1" applyFill="1" applyBorder="1" applyAlignment="1">
      <alignment horizontal="center" vertical="center"/>
    </xf>
    <xf numFmtId="169" fontId="10" fillId="11" borderId="9" xfId="6377" applyNumberFormat="1" applyFont="1" applyFill="1" applyBorder="1" applyAlignment="1">
      <alignment vertical="center"/>
    </xf>
    <xf numFmtId="235" fontId="273" fillId="11" borderId="37" xfId="5463" applyNumberFormat="1" applyFont="1" applyFill="1" applyBorder="1" applyAlignment="1" applyProtection="1">
      <alignment horizontal="right"/>
    </xf>
    <xf numFmtId="235" fontId="10" fillId="11" borderId="9" xfId="6377" applyNumberFormat="1" applyFont="1" applyFill="1" applyBorder="1" applyAlignment="1">
      <alignment horizontal="center" vertical="center"/>
    </xf>
    <xf numFmtId="235" fontId="10" fillId="11" borderId="9" xfId="6377" applyNumberFormat="1" applyFont="1" applyFill="1" applyBorder="1" applyAlignment="1">
      <alignment vertical="center"/>
    </xf>
    <xf numFmtId="235" fontId="168" fillId="11" borderId="39" xfId="5463" applyNumberFormat="1" applyFont="1" applyFill="1" applyBorder="1" applyAlignment="1" applyProtection="1">
      <alignment horizontal="center"/>
    </xf>
    <xf numFmtId="39" fontId="10" fillId="11" borderId="0" xfId="6377" applyNumberFormat="1" applyFont="1" applyFill="1" applyAlignment="1">
      <alignment vertical="center"/>
    </xf>
    <xf numFmtId="1" fontId="41" fillId="11" borderId="0" xfId="6377" applyNumberFormat="1" applyFont="1" applyFill="1" applyAlignment="1">
      <alignment vertical="center"/>
    </xf>
    <xf numFmtId="169" fontId="10" fillId="11" borderId="0" xfId="6377" applyNumberFormat="1" applyFont="1" applyFill="1" applyAlignment="1">
      <alignment horizontal="center" vertical="center"/>
    </xf>
    <xf numFmtId="17" fontId="41" fillId="3" borderId="32" xfId="5463" applyNumberFormat="1" applyFont="1" applyFill="1" applyBorder="1" applyAlignment="1">
      <alignment horizontal="left"/>
    </xf>
    <xf numFmtId="235" fontId="168" fillId="0" borderId="39" xfId="5463" applyNumberFormat="1" applyFont="1" applyFill="1" applyBorder="1" applyAlignment="1" applyProtection="1">
      <alignment horizontal="center"/>
    </xf>
    <xf numFmtId="17" fontId="41" fillId="3" borderId="48" xfId="5463" applyNumberFormat="1" applyFont="1" applyFill="1" applyBorder="1" applyAlignment="1">
      <alignment horizontal="left" vertical="center"/>
    </xf>
    <xf numFmtId="235" fontId="10" fillId="11" borderId="49" xfId="5463" applyNumberFormat="1" applyFont="1" applyFill="1" applyBorder="1" applyAlignment="1" applyProtection="1">
      <alignment horizontal="right" vertical="center"/>
    </xf>
    <xf numFmtId="235" fontId="10" fillId="11" borderId="50" xfId="5463" applyNumberFormat="1" applyFont="1" applyFill="1" applyBorder="1" applyAlignment="1" applyProtection="1">
      <alignment horizontal="right" vertical="center"/>
    </xf>
    <xf numFmtId="235" fontId="10" fillId="11" borderId="54" xfId="5463" applyNumberFormat="1" applyFont="1" applyFill="1" applyBorder="1" applyAlignment="1" applyProtection="1">
      <alignment horizontal="right" vertical="center"/>
    </xf>
    <xf numFmtId="235" fontId="273" fillId="11" borderId="53" xfId="5463" applyNumberFormat="1" applyFont="1" applyFill="1" applyBorder="1" applyAlignment="1" applyProtection="1">
      <alignment horizontal="right"/>
    </xf>
    <xf numFmtId="235" fontId="273" fillId="11" borderId="54" xfId="5463" applyNumberFormat="1" applyFont="1" applyFill="1" applyBorder="1" applyAlignment="1" applyProtection="1">
      <alignment horizontal="right"/>
    </xf>
    <xf numFmtId="235" fontId="273" fillId="11" borderId="53" xfId="5463" applyNumberFormat="1" applyFont="1" applyFill="1" applyBorder="1" applyAlignment="1" applyProtection="1">
      <alignment horizontal="right" vertical="center"/>
    </xf>
    <xf numFmtId="0" fontId="49" fillId="11" borderId="0" xfId="5463" applyFont="1" applyFill="1" applyAlignment="1"/>
    <xf numFmtId="235" fontId="10" fillId="11" borderId="0" xfId="5463" applyNumberFormat="1" applyFont="1" applyFill="1" applyBorder="1" applyAlignment="1" applyProtection="1">
      <alignment horizontal="right"/>
    </xf>
    <xf numFmtId="235" fontId="273" fillId="11" borderId="16" xfId="5463" applyNumberFormat="1" applyFont="1" applyFill="1" applyBorder="1" applyAlignment="1" applyProtection="1">
      <alignment horizontal="right"/>
    </xf>
    <xf numFmtId="235" fontId="10" fillId="11" borderId="16" xfId="5463" applyNumberFormat="1" applyFont="1" applyFill="1" applyBorder="1" applyAlignment="1" applyProtection="1">
      <alignment horizontal="right"/>
    </xf>
    <xf numFmtId="0" fontId="10" fillId="11" borderId="0" xfId="5463" applyFont="1" applyFill="1" applyAlignment="1"/>
    <xf numFmtId="254" fontId="10" fillId="11" borderId="0" xfId="6377" applyNumberFormat="1" applyFont="1" applyFill="1" applyAlignment="1"/>
    <xf numFmtId="235" fontId="10" fillId="11" borderId="0" xfId="6377" applyNumberFormat="1" applyFont="1" applyFill="1" applyAlignment="1"/>
    <xf numFmtId="0" fontId="10" fillId="11" borderId="0" xfId="6377" applyFont="1" applyFill="1" applyAlignment="1"/>
    <xf numFmtId="0" fontId="49" fillId="11" borderId="0" xfId="5463" applyFont="1" applyFill="1" applyAlignment="1">
      <alignment vertical="center"/>
    </xf>
    <xf numFmtId="2" fontId="10" fillId="11" borderId="0" xfId="6377" applyNumberFormat="1" applyFont="1" applyFill="1" applyAlignment="1">
      <alignment vertical="center"/>
    </xf>
    <xf numFmtId="169" fontId="10" fillId="11" borderId="0" xfId="6377" applyNumberFormat="1" applyFont="1" applyFill="1" applyAlignment="1">
      <alignment vertical="center"/>
    </xf>
    <xf numFmtId="4" fontId="10" fillId="11" borderId="0" xfId="6377" applyNumberFormat="1" applyFont="1" applyFill="1" applyAlignment="1">
      <alignment vertical="center"/>
    </xf>
    <xf numFmtId="2" fontId="10" fillId="11" borderId="0" xfId="6377" applyNumberFormat="1" applyFont="1" applyFill="1" applyAlignment="1">
      <alignment horizontal="center" vertical="center"/>
    </xf>
    <xf numFmtId="172" fontId="10" fillId="11" borderId="0" xfId="6377" applyNumberFormat="1" applyFont="1" applyFill="1" applyAlignment="1">
      <alignment vertical="center"/>
    </xf>
    <xf numFmtId="39" fontId="273" fillId="11" borderId="0" xfId="5463" applyNumberFormat="1" applyFont="1" applyFill="1" applyBorder="1" applyAlignment="1" applyProtection="1">
      <alignment horizontal="right"/>
    </xf>
    <xf numFmtId="255" fontId="273" fillId="11" borderId="0" xfId="5463" applyNumberFormat="1" applyFont="1" applyFill="1" applyBorder="1" applyAlignment="1" applyProtection="1">
      <alignment horizontal="right" vertical="center"/>
    </xf>
    <xf numFmtId="0" fontId="49" fillId="11" borderId="0" xfId="6377" applyFont="1" applyFill="1" applyAlignment="1">
      <alignment vertical="center"/>
    </xf>
    <xf numFmtId="0" fontId="10" fillId="11" borderId="0" xfId="6377" applyFont="1" applyFill="1" applyAlignment="1">
      <alignment horizontal="center" vertical="center"/>
    </xf>
    <xf numFmtId="0" fontId="41" fillId="11" borderId="0" xfId="6377" applyFont="1" applyFill="1" applyAlignment="1">
      <alignment vertical="center"/>
    </xf>
    <xf numFmtId="167" fontId="10" fillId="11" borderId="0" xfId="6377" applyNumberFormat="1" applyFont="1" applyFill="1" applyAlignment="1">
      <alignment vertical="center"/>
    </xf>
    <xf numFmtId="4" fontId="94" fillId="11" borderId="0" xfId="6377" applyNumberFormat="1" applyFont="1" applyFill="1" applyAlignment="1">
      <alignment vertical="center"/>
    </xf>
    <xf numFmtId="3" fontId="41" fillId="11" borderId="0" xfId="6377" applyNumberFormat="1" applyFont="1" applyFill="1" applyAlignment="1">
      <alignment vertical="center"/>
    </xf>
    <xf numFmtId="2" fontId="41" fillId="11" borderId="0" xfId="6377" applyNumberFormat="1" applyFont="1" applyFill="1" applyAlignment="1">
      <alignment vertical="center"/>
    </xf>
    <xf numFmtId="17" fontId="10" fillId="11" borderId="0" xfId="6377" applyNumberFormat="1" applyFont="1" applyFill="1" applyAlignment="1">
      <alignment vertical="center"/>
    </xf>
    <xf numFmtId="0" fontId="18" fillId="11" borderId="0" xfId="5615" applyFont="1" applyFill="1" applyAlignment="1">
      <alignment vertical="center"/>
    </xf>
    <xf numFmtId="0" fontId="41" fillId="11" borderId="0" xfId="5615" applyFont="1" applyFill="1" applyAlignment="1">
      <alignment vertical="center"/>
    </xf>
    <xf numFmtId="0" fontId="41" fillId="11" borderId="0" xfId="5615" applyFont="1" applyFill="1" applyBorder="1" applyAlignment="1">
      <alignment vertical="center"/>
    </xf>
    <xf numFmtId="0" fontId="41" fillId="11" borderId="177" xfId="5615" applyFont="1" applyFill="1" applyBorder="1" applyAlignment="1">
      <alignment vertical="center"/>
    </xf>
    <xf numFmtId="0" fontId="10" fillId="11" borderId="0" xfId="5615" applyFont="1" applyFill="1" applyAlignment="1">
      <alignment horizontal="centerContinuous" vertical="center"/>
    </xf>
    <xf numFmtId="0" fontId="10" fillId="11" borderId="0" xfId="5615" applyFont="1" applyFill="1" applyAlignment="1">
      <alignment vertical="center"/>
    </xf>
    <xf numFmtId="0" fontId="274" fillId="11" borderId="0" xfId="5615" applyFont="1" applyFill="1" applyBorder="1" applyAlignment="1">
      <alignment vertical="center"/>
    </xf>
    <xf numFmtId="0" fontId="49" fillId="11" borderId="0" xfId="5615" applyFont="1" applyFill="1" applyAlignment="1">
      <alignment horizontal="centerContinuous" vertical="center"/>
    </xf>
    <xf numFmtId="0" fontId="34" fillId="15" borderId="179" xfId="5615" applyFont="1" applyFill="1" applyBorder="1" applyAlignment="1">
      <alignment horizontal="center" vertical="center"/>
    </xf>
    <xf numFmtId="0" fontId="34" fillId="15" borderId="180" xfId="5615" applyFont="1" applyFill="1" applyBorder="1" applyAlignment="1">
      <alignment horizontal="center" vertical="center"/>
    </xf>
    <xf numFmtId="3" fontId="10" fillId="11" borderId="0" xfId="5615" applyNumberFormat="1" applyFont="1" applyFill="1" applyBorder="1" applyAlignment="1">
      <alignment vertical="center"/>
    </xf>
    <xf numFmtId="0" fontId="10" fillId="15" borderId="12" xfId="5615" applyFont="1" applyFill="1" applyBorder="1" applyAlignment="1">
      <alignment vertical="center"/>
    </xf>
    <xf numFmtId="0" fontId="41" fillId="15" borderId="14" xfId="5615" applyFont="1" applyFill="1" applyBorder="1" applyAlignment="1">
      <alignment vertical="center"/>
    </xf>
    <xf numFmtId="15" fontId="34" fillId="100" borderId="178" xfId="5615" applyNumberFormat="1" applyFont="1" applyFill="1" applyBorder="1" applyAlignment="1">
      <alignment horizontal="center" vertical="center"/>
    </xf>
    <xf numFmtId="17" fontId="34" fillId="100" borderId="179" xfId="5615" applyNumberFormat="1" applyFont="1" applyFill="1" applyBorder="1" applyAlignment="1">
      <alignment horizontal="center" vertical="center"/>
    </xf>
    <xf numFmtId="17" fontId="34" fillId="100" borderId="180" xfId="5615" applyNumberFormat="1" applyFont="1" applyFill="1" applyBorder="1" applyAlignment="1">
      <alignment horizontal="center" vertical="center"/>
    </xf>
    <xf numFmtId="0" fontId="10" fillId="11" borderId="0" xfId="5615" applyFont="1" applyFill="1" applyBorder="1" applyAlignment="1">
      <alignment vertical="center"/>
    </xf>
    <xf numFmtId="0" fontId="10" fillId="15" borderId="4" xfId="5615" applyFont="1" applyFill="1" applyBorder="1" applyAlignment="1">
      <alignment vertical="center"/>
    </xf>
    <xf numFmtId="0" fontId="41" fillId="15" borderId="0" xfId="5615" applyFont="1" applyFill="1" applyBorder="1" applyAlignment="1">
      <alignment vertical="center"/>
    </xf>
    <xf numFmtId="15" fontId="41" fillId="11" borderId="181" xfId="5615" applyNumberFormat="1" applyFont="1" applyFill="1" applyBorder="1" applyAlignment="1">
      <alignment horizontal="center" vertical="center"/>
    </xf>
    <xf numFmtId="15" fontId="41" fillId="11" borderId="1" xfId="5615" applyNumberFormat="1" applyFont="1" applyFill="1" applyBorder="1" applyAlignment="1">
      <alignment horizontal="center" vertical="center"/>
    </xf>
    <xf numFmtId="3" fontId="10" fillId="11" borderId="1" xfId="5615" applyNumberFormat="1" applyFont="1" applyFill="1" applyBorder="1" applyAlignment="1">
      <alignment vertical="center"/>
    </xf>
    <xf numFmtId="3" fontId="10" fillId="11" borderId="4" xfId="5615" applyNumberFormat="1" applyFont="1" applyFill="1" applyBorder="1" applyAlignment="1">
      <alignment vertical="center"/>
    </xf>
    <xf numFmtId="3" fontId="10" fillId="11" borderId="182" xfId="5615" applyNumberFormat="1" applyFont="1" applyFill="1" applyBorder="1" applyAlignment="1">
      <alignment vertical="center"/>
    </xf>
    <xf numFmtId="256" fontId="41" fillId="15" borderId="4" xfId="5615" applyNumberFormat="1" applyFont="1" applyFill="1" applyBorder="1" applyAlignment="1">
      <alignment horizontal="center" vertical="center"/>
    </xf>
    <xf numFmtId="1" fontId="41" fillId="15" borderId="0" xfId="5615" applyNumberFormat="1" applyFont="1" applyFill="1" applyBorder="1" applyAlignment="1">
      <alignment vertical="center"/>
    </xf>
    <xf numFmtId="3" fontId="19" fillId="11" borderId="4" xfId="5615" applyNumberFormat="1" applyFont="1" applyFill="1" applyBorder="1" applyAlignment="1">
      <alignment vertical="center"/>
    </xf>
    <xf numFmtId="3" fontId="19" fillId="11" borderId="37" xfId="5615" applyNumberFormat="1" applyFont="1" applyFill="1" applyBorder="1" applyAlignment="1">
      <alignment horizontal="right" vertical="center"/>
    </xf>
    <xf numFmtId="3" fontId="19" fillId="11" borderId="182" xfId="5615" applyNumberFormat="1" applyFont="1" applyFill="1" applyBorder="1" applyAlignment="1">
      <alignment horizontal="right" vertical="center"/>
    </xf>
    <xf numFmtId="3" fontId="10" fillId="11" borderId="0" xfId="5615" applyNumberFormat="1" applyFont="1" applyFill="1" applyBorder="1" applyAlignment="1">
      <alignment horizontal="right" vertical="center"/>
    </xf>
    <xf numFmtId="257" fontId="41" fillId="15" borderId="0" xfId="5615" applyNumberFormat="1" applyFont="1" applyFill="1" applyBorder="1" applyAlignment="1">
      <alignment vertical="center"/>
    </xf>
    <xf numFmtId="252" fontId="10" fillId="11" borderId="0" xfId="5615" applyNumberFormat="1" applyFont="1" applyFill="1" applyBorder="1" applyAlignment="1">
      <alignment horizontal="right" vertical="center"/>
    </xf>
    <xf numFmtId="212" fontId="19" fillId="11" borderId="37" xfId="5615" applyNumberFormat="1" applyFont="1" applyFill="1" applyBorder="1" applyAlignment="1">
      <alignment horizontal="right" vertical="center"/>
    </xf>
    <xf numFmtId="252" fontId="19" fillId="11" borderId="4" xfId="5615" applyNumberFormat="1" applyFont="1" applyFill="1" applyBorder="1" applyAlignment="1">
      <alignment horizontal="right" vertical="center"/>
    </xf>
    <xf numFmtId="252" fontId="19" fillId="11" borderId="182" xfId="5615" applyNumberFormat="1" applyFont="1" applyFill="1" applyBorder="1" applyAlignment="1">
      <alignment horizontal="right" vertical="center"/>
    </xf>
    <xf numFmtId="256" fontId="41" fillId="15" borderId="12" xfId="5615" applyNumberFormat="1" applyFont="1" applyFill="1" applyBorder="1" applyAlignment="1">
      <alignment horizontal="center" vertical="center"/>
    </xf>
    <xf numFmtId="1" fontId="10" fillId="15" borderId="13" xfId="5615" applyNumberFormat="1" applyFont="1" applyFill="1" applyBorder="1" applyAlignment="1">
      <alignment vertical="center"/>
    </xf>
    <xf numFmtId="3" fontId="10" fillId="11" borderId="87" xfId="5615" applyNumberFormat="1" applyFont="1" applyFill="1" applyBorder="1" applyAlignment="1">
      <alignment horizontal="right" vertical="center"/>
    </xf>
    <xf numFmtId="3" fontId="10" fillId="11" borderId="12" xfId="5615" applyNumberFormat="1" applyFont="1" applyFill="1" applyBorder="1" applyAlignment="1">
      <alignment horizontal="right" vertical="center"/>
    </xf>
    <xf numFmtId="3" fontId="10" fillId="11" borderId="183" xfId="5615" applyNumberFormat="1" applyFont="1" applyFill="1" applyBorder="1" applyAlignment="1">
      <alignment horizontal="right" vertical="center"/>
    </xf>
    <xf numFmtId="3" fontId="275" fillId="11" borderId="0" xfId="5615" applyNumberFormat="1" applyFont="1" applyFill="1" applyBorder="1" applyAlignment="1">
      <alignment horizontal="right" vertical="center"/>
    </xf>
    <xf numFmtId="0" fontId="49" fillId="11" borderId="0" xfId="5615" applyFont="1" applyFill="1" applyAlignment="1">
      <alignment vertical="center"/>
    </xf>
    <xf numFmtId="3" fontId="10" fillId="11" borderId="2" xfId="5615" applyNumberFormat="1" applyFont="1" applyFill="1" applyBorder="1" applyAlignment="1">
      <alignment vertical="center"/>
    </xf>
    <xf numFmtId="0" fontId="10" fillId="11" borderId="0" xfId="5615" applyFont="1" applyFill="1" applyAlignment="1">
      <alignment horizontal="right" vertical="center"/>
    </xf>
    <xf numFmtId="0" fontId="49" fillId="11" borderId="0" xfId="5615" applyFont="1" applyFill="1" applyBorder="1" applyAlignment="1">
      <alignment vertical="center"/>
    </xf>
    <xf numFmtId="0" fontId="10" fillId="11" borderId="23" xfId="5615" applyFont="1" applyFill="1" applyBorder="1" applyAlignment="1">
      <alignment vertical="center"/>
    </xf>
    <xf numFmtId="0" fontId="10" fillId="105" borderId="15" xfId="5615" applyFont="1" applyFill="1" applyBorder="1" applyAlignment="1">
      <alignment horizontal="right" vertical="center"/>
    </xf>
    <xf numFmtId="0" fontId="10" fillId="105" borderId="16" xfId="5615" applyFont="1" applyFill="1" applyBorder="1" applyAlignment="1">
      <alignment horizontal="right" vertical="center"/>
    </xf>
    <xf numFmtId="17" fontId="34" fillId="105" borderId="184" xfId="5615" applyNumberFormat="1" applyFont="1" applyFill="1" applyBorder="1" applyAlignment="1">
      <alignment horizontal="center" vertical="center"/>
    </xf>
    <xf numFmtId="0" fontId="49" fillId="105" borderId="185" xfId="5615" applyFont="1" applyFill="1" applyBorder="1" applyAlignment="1">
      <alignment horizontal="right" vertical="center"/>
    </xf>
    <xf numFmtId="0" fontId="10" fillId="105" borderId="18" xfId="5615" applyFont="1" applyFill="1" applyBorder="1" applyAlignment="1">
      <alignment horizontal="right" vertical="center"/>
    </xf>
    <xf numFmtId="0" fontId="10" fillId="105" borderId="29" xfId="5615" applyFont="1" applyFill="1" applyBorder="1" applyAlignment="1">
      <alignment horizontal="right" vertical="center"/>
    </xf>
    <xf numFmtId="0" fontId="10" fillId="11" borderId="30" xfId="5615" applyFont="1" applyFill="1" applyBorder="1" applyAlignment="1">
      <alignment vertical="center"/>
    </xf>
    <xf numFmtId="0" fontId="10" fillId="11" borderId="16" xfId="5615" applyFont="1" applyFill="1" applyBorder="1" applyAlignment="1">
      <alignment vertical="center"/>
    </xf>
    <xf numFmtId="256" fontId="41" fillId="105" borderId="18" xfId="5615" applyNumberFormat="1" applyFont="1" applyFill="1" applyBorder="1" applyAlignment="1">
      <alignment horizontal="center" vertical="center"/>
    </xf>
    <xf numFmtId="0" fontId="41" fillId="105" borderId="5" xfId="5615" applyFont="1" applyFill="1" applyBorder="1" applyAlignment="1">
      <alignment vertical="center"/>
    </xf>
    <xf numFmtId="3" fontId="43" fillId="11" borderId="37" xfId="5615" applyNumberFormat="1" applyFont="1" applyFill="1" applyBorder="1" applyAlignment="1">
      <alignment horizontal="right" vertical="center"/>
    </xf>
    <xf numFmtId="0" fontId="10" fillId="105" borderId="18" xfId="5615" applyFont="1" applyFill="1" applyBorder="1" applyAlignment="1">
      <alignment vertical="center"/>
    </xf>
    <xf numFmtId="0" fontId="19" fillId="11" borderId="37" xfId="5615" applyFont="1" applyFill="1" applyBorder="1" applyAlignment="1">
      <alignment horizontal="right" vertical="center"/>
    </xf>
    <xf numFmtId="38" fontId="43" fillId="11" borderId="37" xfId="5615" applyNumberFormat="1" applyFont="1" applyFill="1" applyBorder="1" applyAlignment="1">
      <alignment vertical="center"/>
    </xf>
    <xf numFmtId="0" fontId="41" fillId="105" borderId="5" xfId="5615" quotePrefix="1" applyFont="1" applyFill="1" applyBorder="1" applyAlignment="1">
      <alignment horizontal="left" vertical="center"/>
    </xf>
    <xf numFmtId="38" fontId="19" fillId="11" borderId="37" xfId="1" applyNumberFormat="1" applyFont="1" applyFill="1" applyBorder="1" applyAlignment="1">
      <alignment horizontal="right" vertical="center"/>
    </xf>
    <xf numFmtId="38" fontId="43" fillId="11" borderId="37" xfId="1" applyNumberFormat="1" applyFont="1" applyFill="1" applyBorder="1" applyAlignment="1">
      <alignment horizontal="right" vertical="center"/>
    </xf>
    <xf numFmtId="38" fontId="43" fillId="11" borderId="37" xfId="5615" applyNumberFormat="1" applyFont="1" applyFill="1" applyBorder="1" applyAlignment="1">
      <alignment horizontal="right" vertical="center"/>
    </xf>
    <xf numFmtId="0" fontId="41" fillId="105" borderId="5" xfId="5615" applyFont="1" applyFill="1" applyBorder="1" applyAlignment="1">
      <alignment horizontal="left" vertical="center"/>
    </xf>
    <xf numFmtId="0" fontId="10" fillId="11" borderId="37" xfId="5615" applyFont="1" applyFill="1" applyBorder="1" applyAlignment="1">
      <alignment vertical="center"/>
    </xf>
    <xf numFmtId="0" fontId="41" fillId="105" borderId="14" xfId="5615" applyFont="1" applyFill="1" applyBorder="1" applyAlignment="1">
      <alignment vertical="center"/>
    </xf>
    <xf numFmtId="0" fontId="49" fillId="105" borderId="188" xfId="5615" applyFont="1" applyFill="1" applyBorder="1" applyAlignment="1">
      <alignment vertical="center"/>
    </xf>
    <xf numFmtId="0" fontId="41" fillId="105" borderId="2" xfId="5615" applyFont="1" applyFill="1" applyBorder="1" applyAlignment="1">
      <alignment vertical="center"/>
    </xf>
    <xf numFmtId="0" fontId="19" fillId="11" borderId="181" xfId="5615" applyFont="1" applyFill="1" applyBorder="1" applyAlignment="1">
      <alignment vertical="center"/>
    </xf>
    <xf numFmtId="0" fontId="19" fillId="11" borderId="5" xfId="5615" applyFont="1" applyFill="1" applyBorder="1" applyAlignment="1">
      <alignment vertical="center"/>
    </xf>
    <xf numFmtId="0" fontId="19" fillId="11" borderId="37" xfId="5615" applyFont="1" applyFill="1" applyBorder="1" applyAlignment="1">
      <alignment vertical="center"/>
    </xf>
    <xf numFmtId="0" fontId="41" fillId="105" borderId="0" xfId="5615" quotePrefix="1" applyFont="1" applyFill="1" applyBorder="1" applyAlignment="1">
      <alignment horizontal="left" vertical="center"/>
    </xf>
    <xf numFmtId="2" fontId="19" fillId="11" borderId="37" xfId="5615" applyNumberFormat="1" applyFont="1" applyFill="1" applyBorder="1" applyAlignment="1">
      <alignment vertical="center"/>
    </xf>
    <xf numFmtId="2" fontId="19" fillId="11" borderId="37" xfId="5615" applyNumberFormat="1" applyFont="1" applyFill="1" applyBorder="1" applyAlignment="1">
      <alignment horizontal="right" vertical="center"/>
    </xf>
    <xf numFmtId="0" fontId="41" fillId="105" borderId="0" xfId="5615" applyFont="1" applyFill="1" applyBorder="1" applyAlignment="1">
      <alignment vertical="center"/>
    </xf>
    <xf numFmtId="0" fontId="10" fillId="105" borderId="190" xfId="5615" applyFont="1" applyFill="1" applyBorder="1" applyAlignment="1">
      <alignment vertical="center"/>
    </xf>
    <xf numFmtId="0" fontId="10" fillId="105" borderId="13" xfId="5615" applyFont="1" applyFill="1" applyBorder="1" applyAlignment="1">
      <alignment vertical="center"/>
    </xf>
    <xf numFmtId="0" fontId="10" fillId="11" borderId="87" xfId="5615" applyFont="1" applyFill="1" applyBorder="1" applyAlignment="1">
      <alignment vertical="center"/>
    </xf>
    <xf numFmtId="0" fontId="10" fillId="11" borderId="14" xfId="5615" applyFont="1" applyFill="1" applyBorder="1" applyAlignment="1">
      <alignment vertical="center"/>
    </xf>
    <xf numFmtId="0" fontId="145" fillId="11" borderId="0" xfId="5615" applyFont="1" applyFill="1" applyAlignment="1">
      <alignment vertical="center"/>
    </xf>
    <xf numFmtId="0" fontId="19" fillId="11" borderId="0" xfId="5615" applyFont="1" applyFill="1" applyAlignment="1">
      <alignment vertical="center"/>
    </xf>
    <xf numFmtId="0" fontId="19" fillId="11" borderId="0" xfId="5615" applyFont="1" applyFill="1" applyBorder="1" applyAlignment="1">
      <alignment vertical="center"/>
    </xf>
    <xf numFmtId="0" fontId="19" fillId="11" borderId="2" xfId="5615" applyFont="1" applyFill="1" applyBorder="1" applyAlignment="1">
      <alignment vertical="center"/>
    </xf>
    <xf numFmtId="0" fontId="145" fillId="11" borderId="0" xfId="5615" applyFont="1" applyFill="1" applyBorder="1" applyAlignment="1">
      <alignment vertical="center"/>
    </xf>
    <xf numFmtId="0" fontId="10" fillId="11" borderId="177" xfId="5615" applyFont="1" applyFill="1" applyBorder="1" applyAlignment="1">
      <alignment vertical="center"/>
    </xf>
    <xf numFmtId="0" fontId="18" fillId="11" borderId="0" xfId="5613" applyFont="1" applyFill="1" applyAlignment="1">
      <alignment vertical="top"/>
    </xf>
    <xf numFmtId="0" fontId="10" fillId="11" borderId="0" xfId="5613" applyFont="1" applyFill="1" applyBorder="1" applyAlignment="1">
      <alignment vertical="center"/>
    </xf>
    <xf numFmtId="0" fontId="41" fillId="11" borderId="0" xfId="5613" applyFont="1" applyFill="1" applyBorder="1" applyAlignment="1">
      <alignment vertical="center"/>
    </xf>
    <xf numFmtId="0" fontId="10" fillId="11" borderId="0" xfId="5613" applyFont="1" applyFill="1" applyAlignment="1">
      <alignment vertical="center"/>
    </xf>
    <xf numFmtId="0" fontId="41" fillId="106" borderId="1" xfId="5613" applyFont="1" applyFill="1" applyBorder="1" applyAlignment="1">
      <alignment vertical="center"/>
    </xf>
    <xf numFmtId="0" fontId="41" fillId="106" borderId="3" xfId="5613" applyFont="1" applyFill="1" applyBorder="1" applyAlignment="1">
      <alignment horizontal="center" vertical="center"/>
    </xf>
    <xf numFmtId="15" fontId="41" fillId="11" borderId="0" xfId="5613" applyNumberFormat="1" applyFont="1" applyFill="1" applyBorder="1" applyAlignment="1">
      <alignment horizontal="center" vertical="center"/>
    </xf>
    <xf numFmtId="0" fontId="41" fillId="106" borderId="12" xfId="5613" applyFont="1" applyFill="1" applyBorder="1" applyAlignment="1">
      <alignment vertical="center"/>
    </xf>
    <xf numFmtId="0" fontId="41" fillId="106" borderId="14" xfId="5613" applyFont="1" applyFill="1" applyBorder="1" applyAlignment="1">
      <alignment vertical="center"/>
    </xf>
    <xf numFmtId="15" fontId="43" fillId="100" borderId="178" xfId="5613" applyNumberFormat="1" applyFont="1" applyFill="1" applyBorder="1" applyAlignment="1">
      <alignment horizontal="center" vertical="center"/>
    </xf>
    <xf numFmtId="15" fontId="43" fillId="100" borderId="74" xfId="5613" applyNumberFormat="1" applyFont="1" applyFill="1" applyBorder="1" applyAlignment="1">
      <alignment horizontal="center" vertical="center"/>
    </xf>
    <xf numFmtId="0" fontId="41" fillId="14" borderId="4" xfId="5613" applyFont="1" applyFill="1" applyBorder="1" applyAlignment="1">
      <alignment vertical="center"/>
    </xf>
    <xf numFmtId="0" fontId="41" fillId="14" borderId="0" xfId="5613" applyFont="1" applyFill="1" applyBorder="1" applyAlignment="1">
      <alignment vertical="center"/>
    </xf>
    <xf numFmtId="15" fontId="43" fillId="11" borderId="181" xfId="5613" applyNumberFormat="1" applyFont="1" applyFill="1" applyBorder="1" applyAlignment="1">
      <alignment vertical="center"/>
    </xf>
    <xf numFmtId="15" fontId="43" fillId="11" borderId="3" xfId="5613" applyNumberFormat="1" applyFont="1" applyFill="1" applyBorder="1" applyAlignment="1">
      <alignment vertical="center"/>
    </xf>
    <xf numFmtId="15" fontId="41" fillId="11" borderId="0" xfId="5613" applyNumberFormat="1" applyFont="1" applyFill="1" applyBorder="1" applyAlignment="1">
      <alignment vertical="center"/>
    </xf>
    <xf numFmtId="256" fontId="41" fillId="106" borderId="4" xfId="5613" applyNumberFormat="1" applyFont="1" applyFill="1" applyBorder="1" applyAlignment="1">
      <alignment horizontal="center" vertical="center"/>
    </xf>
    <xf numFmtId="0" fontId="43" fillId="106" borderId="0" xfId="5613" applyFont="1" applyFill="1" applyBorder="1" applyAlignment="1">
      <alignment vertical="center"/>
    </xf>
    <xf numFmtId="15" fontId="43" fillId="11" borderId="37" xfId="5613" applyNumberFormat="1" applyFont="1" applyFill="1" applyBorder="1" applyAlignment="1">
      <alignment vertical="center"/>
    </xf>
    <xf numFmtId="15" fontId="43" fillId="11" borderId="5" xfId="5613" applyNumberFormat="1" applyFont="1" applyFill="1" applyBorder="1" applyAlignment="1">
      <alignment vertical="center"/>
    </xf>
    <xf numFmtId="0" fontId="41" fillId="106" borderId="4" xfId="5613" applyFont="1" applyFill="1" applyBorder="1" applyAlignment="1">
      <alignment vertical="center"/>
    </xf>
    <xf numFmtId="0" fontId="43" fillId="106" borderId="0" xfId="5613" applyFont="1" applyFill="1" applyBorder="1" applyAlignment="1">
      <alignment horizontal="left" vertical="center"/>
    </xf>
    <xf numFmtId="2" fontId="19" fillId="11" borderId="37" xfId="5613" applyNumberFormat="1" applyFont="1" applyFill="1" applyBorder="1" applyAlignment="1">
      <alignment horizontal="center" vertical="center"/>
    </xf>
    <xf numFmtId="2" fontId="19" fillId="11" borderId="5" xfId="5613" applyNumberFormat="1" applyFont="1" applyFill="1" applyBorder="1" applyAlignment="1">
      <alignment horizontal="center" vertical="center"/>
    </xf>
    <xf numFmtId="2" fontId="10" fillId="11" borderId="0" xfId="5613" applyNumberFormat="1" applyFont="1" applyFill="1" applyBorder="1" applyAlignment="1">
      <alignment horizontal="center" vertical="center"/>
    </xf>
    <xf numFmtId="0" fontId="41" fillId="106" borderId="12" xfId="5613" applyFont="1" applyFill="1" applyBorder="1" applyAlignment="1">
      <alignment horizontal="center" vertical="center"/>
    </xf>
    <xf numFmtId="0" fontId="41" fillId="106" borderId="13" xfId="5613" applyFont="1" applyFill="1" applyBorder="1" applyAlignment="1">
      <alignment vertical="center"/>
    </xf>
    <xf numFmtId="3" fontId="10" fillId="11" borderId="87" xfId="5613" applyNumberFormat="1" applyFont="1" applyFill="1" applyBorder="1" applyAlignment="1">
      <alignment vertical="center"/>
    </xf>
    <xf numFmtId="3" fontId="10" fillId="11" borderId="14" xfId="5613" applyNumberFormat="1" applyFont="1" applyFill="1" applyBorder="1" applyAlignment="1">
      <alignment vertical="center"/>
    </xf>
    <xf numFmtId="3" fontId="10" fillId="11" borderId="0" xfId="5613" applyNumberFormat="1" applyFont="1" applyFill="1" applyBorder="1" applyAlignment="1">
      <alignment vertical="center"/>
    </xf>
    <xf numFmtId="0" fontId="49" fillId="11" borderId="0" xfId="5613" applyFont="1" applyFill="1" applyAlignment="1">
      <alignment vertical="center"/>
    </xf>
    <xf numFmtId="0" fontId="41" fillId="11" borderId="0" xfId="5613" applyFont="1" applyFill="1" applyAlignment="1">
      <alignment vertical="center"/>
    </xf>
    <xf numFmtId="0" fontId="10" fillId="11" borderId="4" xfId="5613" applyFont="1" applyFill="1" applyBorder="1" applyAlignment="1">
      <alignment vertical="center"/>
    </xf>
    <xf numFmtId="0" fontId="43" fillId="106" borderId="5" xfId="5613" applyFont="1" applyFill="1" applyBorder="1" applyAlignment="1">
      <alignment horizontal="left" vertical="center"/>
    </xf>
    <xf numFmtId="258" fontId="41" fillId="11" borderId="4" xfId="5019" applyNumberFormat="1" applyFont="1" applyFill="1" applyBorder="1" applyAlignment="1">
      <alignment horizontal="center" vertical="center"/>
    </xf>
    <xf numFmtId="0" fontId="43" fillId="106" borderId="5" xfId="5613" applyFont="1" applyFill="1" applyBorder="1" applyAlignment="1">
      <alignment vertical="center"/>
    </xf>
    <xf numFmtId="2" fontId="41" fillId="11" borderId="4" xfId="5019" applyNumberFormat="1" applyFont="1" applyFill="1" applyBorder="1" applyAlignment="1">
      <alignment horizontal="center" vertical="center"/>
    </xf>
    <xf numFmtId="40" fontId="41" fillId="11" borderId="4" xfId="5019" applyNumberFormat="1" applyFont="1" applyFill="1" applyBorder="1" applyAlignment="1">
      <alignment horizontal="center" vertical="center"/>
    </xf>
    <xf numFmtId="49" fontId="41" fillId="11" borderId="4" xfId="5019" applyNumberFormat="1" applyFont="1" applyFill="1" applyBorder="1" applyAlignment="1">
      <alignment horizontal="center" vertical="center"/>
    </xf>
    <xf numFmtId="0" fontId="10" fillId="106" borderId="12" xfId="5613" applyFont="1" applyFill="1" applyBorder="1" applyAlignment="1">
      <alignment vertical="center"/>
    </xf>
    <xf numFmtId="38" fontId="41" fillId="11" borderId="4" xfId="5613" applyNumberFormat="1" applyFont="1" applyFill="1" applyBorder="1" applyAlignment="1">
      <alignment horizontal="center" vertical="center"/>
    </xf>
    <xf numFmtId="0" fontId="276" fillId="11" borderId="0" xfId="5613" applyFont="1" applyFill="1" applyAlignment="1">
      <alignment horizontal="left" vertical="center"/>
    </xf>
    <xf numFmtId="0" fontId="145" fillId="11" borderId="0" xfId="5613" applyFont="1" applyFill="1" applyAlignment="1">
      <alignment vertical="center"/>
    </xf>
    <xf numFmtId="0" fontId="19" fillId="11" borderId="0" xfId="5613" applyFont="1" applyFill="1" applyAlignment="1">
      <alignment horizontal="left" vertical="center"/>
    </xf>
    <xf numFmtId="0" fontId="19" fillId="11" borderId="0" xfId="5613" applyFont="1" applyFill="1" applyAlignment="1">
      <alignment vertical="center"/>
    </xf>
    <xf numFmtId="0" fontId="10" fillId="11" borderId="0" xfId="5613" applyFont="1" applyFill="1" applyAlignment="1">
      <alignment horizontal="left" vertical="center"/>
    </xf>
    <xf numFmtId="0" fontId="10" fillId="103" borderId="1" xfId="5613" applyFont="1" applyFill="1" applyBorder="1" applyAlignment="1">
      <alignment horizontal="right" vertical="center"/>
    </xf>
    <xf numFmtId="0" fontId="10" fillId="103" borderId="3" xfId="5613" applyFont="1" applyFill="1" applyBorder="1" applyAlignment="1">
      <alignment horizontal="right" vertical="center"/>
    </xf>
    <xf numFmtId="0" fontId="10" fillId="103" borderId="12" xfId="5613" applyFont="1" applyFill="1" applyBorder="1" applyAlignment="1">
      <alignment horizontal="right" vertical="center"/>
    </xf>
    <xf numFmtId="0" fontId="10" fillId="103" borderId="14" xfId="5613" applyFont="1" applyFill="1" applyBorder="1" applyAlignment="1">
      <alignment horizontal="right" vertical="center"/>
    </xf>
    <xf numFmtId="15" fontId="43" fillId="107" borderId="74" xfId="5613" applyNumberFormat="1" applyFont="1" applyFill="1" applyBorder="1" applyAlignment="1">
      <alignment horizontal="center" vertical="center"/>
    </xf>
    <xf numFmtId="256" fontId="41" fillId="103" borderId="4" xfId="5613" applyNumberFormat="1" applyFont="1" applyFill="1" applyBorder="1" applyAlignment="1">
      <alignment horizontal="center" vertical="center"/>
    </xf>
    <xf numFmtId="0" fontId="41" fillId="103" borderId="5" xfId="5613" applyFont="1" applyFill="1" applyBorder="1" applyAlignment="1">
      <alignment vertical="center"/>
    </xf>
    <xf numFmtId="258" fontId="43" fillId="11" borderId="37" xfId="5019" applyNumberFormat="1" applyFont="1" applyFill="1" applyBorder="1" applyAlignment="1">
      <alignment horizontal="center" vertical="center"/>
    </xf>
    <xf numFmtId="40" fontId="43" fillId="11" borderId="5" xfId="5019" applyNumberFormat="1" applyFont="1" applyFill="1" applyBorder="1" applyAlignment="1">
      <alignment horizontal="center" vertical="center"/>
    </xf>
    <xf numFmtId="0" fontId="41" fillId="103" borderId="5" xfId="5613" applyFont="1" applyFill="1" applyBorder="1" applyAlignment="1">
      <alignment horizontal="left" vertical="center"/>
    </xf>
    <xf numFmtId="40" fontId="43" fillId="11" borderId="37" xfId="5019" applyNumberFormat="1" applyFont="1" applyFill="1" applyBorder="1" applyAlignment="1">
      <alignment horizontal="center" vertical="center"/>
    </xf>
    <xf numFmtId="259" fontId="43" fillId="11" borderId="37" xfId="5019" applyNumberFormat="1" applyFont="1" applyFill="1" applyBorder="1" applyAlignment="1">
      <alignment horizontal="center" vertical="center"/>
    </xf>
    <xf numFmtId="0" fontId="10" fillId="103" borderId="12" xfId="5613" applyFont="1" applyFill="1" applyBorder="1" applyAlignment="1">
      <alignment vertical="center"/>
    </xf>
    <xf numFmtId="0" fontId="41" fillId="103" borderId="14" xfId="5613" applyFont="1" applyFill="1" applyBorder="1" applyAlignment="1">
      <alignment vertical="center"/>
    </xf>
    <xf numFmtId="0" fontId="10" fillId="11" borderId="87" xfId="5613" applyFont="1" applyFill="1" applyBorder="1" applyAlignment="1">
      <alignment vertical="center"/>
    </xf>
    <xf numFmtId="0" fontId="230" fillId="11" borderId="0" xfId="5613" applyFont="1" applyFill="1" applyAlignment="1">
      <alignment horizontal="left" vertical="center"/>
    </xf>
    <xf numFmtId="0" fontId="19" fillId="103" borderId="1" xfId="5615" applyFont="1" applyFill="1" applyBorder="1" applyAlignment="1">
      <alignment horizontal="right" vertical="center"/>
    </xf>
    <xf numFmtId="0" fontId="19" fillId="103" borderId="2" xfId="5615" applyFont="1" applyFill="1" applyBorder="1" applyAlignment="1">
      <alignment horizontal="left" vertical="center"/>
    </xf>
    <xf numFmtId="0" fontId="19" fillId="4" borderId="3" xfId="5615" applyFont="1" applyFill="1" applyBorder="1" applyAlignment="1">
      <alignment horizontal="left" vertical="center"/>
    </xf>
    <xf numFmtId="0" fontId="19" fillId="103" borderId="12" xfId="5615" applyFont="1" applyFill="1" applyBorder="1" applyAlignment="1">
      <alignment horizontal="right" vertical="center"/>
    </xf>
    <xf numFmtId="0" fontId="19" fillId="103" borderId="13" xfId="5615" applyFont="1" applyFill="1" applyBorder="1" applyAlignment="1">
      <alignment horizontal="left" vertical="center"/>
    </xf>
    <xf numFmtId="0" fontId="19" fillId="4" borderId="14" xfId="5615" applyFont="1" applyFill="1" applyBorder="1" applyAlignment="1">
      <alignment horizontal="left" vertical="center"/>
    </xf>
    <xf numFmtId="256" fontId="43" fillId="103" borderId="4" xfId="5615" applyNumberFormat="1" applyFont="1" applyFill="1" applyBorder="1" applyAlignment="1">
      <alignment horizontal="center" vertical="center"/>
    </xf>
    <xf numFmtId="0" fontId="19" fillId="103" borderId="12" xfId="5615" applyFont="1" applyFill="1" applyBorder="1" applyAlignment="1">
      <alignment vertical="center"/>
    </xf>
    <xf numFmtId="0" fontId="43" fillId="103" borderId="13" xfId="5615" applyFont="1" applyFill="1" applyBorder="1" applyAlignment="1">
      <alignment horizontal="left" vertical="center"/>
    </xf>
    <xf numFmtId="0" fontId="19" fillId="11" borderId="12" xfId="5615" applyFont="1" applyFill="1" applyBorder="1" applyAlignment="1">
      <alignment vertical="center"/>
    </xf>
    <xf numFmtId="0" fontId="19" fillId="11" borderId="14" xfId="5615" applyFont="1" applyFill="1" applyBorder="1" applyAlignment="1">
      <alignment vertical="center"/>
    </xf>
    <xf numFmtId="0" fontId="277" fillId="11" borderId="0" xfId="5615" applyFont="1" applyFill="1" applyAlignment="1">
      <alignment horizontal="left" vertical="center"/>
    </xf>
    <xf numFmtId="0" fontId="278" fillId="11" borderId="0" xfId="5615" applyFont="1" applyFill="1" applyAlignment="1">
      <alignment horizontal="left" vertical="center"/>
    </xf>
    <xf numFmtId="0" fontId="27" fillId="11" borderId="0" xfId="5615" applyFont="1" applyFill="1" applyAlignment="1">
      <alignment vertical="center"/>
    </xf>
    <xf numFmtId="0" fontId="230" fillId="11" borderId="0" xfId="5615" applyFont="1" applyFill="1" applyAlignment="1">
      <alignment horizontal="left" vertical="center"/>
    </xf>
    <xf numFmtId="0" fontId="145" fillId="11" borderId="0" xfId="5615" applyFont="1" applyFill="1" applyAlignment="1">
      <alignment horizontal="left" vertical="center"/>
    </xf>
    <xf numFmtId="0" fontId="43" fillId="11" borderId="0" xfId="5615" applyFont="1" applyFill="1" applyAlignment="1">
      <alignment vertical="center"/>
    </xf>
    <xf numFmtId="15" fontId="43" fillId="14" borderId="189" xfId="5615" applyNumberFormat="1" applyFont="1" applyFill="1" applyBorder="1" applyAlignment="1">
      <alignment horizontal="center" vertical="center"/>
    </xf>
    <xf numFmtId="15" fontId="43" fillId="14" borderId="74" xfId="5615" applyNumberFormat="1" applyFont="1" applyFill="1" applyBorder="1" applyAlignment="1">
      <alignment horizontal="center" vertical="center"/>
    </xf>
    <xf numFmtId="256" fontId="43" fillId="14" borderId="4" xfId="5615" applyNumberFormat="1" applyFont="1" applyFill="1" applyBorder="1" applyAlignment="1">
      <alignment horizontal="center" vertical="center"/>
    </xf>
    <xf numFmtId="0" fontId="43" fillId="14" borderId="5" xfId="5615" applyFont="1" applyFill="1" applyBorder="1" applyAlignment="1">
      <alignment horizontal="left" vertical="center"/>
    </xf>
    <xf numFmtId="258" fontId="43" fillId="11" borderId="0" xfId="4908" applyNumberFormat="1" applyFont="1" applyFill="1" applyBorder="1" applyAlignment="1">
      <alignment horizontal="center" vertical="center"/>
    </xf>
    <xf numFmtId="258" fontId="43" fillId="11" borderId="4" xfId="4908" applyNumberFormat="1" applyFont="1" applyFill="1" applyBorder="1" applyAlignment="1">
      <alignment horizontal="center" vertical="center"/>
    </xf>
    <xf numFmtId="167" fontId="43" fillId="11" borderId="37" xfId="4908" applyNumberFormat="1" applyFont="1" applyFill="1" applyBorder="1" applyAlignment="1">
      <alignment horizontal="center" vertical="center"/>
    </xf>
    <xf numFmtId="167" fontId="43" fillId="11" borderId="0" xfId="4908" applyNumberFormat="1" applyFont="1" applyFill="1" applyBorder="1" applyAlignment="1">
      <alignment horizontal="center" vertical="center"/>
    </xf>
    <xf numFmtId="167" fontId="43" fillId="11" borderId="4" xfId="4908" applyNumberFormat="1" applyFont="1" applyFill="1" applyBorder="1" applyAlignment="1">
      <alignment horizontal="center" vertical="center"/>
    </xf>
    <xf numFmtId="0" fontId="43" fillId="14" borderId="5" xfId="5615" applyFont="1" applyFill="1" applyBorder="1" applyAlignment="1">
      <alignment vertical="center"/>
    </xf>
    <xf numFmtId="2" fontId="43" fillId="11" borderId="5" xfId="4908" applyNumberFormat="1" applyFont="1" applyFill="1" applyBorder="1" applyAlignment="1">
      <alignment horizontal="center" vertical="center"/>
    </xf>
    <xf numFmtId="4" fontId="43" fillId="11" borderId="0" xfId="4908" applyNumberFormat="1" applyFont="1" applyFill="1" applyBorder="1" applyAlignment="1">
      <alignment horizontal="center" vertical="center"/>
    </xf>
    <xf numFmtId="4" fontId="43" fillId="11" borderId="4" xfId="4908" applyNumberFormat="1" applyFont="1" applyFill="1" applyBorder="1" applyAlignment="1">
      <alignment horizontal="center" vertical="center"/>
    </xf>
    <xf numFmtId="4" fontId="43" fillId="11" borderId="37" xfId="4908" applyNumberFormat="1" applyFont="1" applyFill="1" applyBorder="1" applyAlignment="1">
      <alignment horizontal="center" vertical="center"/>
    </xf>
    <xf numFmtId="172" fontId="43" fillId="11" borderId="0" xfId="4908" applyNumberFormat="1" applyFont="1" applyFill="1" applyBorder="1" applyAlignment="1">
      <alignment horizontal="center" vertical="center"/>
    </xf>
    <xf numFmtId="172" fontId="43" fillId="11" borderId="4" xfId="4908" applyNumberFormat="1" applyFont="1" applyFill="1" applyBorder="1" applyAlignment="1">
      <alignment horizontal="center" vertical="center"/>
    </xf>
    <xf numFmtId="172" fontId="43" fillId="11" borderId="37" xfId="4908" applyNumberFormat="1" applyFont="1" applyFill="1" applyBorder="1" applyAlignment="1">
      <alignment horizontal="center" vertical="center"/>
    </xf>
    <xf numFmtId="0" fontId="19" fillId="14" borderId="12" xfId="5615" applyFont="1" applyFill="1" applyBorder="1" applyAlignment="1">
      <alignment vertical="center"/>
    </xf>
    <xf numFmtId="0" fontId="43" fillId="14" borderId="14" xfId="5615" applyFont="1" applyFill="1" applyBorder="1" applyAlignment="1">
      <alignment vertical="center"/>
    </xf>
    <xf numFmtId="38" fontId="43" fillId="11" borderId="13" xfId="5615" applyNumberFormat="1" applyFont="1" applyFill="1" applyBorder="1" applyAlignment="1">
      <alignment horizontal="center" vertical="center"/>
    </xf>
    <xf numFmtId="38" fontId="43" fillId="11" borderId="12" xfId="5615" applyNumberFormat="1" applyFont="1" applyFill="1" applyBorder="1" applyAlignment="1">
      <alignment horizontal="center" vertical="center"/>
    </xf>
    <xf numFmtId="38" fontId="43" fillId="11" borderId="87" xfId="5615" applyNumberFormat="1" applyFont="1" applyFill="1" applyBorder="1" applyAlignment="1">
      <alignment horizontal="center" vertical="center"/>
    </xf>
    <xf numFmtId="0" fontId="10" fillId="11" borderId="0" xfId="5615" applyFont="1" applyFill="1" applyAlignment="1">
      <alignment horizontal="left" vertical="center"/>
    </xf>
    <xf numFmtId="3" fontId="19" fillId="11" borderId="0" xfId="5615" applyNumberFormat="1" applyFont="1" applyFill="1" applyBorder="1" applyAlignment="1">
      <alignment vertical="center"/>
    </xf>
    <xf numFmtId="0" fontId="10" fillId="11" borderId="0" xfId="5615" applyFont="1" applyFill="1"/>
    <xf numFmtId="0" fontId="10" fillId="11" borderId="0" xfId="0" applyFont="1" applyFill="1"/>
    <xf numFmtId="0" fontId="19" fillId="11" borderId="0" xfId="5615" applyFont="1" applyFill="1" applyAlignment="1">
      <alignment horizontal="left" vertical="center"/>
    </xf>
    <xf numFmtId="0" fontId="27" fillId="11" borderId="0" xfId="0" applyFont="1" applyFill="1"/>
    <xf numFmtId="0" fontId="19" fillId="11" borderId="0" xfId="0" applyFont="1" applyFill="1"/>
    <xf numFmtId="0" fontId="19" fillId="11" borderId="0" xfId="5451" applyFont="1" applyFill="1" applyAlignment="1">
      <alignment vertical="center"/>
    </xf>
    <xf numFmtId="0" fontId="10" fillId="11" borderId="0" xfId="5451" applyFont="1" applyFill="1" applyAlignment="1">
      <alignment vertical="center"/>
    </xf>
    <xf numFmtId="0" fontId="280" fillId="11" borderId="0" xfId="5451" applyFont="1" applyFill="1" applyAlignment="1">
      <alignment vertical="center"/>
    </xf>
    <xf numFmtId="0" fontId="236" fillId="11" borderId="0" xfId="5451" applyFont="1" applyFill="1" applyAlignment="1">
      <alignment vertical="center"/>
    </xf>
    <xf numFmtId="0" fontId="43" fillId="4" borderId="34" xfId="5451" applyFont="1" applyFill="1" applyBorder="1" applyAlignment="1">
      <alignment horizontal="center" vertical="center"/>
    </xf>
    <xf numFmtId="0" fontId="43" fillId="4" borderId="36" xfId="5451" applyFont="1" applyFill="1" applyBorder="1" applyAlignment="1">
      <alignment horizontal="center" vertical="center"/>
    </xf>
    <xf numFmtId="0" fontId="145" fillId="4" borderId="159" xfId="5451" applyFont="1" applyFill="1" applyBorder="1" applyAlignment="1">
      <alignment horizontal="center" vertical="center"/>
    </xf>
    <xf numFmtId="0" fontId="145" fillId="4" borderId="160" xfId="5451" applyFont="1" applyFill="1" applyBorder="1" applyAlignment="1">
      <alignment horizontal="center" vertical="center"/>
    </xf>
    <xf numFmtId="3" fontId="19" fillId="11" borderId="9" xfId="5451" applyNumberFormat="1" applyFont="1" applyFill="1" applyBorder="1" applyAlignment="1">
      <alignment horizontal="center" vertical="center"/>
    </xf>
    <xf numFmtId="0" fontId="19" fillId="11" borderId="9" xfId="5451" applyFont="1" applyFill="1" applyBorder="1" applyAlignment="1">
      <alignment horizontal="center" vertical="center"/>
    </xf>
    <xf numFmtId="4" fontId="19" fillId="11" borderId="38" xfId="5451" applyNumberFormat="1" applyFont="1" applyFill="1" applyBorder="1" applyAlignment="1">
      <alignment horizontal="center" vertical="center"/>
    </xf>
    <xf numFmtId="0" fontId="19" fillId="11" borderId="38" xfId="5451" applyFont="1" applyFill="1" applyBorder="1" applyAlignment="1">
      <alignment horizontal="center" vertical="center"/>
    </xf>
    <xf numFmtId="2" fontId="19" fillId="11" borderId="38" xfId="5451" applyNumberFormat="1" applyFont="1" applyFill="1" applyBorder="1" applyAlignment="1">
      <alignment horizontal="center" vertical="center"/>
    </xf>
    <xf numFmtId="0" fontId="19" fillId="11" borderId="26" xfId="5451" applyFont="1" applyFill="1" applyBorder="1" applyAlignment="1">
      <alignment horizontal="center" vertical="center"/>
    </xf>
    <xf numFmtId="3" fontId="19" fillId="11" borderId="159" xfId="5451" applyNumberFormat="1" applyFont="1" applyFill="1" applyBorder="1" applyAlignment="1">
      <alignment horizontal="center" vertical="center"/>
    </xf>
    <xf numFmtId="0" fontId="19" fillId="11" borderId="191" xfId="5451" applyFont="1" applyFill="1" applyBorder="1" applyAlignment="1">
      <alignment horizontal="center" vertical="center"/>
    </xf>
    <xf numFmtId="2" fontId="19" fillId="11" borderId="160" xfId="5451" applyNumberFormat="1" applyFont="1" applyFill="1" applyBorder="1" applyAlignment="1">
      <alignment horizontal="center" vertical="center"/>
    </xf>
    <xf numFmtId="0" fontId="145" fillId="11" borderId="0" xfId="5451" applyFont="1" applyFill="1" applyAlignment="1">
      <alignment vertical="center"/>
    </xf>
    <xf numFmtId="3" fontId="19" fillId="11" borderId="0" xfId="5451" applyNumberFormat="1" applyFont="1" applyFill="1" applyBorder="1" applyAlignment="1">
      <alignment vertical="center"/>
    </xf>
    <xf numFmtId="0" fontId="236" fillId="11" borderId="0" xfId="5451" applyFont="1" applyFill="1"/>
    <xf numFmtId="0" fontId="19" fillId="11" borderId="0" xfId="5493" applyFont="1" applyFill="1" applyAlignment="1">
      <alignment vertical="center"/>
    </xf>
    <xf numFmtId="0" fontId="19" fillId="105" borderId="27" xfId="5493" applyFont="1" applyFill="1" applyBorder="1" applyAlignment="1">
      <alignment vertical="center"/>
    </xf>
    <xf numFmtId="0" fontId="43" fillId="105" borderId="16" xfId="5493" applyFont="1" applyFill="1" applyBorder="1" applyAlignment="1">
      <alignment horizontal="centerContinuous" vertical="center"/>
    </xf>
    <xf numFmtId="0" fontId="43" fillId="105" borderId="192" xfId="5493" applyFont="1" applyFill="1" applyBorder="1" applyAlignment="1">
      <alignment horizontal="centerContinuous" vertical="center"/>
    </xf>
    <xf numFmtId="0" fontId="43" fillId="105" borderId="17" xfId="5493" applyFont="1" applyFill="1" applyBorder="1" applyAlignment="1">
      <alignment horizontal="centerContinuous" vertical="center"/>
    </xf>
    <xf numFmtId="0" fontId="19" fillId="105" borderId="32" xfId="5493" applyFont="1" applyFill="1" applyBorder="1" applyAlignment="1">
      <alignment vertical="center"/>
    </xf>
    <xf numFmtId="0" fontId="43" fillId="101" borderId="193" xfId="5493" applyFont="1" applyFill="1" applyBorder="1" applyAlignment="1">
      <alignment horizontal="center" vertical="center"/>
    </xf>
    <xf numFmtId="0" fontId="43" fillId="101" borderId="181" xfId="5493" applyFont="1" applyFill="1" applyBorder="1" applyAlignment="1">
      <alignment horizontal="center" vertical="center"/>
    </xf>
    <xf numFmtId="0" fontId="43" fillId="101" borderId="194" xfId="5493" applyFont="1" applyFill="1" applyBorder="1" applyAlignment="1">
      <alignment horizontal="center" vertical="center"/>
    </xf>
    <xf numFmtId="0" fontId="43" fillId="101" borderId="195" xfId="5493" applyFont="1" applyFill="1" applyBorder="1" applyAlignment="1">
      <alignment horizontal="center" vertical="center"/>
    </xf>
    <xf numFmtId="0" fontId="43" fillId="101" borderId="196" xfId="5493" applyFont="1" applyFill="1" applyBorder="1" applyAlignment="1">
      <alignment horizontal="center" vertical="center"/>
    </xf>
    <xf numFmtId="0" fontId="43" fillId="101" borderId="59" xfId="5493" applyFont="1" applyFill="1" applyBorder="1" applyAlignment="1">
      <alignment horizontal="center" vertical="center"/>
    </xf>
    <xf numFmtId="0" fontId="43" fillId="101" borderId="37" xfId="5493" applyFont="1" applyFill="1" applyBorder="1" applyAlignment="1">
      <alignment horizontal="center" vertical="center"/>
    </xf>
    <xf numFmtId="0" fontId="43" fillId="101" borderId="177" xfId="5493" applyFont="1" applyFill="1" applyBorder="1" applyAlignment="1">
      <alignment horizontal="center" vertical="center"/>
    </xf>
    <xf numFmtId="0" fontId="43" fillId="101" borderId="182" xfId="5493" applyFont="1" applyFill="1" applyBorder="1" applyAlignment="1">
      <alignment horizontal="center" vertical="center"/>
    </xf>
    <xf numFmtId="0" fontId="43" fillId="101" borderId="57" xfId="5493" applyFont="1" applyFill="1" applyBorder="1" applyAlignment="1">
      <alignment horizontal="center" vertical="center"/>
    </xf>
    <xf numFmtId="0" fontId="19" fillId="101" borderId="197" xfId="5493" applyFont="1" applyFill="1" applyBorder="1" applyAlignment="1">
      <alignment horizontal="center" vertical="center"/>
    </xf>
    <xf numFmtId="0" fontId="19" fillId="101" borderId="87" xfId="5493" applyFont="1" applyFill="1" applyBorder="1" applyAlignment="1">
      <alignment horizontal="centerContinuous" vertical="center"/>
    </xf>
    <xf numFmtId="0" fontId="19" fillId="101" borderId="87" xfId="5493" applyFont="1" applyFill="1" applyBorder="1" applyAlignment="1">
      <alignment horizontal="center" vertical="center"/>
    </xf>
    <xf numFmtId="0" fontId="43" fillId="101" borderId="87" xfId="5493" applyFont="1" applyFill="1" applyBorder="1" applyAlignment="1">
      <alignment horizontal="center" vertical="center"/>
    </xf>
    <xf numFmtId="0" fontId="43" fillId="101" borderId="198" xfId="5493" applyFont="1" applyFill="1" applyBorder="1" applyAlignment="1">
      <alignment horizontal="center" vertical="center"/>
    </xf>
    <xf numFmtId="0" fontId="43" fillId="101" borderId="183" xfId="5493" applyFont="1" applyFill="1" applyBorder="1" applyAlignment="1">
      <alignment horizontal="center" vertical="center"/>
    </xf>
    <xf numFmtId="0" fontId="43" fillId="101" borderId="87" xfId="5493" applyFont="1" applyFill="1" applyBorder="1" applyAlignment="1">
      <alignment horizontal="centerContinuous" vertical="center"/>
    </xf>
    <xf numFmtId="0" fontId="43" fillId="101" borderId="199" xfId="5493" applyFont="1" applyFill="1" applyBorder="1" applyAlignment="1">
      <alignment horizontal="center" vertical="center"/>
    </xf>
    <xf numFmtId="0" fontId="19" fillId="105" borderId="48" xfId="5493" applyFont="1" applyFill="1" applyBorder="1" applyAlignment="1">
      <alignment vertical="center"/>
    </xf>
    <xf numFmtId="0" fontId="145" fillId="108" borderId="200" xfId="5493" applyFont="1" applyFill="1" applyBorder="1" applyAlignment="1">
      <alignment vertical="center"/>
    </xf>
    <xf numFmtId="0" fontId="145" fillId="108" borderId="201" xfId="5493" applyFont="1" applyFill="1" applyBorder="1" applyAlignment="1">
      <alignment horizontal="centerContinuous" vertical="center"/>
    </xf>
    <xf numFmtId="0" fontId="145" fillId="108" borderId="201" xfId="5493" applyFont="1" applyFill="1" applyBorder="1" applyAlignment="1">
      <alignment horizontal="center" vertical="center"/>
    </xf>
    <xf numFmtId="0" fontId="145" fillId="108" borderId="204" xfId="5493" applyFont="1" applyFill="1" applyBorder="1" applyAlignment="1">
      <alignment vertical="center"/>
    </xf>
    <xf numFmtId="17" fontId="43" fillId="105" borderId="48" xfId="5493" applyNumberFormat="1" applyFont="1" applyFill="1" applyBorder="1" applyAlignment="1">
      <alignment horizontal="left" vertical="center"/>
    </xf>
    <xf numFmtId="0" fontId="19" fillId="11" borderId="119" xfId="5493" applyFont="1" applyFill="1" applyBorder="1" applyAlignment="1">
      <alignment horizontal="center" vertical="center"/>
    </xf>
    <xf numFmtId="3" fontId="19" fillId="11" borderId="53" xfId="5493" applyNumberFormat="1" applyFont="1" applyFill="1" applyBorder="1" applyAlignment="1">
      <alignment horizontal="center" vertical="center"/>
    </xf>
    <xf numFmtId="1" fontId="19" fillId="11" borderId="53" xfId="5493" applyNumberFormat="1" applyFont="1" applyFill="1" applyBorder="1" applyAlignment="1">
      <alignment horizontal="center" vertical="center"/>
    </xf>
    <xf numFmtId="2" fontId="19" fillId="11" borderId="53" xfId="5493" applyNumberFormat="1" applyFont="1" applyFill="1" applyBorder="1" applyAlignment="1">
      <alignment horizontal="center" vertical="center"/>
    </xf>
    <xf numFmtId="0" fontId="19" fillId="11" borderId="206" xfId="5493" applyFont="1" applyFill="1" applyBorder="1" applyAlignment="1">
      <alignment horizontal="center" vertical="center"/>
    </xf>
    <xf numFmtId="0" fontId="19" fillId="11" borderId="53" xfId="5493" applyFont="1" applyFill="1" applyBorder="1" applyAlignment="1">
      <alignment horizontal="center" vertical="center"/>
    </xf>
    <xf numFmtId="2" fontId="19" fillId="11" borderId="60" xfId="5493" applyNumberFormat="1" applyFont="1" applyFill="1" applyBorder="1" applyAlignment="1">
      <alignment horizontal="center" vertical="center"/>
    </xf>
    <xf numFmtId="165" fontId="145" fillId="11" borderId="0" xfId="5493" applyNumberFormat="1" applyFont="1" applyFill="1" applyAlignment="1">
      <alignment horizontal="left" vertical="center"/>
    </xf>
    <xf numFmtId="0" fontId="145" fillId="11" borderId="0" xfId="5493" applyFont="1" applyFill="1" applyAlignment="1">
      <alignment vertical="center"/>
    </xf>
    <xf numFmtId="0" fontId="280" fillId="11" borderId="0" xfId="5451" applyFont="1" applyFill="1"/>
    <xf numFmtId="0" fontId="43" fillId="11" borderId="0" xfId="5451" applyFont="1" applyFill="1" applyAlignment="1">
      <alignment vertical="center"/>
    </xf>
    <xf numFmtId="15" fontId="43" fillId="13" borderId="207" xfId="5451" applyNumberFormat="1" applyFont="1" applyFill="1" applyBorder="1" applyAlignment="1">
      <alignment horizontal="center" vertical="center"/>
    </xf>
    <xf numFmtId="15" fontId="43" fillId="13" borderId="209" xfId="5451" applyNumberFormat="1" applyFont="1" applyFill="1" applyBorder="1" applyAlignment="1">
      <alignment horizontal="center" vertical="center"/>
    </xf>
    <xf numFmtId="15" fontId="43" fillId="13" borderId="156" xfId="5451" applyNumberFormat="1" applyFont="1" applyFill="1" applyBorder="1" applyAlignment="1">
      <alignment horizontal="center" vertical="center"/>
    </xf>
    <xf numFmtId="15" fontId="43" fillId="13" borderId="189" xfId="5451" applyNumberFormat="1" applyFont="1" applyFill="1" applyBorder="1" applyAlignment="1">
      <alignment horizontal="center" vertical="center"/>
    </xf>
    <xf numFmtId="40" fontId="280" fillId="11" borderId="0" xfId="1" applyFont="1" applyFill="1"/>
    <xf numFmtId="0" fontId="43" fillId="106" borderId="210" xfId="5451" applyFont="1" applyFill="1" applyBorder="1" applyAlignment="1">
      <alignment horizontal="left" vertical="center"/>
    </xf>
    <xf numFmtId="260" fontId="43" fillId="11" borderId="211" xfId="5047" applyNumberFormat="1" applyFont="1" applyFill="1" applyBorder="1" applyAlignment="1">
      <alignment horizontal="center" vertical="center"/>
    </xf>
    <xf numFmtId="260" fontId="43" fillId="11" borderId="26" xfId="5047" applyNumberFormat="1" applyFont="1" applyFill="1" applyBorder="1" applyAlignment="1">
      <alignment horizontal="center" vertical="center"/>
    </xf>
    <xf numFmtId="260" fontId="43" fillId="11" borderId="36" xfId="5047" applyNumberFormat="1" applyFont="1" applyFill="1" applyBorder="1" applyAlignment="1">
      <alignment horizontal="center" vertical="center"/>
    </xf>
    <xf numFmtId="260" fontId="43" fillId="11" borderId="212" xfId="5047" applyNumberFormat="1" applyFont="1" applyFill="1" applyBorder="1" applyAlignment="1">
      <alignment horizontal="center" vertical="center"/>
    </xf>
    <xf numFmtId="260" fontId="43" fillId="11" borderId="34" xfId="5047" applyNumberFormat="1" applyFont="1" applyFill="1" applyBorder="1" applyAlignment="1">
      <alignment horizontal="center" vertical="center"/>
    </xf>
    <xf numFmtId="260" fontId="43" fillId="11" borderId="213" xfId="5047" applyNumberFormat="1" applyFont="1" applyFill="1" applyBorder="1" applyAlignment="1">
      <alignment horizontal="center" vertical="center"/>
    </xf>
    <xf numFmtId="40" fontId="43" fillId="11" borderId="26" xfId="5047" applyNumberFormat="1" applyFont="1" applyFill="1" applyBorder="1" applyAlignment="1">
      <alignment horizontal="center" vertical="center"/>
    </xf>
    <xf numFmtId="40" fontId="43" fillId="11" borderId="38" xfId="5047" applyNumberFormat="1" applyFont="1" applyFill="1" applyBorder="1" applyAlignment="1">
      <alignment horizontal="center" vertical="center"/>
    </xf>
    <xf numFmtId="40" fontId="43" fillId="11" borderId="214" xfId="5047" applyNumberFormat="1" applyFont="1" applyFill="1" applyBorder="1" applyAlignment="1">
      <alignment horizontal="center" vertical="center"/>
    </xf>
    <xf numFmtId="40" fontId="43" fillId="11" borderId="9" xfId="5047" applyNumberFormat="1" applyFont="1" applyFill="1" applyBorder="1" applyAlignment="1">
      <alignment horizontal="center" vertical="center"/>
    </xf>
    <xf numFmtId="260" fontId="43" fillId="11" borderId="38" xfId="5047" applyNumberFormat="1" applyFont="1" applyFill="1" applyBorder="1" applyAlignment="1">
      <alignment horizontal="center" vertical="center"/>
    </xf>
    <xf numFmtId="262" fontId="43" fillId="11" borderId="26" xfId="5047" applyNumberFormat="1" applyFont="1" applyFill="1" applyBorder="1" applyAlignment="1">
      <alignment horizontal="center" vertical="center"/>
    </xf>
    <xf numFmtId="49" fontId="43" fillId="11" borderId="38" xfId="5047" applyNumberFormat="1" applyFont="1" applyFill="1" applyBorder="1" applyAlignment="1">
      <alignment horizontal="center" vertical="center"/>
    </xf>
    <xf numFmtId="262" fontId="43" fillId="11" borderId="214" xfId="5047" applyNumberFormat="1" applyFont="1" applyFill="1" applyBorder="1" applyAlignment="1">
      <alignment horizontal="center" vertical="center"/>
    </xf>
    <xf numFmtId="262" fontId="43" fillId="11" borderId="9" xfId="5047" applyNumberFormat="1" applyFont="1" applyFill="1" applyBorder="1" applyAlignment="1">
      <alignment horizontal="center" vertical="center"/>
    </xf>
    <xf numFmtId="0" fontId="43" fillId="106" borderId="215" xfId="5451" applyFont="1" applyFill="1" applyBorder="1" applyAlignment="1">
      <alignment vertical="center"/>
    </xf>
    <xf numFmtId="0" fontId="280" fillId="11" borderId="216" xfId="5451" applyFont="1" applyFill="1" applyBorder="1"/>
    <xf numFmtId="0" fontId="280" fillId="11" borderId="191" xfId="5451" applyFont="1" applyFill="1" applyBorder="1"/>
    <xf numFmtId="0" fontId="280" fillId="11" borderId="159" xfId="5451" applyFont="1" applyFill="1" applyBorder="1"/>
    <xf numFmtId="0" fontId="280" fillId="11" borderId="160" xfId="5451" applyFont="1" applyFill="1" applyBorder="1"/>
    <xf numFmtId="0" fontId="280" fillId="11" borderId="217" xfId="5451" applyFont="1" applyFill="1" applyBorder="1"/>
    <xf numFmtId="0" fontId="34" fillId="11" borderId="0" xfId="5451" applyFont="1" applyFill="1" applyAlignment="1">
      <alignment vertical="center"/>
    </xf>
    <xf numFmtId="0" fontId="27" fillId="11" borderId="0" xfId="5451" applyFont="1" applyFill="1" applyAlignment="1">
      <alignment horizontal="centerContinuous" vertical="center"/>
    </xf>
    <xf numFmtId="0" fontId="27" fillId="11" borderId="0" xfId="5451" applyFont="1" applyFill="1" applyAlignment="1">
      <alignment vertical="center"/>
    </xf>
    <xf numFmtId="0" fontId="103" fillId="11" borderId="0" xfId="5451" applyFont="1" applyFill="1" applyAlignment="1">
      <alignment vertical="center"/>
    </xf>
    <xf numFmtId="0" fontId="2" fillId="11" borderId="0" xfId="5451" applyFill="1"/>
    <xf numFmtId="0" fontId="18" fillId="11" borderId="0" xfId="5451" applyFont="1" applyFill="1" applyAlignment="1">
      <alignment vertical="center"/>
    </xf>
    <xf numFmtId="0" fontId="41" fillId="106" borderId="1" xfId="5451" applyFont="1" applyFill="1" applyBorder="1" applyAlignment="1">
      <alignment vertical="center"/>
    </xf>
    <xf numFmtId="0" fontId="41" fillId="106" borderId="3" xfId="5451" applyFont="1" applyFill="1" applyBorder="1" applyAlignment="1">
      <alignment vertical="center"/>
    </xf>
    <xf numFmtId="0" fontId="10" fillId="106" borderId="12" xfId="5451" applyFont="1" applyFill="1" applyBorder="1" applyAlignment="1">
      <alignment horizontal="right" vertical="center"/>
    </xf>
    <xf numFmtId="0" fontId="10" fillId="106" borderId="14" xfId="5451" applyFont="1" applyFill="1" applyBorder="1" applyAlignment="1">
      <alignment horizontal="right" vertical="center"/>
    </xf>
    <xf numFmtId="256" fontId="41" fillId="106" borderId="4" xfId="5451" applyNumberFormat="1" applyFont="1" applyFill="1" applyBorder="1" applyAlignment="1">
      <alignment horizontal="center" vertical="center"/>
    </xf>
    <xf numFmtId="0" fontId="41" fillId="106" borderId="5" xfId="5451" applyFont="1" applyFill="1" applyBorder="1" applyAlignment="1">
      <alignment horizontal="left" vertical="center"/>
    </xf>
    <xf numFmtId="0" fontId="41" fillId="106" borderId="5" xfId="5451" applyFont="1" applyFill="1" applyBorder="1" applyAlignment="1">
      <alignment vertical="center"/>
    </xf>
    <xf numFmtId="0" fontId="10" fillId="106" borderId="12" xfId="5451" applyFont="1" applyFill="1" applyBorder="1" applyAlignment="1">
      <alignment vertical="center"/>
    </xf>
    <xf numFmtId="0" fontId="41" fillId="106" borderId="14" xfId="5451" applyFont="1" applyFill="1" applyBorder="1" applyAlignment="1">
      <alignment vertical="center"/>
    </xf>
    <xf numFmtId="0" fontId="35" fillId="11" borderId="0" xfId="5451" applyFont="1" applyFill="1" applyAlignment="1">
      <alignment vertical="center"/>
    </xf>
    <xf numFmtId="0" fontId="19" fillId="11" borderId="0" xfId="5451" applyFont="1" applyFill="1" applyAlignment="1">
      <alignment horizontal="centerContinuous" vertical="center"/>
    </xf>
    <xf numFmtId="0" fontId="283" fillId="11" borderId="0" xfId="5451" applyFont="1" applyFill="1"/>
    <xf numFmtId="0" fontId="35" fillId="11" borderId="2" xfId="5451" applyFont="1" applyFill="1" applyBorder="1" applyAlignment="1">
      <alignment vertical="center"/>
    </xf>
    <xf numFmtId="0" fontId="2" fillId="11" borderId="2" xfId="5451" applyFill="1" applyBorder="1"/>
    <xf numFmtId="0" fontId="2" fillId="11" borderId="0" xfId="5451" applyFill="1" applyBorder="1"/>
    <xf numFmtId="0" fontId="23" fillId="11" borderId="0" xfId="5451" applyFont="1" applyFill="1" applyAlignment="1">
      <alignment horizontal="left" vertical="center"/>
    </xf>
    <xf numFmtId="0" fontId="18" fillId="11" borderId="0" xfId="5463" applyFont="1" applyFill="1" applyAlignment="1">
      <alignment vertical="center"/>
    </xf>
    <xf numFmtId="0" fontId="226" fillId="11" borderId="0" xfId="5463" applyFont="1" applyFill="1" applyAlignment="1">
      <alignment vertical="center"/>
    </xf>
    <xf numFmtId="0" fontId="27" fillId="11" borderId="0" xfId="5463" applyFont="1" applyFill="1" applyAlignment="1">
      <alignment vertical="center"/>
    </xf>
    <xf numFmtId="0" fontId="34" fillId="11" borderId="0" xfId="5463" applyFont="1" applyFill="1" applyAlignment="1">
      <alignment vertical="center"/>
    </xf>
    <xf numFmtId="0" fontId="35" fillId="11" borderId="0" xfId="5463" applyFont="1" applyFill="1" applyAlignment="1">
      <alignment horizontal="right" vertical="center"/>
    </xf>
    <xf numFmtId="0" fontId="41" fillId="4" borderId="178" xfId="5463" applyFont="1" applyFill="1" applyBorder="1" applyAlignment="1">
      <alignment horizontal="center" vertical="center" wrapText="1"/>
    </xf>
    <xf numFmtId="0" fontId="41" fillId="4" borderId="74" xfId="5463" applyFont="1" applyFill="1" applyBorder="1" applyAlignment="1">
      <alignment horizontal="center" vertical="center" wrapText="1"/>
    </xf>
    <xf numFmtId="0" fontId="41" fillId="4" borderId="189" xfId="5463" applyFont="1" applyFill="1" applyBorder="1" applyAlignment="1">
      <alignment horizontal="center" vertical="center" wrapText="1"/>
    </xf>
    <xf numFmtId="0" fontId="27" fillId="11" borderId="0" xfId="5463" applyFont="1" applyFill="1" applyAlignment="1">
      <alignment horizontal="center" vertical="center" wrapText="1"/>
    </xf>
    <xf numFmtId="253" fontId="41" fillId="11" borderId="37" xfId="5463" applyNumberFormat="1" applyFont="1" applyFill="1" applyBorder="1" applyAlignment="1">
      <alignment horizontal="right" vertical="center"/>
    </xf>
    <xf numFmtId="3" fontId="10" fillId="11" borderId="37" xfId="5463" applyNumberFormat="1" applyFont="1" applyFill="1" applyBorder="1" applyAlignment="1">
      <alignment horizontal="center" vertical="center"/>
    </xf>
    <xf numFmtId="3" fontId="41" fillId="11" borderId="37" xfId="5463" applyNumberFormat="1" applyFont="1" applyFill="1" applyBorder="1" applyAlignment="1">
      <alignment horizontal="center" vertical="center"/>
    </xf>
    <xf numFmtId="253" fontId="41" fillId="11" borderId="37" xfId="5463" applyNumberFormat="1" applyFont="1" applyFill="1" applyBorder="1" applyAlignment="1">
      <alignment horizontal="center" vertical="center"/>
    </xf>
    <xf numFmtId="263" fontId="41" fillId="11" borderId="37" xfId="5463" applyNumberFormat="1" applyFont="1" applyFill="1" applyBorder="1" applyAlignment="1">
      <alignment horizontal="center" vertical="center"/>
    </xf>
    <xf numFmtId="253" fontId="41" fillId="4" borderId="37" xfId="5463" applyNumberFormat="1" applyFont="1" applyFill="1" applyBorder="1" applyAlignment="1">
      <alignment horizontal="center" vertical="center"/>
    </xf>
    <xf numFmtId="253" fontId="41" fillId="4" borderId="87" xfId="5463" applyNumberFormat="1" applyFont="1" applyFill="1" applyBorder="1" applyAlignment="1">
      <alignment horizontal="center" vertical="center"/>
    </xf>
    <xf numFmtId="3" fontId="10" fillId="11" borderId="87" xfId="5463" applyNumberFormat="1" applyFont="1" applyFill="1" applyBorder="1" applyAlignment="1">
      <alignment horizontal="center" vertical="center"/>
    </xf>
    <xf numFmtId="263" fontId="41" fillId="11" borderId="87" xfId="5463" applyNumberFormat="1" applyFont="1" applyFill="1" applyBorder="1" applyAlignment="1">
      <alignment horizontal="center" vertical="center"/>
    </xf>
    <xf numFmtId="0" fontId="35" fillId="11" borderId="0" xfId="5463" applyFont="1" applyFill="1" applyAlignment="1">
      <alignment vertical="center"/>
    </xf>
    <xf numFmtId="0" fontId="19" fillId="11" borderId="0" xfId="5463" applyFont="1" applyFill="1" applyAlignment="1">
      <alignment vertical="center"/>
    </xf>
    <xf numFmtId="0" fontId="41" fillId="4" borderId="74" xfId="5463" applyFont="1" applyFill="1" applyBorder="1" applyAlignment="1">
      <alignment vertical="center"/>
    </xf>
    <xf numFmtId="0" fontId="41" fillId="4" borderId="76" xfId="5463" applyFont="1" applyFill="1" applyBorder="1" applyAlignment="1">
      <alignment horizontal="center" vertical="center" wrapText="1"/>
    </xf>
    <xf numFmtId="0" fontId="41" fillId="4" borderId="37" xfId="5463" applyFont="1" applyFill="1" applyBorder="1" applyAlignment="1">
      <alignment horizontal="center" vertical="center"/>
    </xf>
    <xf numFmtId="0" fontId="10" fillId="11" borderId="37" xfId="5463" applyFont="1" applyFill="1" applyBorder="1" applyAlignment="1">
      <alignment horizontal="center" vertical="center"/>
    </xf>
    <xf numFmtId="0" fontId="41" fillId="4" borderId="74" xfId="5463" applyFont="1" applyFill="1" applyBorder="1" applyAlignment="1">
      <alignment horizontal="center" vertical="center"/>
    </xf>
    <xf numFmtId="3" fontId="41" fillId="4" borderId="74" xfId="5463" applyNumberFormat="1" applyFont="1" applyFill="1" applyBorder="1" applyAlignment="1">
      <alignment horizontal="center" vertical="center"/>
    </xf>
    <xf numFmtId="3" fontId="41" fillId="4" borderId="189" xfId="5463" applyNumberFormat="1" applyFont="1" applyFill="1" applyBorder="1" applyAlignment="1">
      <alignment horizontal="center" vertical="center"/>
    </xf>
    <xf numFmtId="0" fontId="43" fillId="11" borderId="0" xfId="5615" applyFont="1" applyFill="1" applyBorder="1" applyAlignment="1">
      <alignment horizontal="left"/>
    </xf>
    <xf numFmtId="0" fontId="16" fillId="11" borderId="0" xfId="5615" applyFont="1" applyFill="1" applyBorder="1" applyAlignment="1">
      <alignment horizontal="center"/>
    </xf>
    <xf numFmtId="0" fontId="23" fillId="11" borderId="0" xfId="5615" applyFont="1" applyFill="1"/>
    <xf numFmtId="0" fontId="23" fillId="11" borderId="0" xfId="5615" applyFill="1"/>
    <xf numFmtId="0" fontId="23" fillId="11" borderId="0" xfId="5615" applyFont="1" applyFill="1" applyBorder="1"/>
    <xf numFmtId="0" fontId="16" fillId="11" borderId="0" xfId="5615" applyFont="1" applyFill="1" applyBorder="1" applyAlignment="1">
      <alignment horizontal="left"/>
    </xf>
    <xf numFmtId="0" fontId="3" fillId="14" borderId="0" xfId="5615" applyFont="1" applyFill="1" applyBorder="1" applyAlignment="1">
      <alignment horizontal="center"/>
    </xf>
    <xf numFmtId="0" fontId="43" fillId="4" borderId="181" xfId="5615" applyFont="1" applyFill="1" applyBorder="1" applyAlignment="1">
      <alignment horizontal="center"/>
    </xf>
    <xf numFmtId="0" fontId="43" fillId="4" borderId="87" xfId="5615" applyFont="1" applyFill="1" applyBorder="1" applyAlignment="1">
      <alignment horizontal="center"/>
    </xf>
    <xf numFmtId="0" fontId="144" fillId="4" borderId="87" xfId="5615" applyFont="1" applyFill="1" applyBorder="1" applyAlignment="1">
      <alignment horizontal="center"/>
    </xf>
    <xf numFmtId="0" fontId="19" fillId="4" borderId="37" xfId="5615" applyFont="1" applyFill="1" applyBorder="1" applyAlignment="1">
      <alignment horizontal="center"/>
    </xf>
    <xf numFmtId="0" fontId="19" fillId="4" borderId="4" xfId="5615" applyFont="1" applyFill="1" applyBorder="1" applyAlignment="1">
      <alignment horizontal="center"/>
    </xf>
    <xf numFmtId="3" fontId="19" fillId="11" borderId="37" xfId="5615" applyNumberFormat="1" applyFont="1" applyFill="1" applyBorder="1" applyAlignment="1">
      <alignment horizontal="center"/>
    </xf>
    <xf numFmtId="0" fontId="3" fillId="14" borderId="0" xfId="5615" applyFont="1" applyFill="1" applyBorder="1" applyAlignment="1">
      <alignment horizontal="centerContinuous"/>
    </xf>
    <xf numFmtId="2" fontId="27" fillId="11" borderId="0" xfId="5615" applyNumberFormat="1" applyFont="1" applyFill="1" applyBorder="1" applyAlignment="1">
      <alignment horizontal="center"/>
    </xf>
    <xf numFmtId="167" fontId="19" fillId="11" borderId="37" xfId="5615" applyNumberFormat="1" applyFont="1" applyFill="1" applyBorder="1" applyAlignment="1">
      <alignment horizontal="center"/>
    </xf>
    <xf numFmtId="4" fontId="19" fillId="11" borderId="5" xfId="5615" applyNumberFormat="1" applyFont="1" applyFill="1" applyBorder="1" applyAlignment="1">
      <alignment horizontal="center"/>
    </xf>
    <xf numFmtId="2" fontId="27" fillId="11" borderId="0" xfId="5615" applyNumberFormat="1" applyFont="1" applyFill="1" applyBorder="1" applyAlignment="1">
      <alignment horizontal="right"/>
    </xf>
    <xf numFmtId="2" fontId="23" fillId="11" borderId="0" xfId="5615" applyNumberFormat="1" applyFont="1" applyFill="1"/>
    <xf numFmtId="4" fontId="19" fillId="11" borderId="37" xfId="5615" applyNumberFormat="1" applyFont="1" applyFill="1" applyBorder="1" applyAlignment="1">
      <alignment horizontal="center"/>
    </xf>
    <xf numFmtId="0" fontId="19" fillId="4" borderId="87" xfId="5615" applyFont="1" applyFill="1" applyBorder="1" applyAlignment="1">
      <alignment horizontal="center"/>
    </xf>
    <xf numFmtId="0" fontId="19" fillId="11" borderId="87" xfId="5615" applyFont="1" applyFill="1" applyBorder="1" applyAlignment="1">
      <alignment horizontal="center"/>
    </xf>
    <xf numFmtId="169" fontId="19" fillId="11" borderId="87" xfId="5615" applyNumberFormat="1" applyFont="1" applyFill="1" applyBorder="1" applyAlignment="1">
      <alignment horizontal="center"/>
    </xf>
    <xf numFmtId="3" fontId="43" fillId="11" borderId="74" xfId="5615" applyNumberFormat="1" applyFont="1" applyFill="1" applyBorder="1" applyAlignment="1">
      <alignment horizontal="center" vertical="center"/>
    </xf>
    <xf numFmtId="167" fontId="43" fillId="11" borderId="74" xfId="5615" applyNumberFormat="1" applyFont="1" applyFill="1" applyBorder="1" applyAlignment="1">
      <alignment horizontal="center" vertical="center"/>
    </xf>
    <xf numFmtId="2" fontId="43" fillId="11" borderId="74" xfId="5615" applyNumberFormat="1" applyFont="1" applyFill="1" applyBorder="1" applyAlignment="1">
      <alignment horizontal="center" vertical="center"/>
    </xf>
    <xf numFmtId="169" fontId="23" fillId="11" borderId="0" xfId="5615" applyNumberFormat="1" applyFont="1" applyFill="1"/>
    <xf numFmtId="2" fontId="23" fillId="11" borderId="0" xfId="5615" applyNumberFormat="1" applyFont="1" applyFill="1" applyBorder="1" applyAlignment="1">
      <alignment horizontal="right"/>
    </xf>
    <xf numFmtId="0" fontId="145" fillId="11" borderId="0" xfId="5615" applyFont="1" applyFill="1"/>
    <xf numFmtId="0" fontId="267" fillId="11" borderId="0" xfId="5615" applyFont="1" applyFill="1"/>
    <xf numFmtId="0" fontId="267" fillId="11" borderId="0" xfId="5615" applyFont="1" applyFill="1" applyBorder="1"/>
    <xf numFmtId="3" fontId="267" fillId="11" borderId="0" xfId="5615" applyNumberFormat="1" applyFont="1" applyFill="1" applyBorder="1" applyAlignment="1">
      <alignment horizontal="right"/>
    </xf>
    <xf numFmtId="0" fontId="23" fillId="11" borderId="0" xfId="5615" applyFont="1" applyFill="1" applyBorder="1" applyAlignment="1">
      <alignment horizontal="right"/>
    </xf>
    <xf numFmtId="167" fontId="267" fillId="11" borderId="0" xfId="5615" applyNumberFormat="1" applyFont="1" applyFill="1"/>
    <xf numFmtId="214" fontId="23" fillId="11" borderId="0" xfId="5615" applyNumberFormat="1" applyFont="1" applyFill="1"/>
    <xf numFmtId="3" fontId="267" fillId="11" borderId="0" xfId="5615" applyNumberFormat="1" applyFont="1" applyFill="1"/>
    <xf numFmtId="0" fontId="43" fillId="106" borderId="1" xfId="5615" applyFont="1" applyFill="1" applyBorder="1" applyAlignment="1">
      <alignment horizontal="center"/>
    </xf>
    <xf numFmtId="0" fontId="43" fillId="4" borderId="1" xfId="5615" applyFont="1" applyFill="1" applyBorder="1" applyAlignment="1">
      <alignment horizontal="center"/>
    </xf>
    <xf numFmtId="0" fontId="43" fillId="106" borderId="12" xfId="5615" applyFont="1" applyFill="1" applyBorder="1" applyAlignment="1">
      <alignment horizontal="center"/>
    </xf>
    <xf numFmtId="0" fontId="144" fillId="4" borderId="12" xfId="5615" applyFont="1" applyFill="1" applyBorder="1" applyAlignment="1">
      <alignment horizontal="center"/>
    </xf>
    <xf numFmtId="264" fontId="43" fillId="106" borderId="4" xfId="5615" quotePrefix="1" applyNumberFormat="1" applyFont="1" applyFill="1" applyBorder="1" applyAlignment="1">
      <alignment horizontal="left"/>
    </xf>
    <xf numFmtId="3" fontId="19" fillId="11" borderId="1" xfId="5615" applyNumberFormat="1" applyFont="1" applyFill="1" applyBorder="1" applyAlignment="1">
      <alignment horizontal="center"/>
    </xf>
    <xf numFmtId="167" fontId="19" fillId="11" borderId="1" xfId="5615" applyNumberFormat="1" applyFont="1" applyFill="1" applyBorder="1" applyAlignment="1">
      <alignment horizontal="center"/>
    </xf>
    <xf numFmtId="3" fontId="19" fillId="11" borderId="181" xfId="5615" applyNumberFormat="1" applyFont="1" applyFill="1" applyBorder="1" applyAlignment="1">
      <alignment horizontal="center"/>
    </xf>
    <xf numFmtId="265" fontId="19" fillId="106" borderId="4" xfId="5615" applyNumberFormat="1" applyFont="1" applyFill="1" applyBorder="1" applyAlignment="1">
      <alignment horizontal="center"/>
    </xf>
    <xf numFmtId="167" fontId="19" fillId="11" borderId="4" xfId="5615" applyNumberFormat="1" applyFont="1" applyFill="1" applyBorder="1" applyAlignment="1">
      <alignment horizontal="center"/>
    </xf>
    <xf numFmtId="167" fontId="267" fillId="11" borderId="0" xfId="5615" applyNumberFormat="1" applyFont="1" applyFill="1" applyBorder="1" applyAlignment="1">
      <alignment horizontal="right"/>
    </xf>
    <xf numFmtId="3" fontId="19" fillId="11" borderId="4" xfId="5615" applyNumberFormat="1" applyFont="1" applyFill="1" applyBorder="1" applyAlignment="1">
      <alignment horizontal="center"/>
    </xf>
    <xf numFmtId="265" fontId="19" fillId="106" borderId="4" xfId="5615" applyNumberFormat="1" applyFont="1" applyFill="1" applyBorder="1" applyAlignment="1">
      <alignment horizontal="left"/>
    </xf>
    <xf numFmtId="16" fontId="19" fillId="106" borderId="218" xfId="5615" applyNumberFormat="1" applyFont="1" applyFill="1" applyBorder="1" applyAlignment="1">
      <alignment horizontal="right"/>
    </xf>
    <xf numFmtId="3" fontId="19" fillId="11" borderId="219" xfId="5615" applyNumberFormat="1" applyFont="1" applyFill="1" applyBorder="1" applyAlignment="1">
      <alignment horizontal="center"/>
    </xf>
    <xf numFmtId="169" fontId="19" fillId="11" borderId="218" xfId="5615" applyNumberFormat="1" applyFont="1" applyFill="1" applyBorder="1" applyAlignment="1">
      <alignment horizontal="center"/>
    </xf>
    <xf numFmtId="167" fontId="19" fillId="11" borderId="219" xfId="5615" applyNumberFormat="1" applyFont="1" applyFill="1" applyBorder="1" applyAlignment="1">
      <alignment horizontal="left" indent="4"/>
    </xf>
    <xf numFmtId="3" fontId="23" fillId="11" borderId="0" xfId="5615" applyNumberFormat="1" applyFont="1" applyFill="1" applyBorder="1" applyAlignment="1">
      <alignment horizontal="right"/>
    </xf>
    <xf numFmtId="17" fontId="43" fillId="106" borderId="4" xfId="5615" quotePrefix="1" applyNumberFormat="1" applyFont="1" applyFill="1" applyBorder="1" applyAlignment="1">
      <alignment horizontal="left"/>
    </xf>
    <xf numFmtId="4" fontId="19" fillId="11" borderId="37" xfId="5615" applyNumberFormat="1" applyFont="1" applyFill="1" applyBorder="1" applyAlignment="1">
      <alignment horizontal="left" indent="5"/>
    </xf>
    <xf numFmtId="0" fontId="19" fillId="11" borderId="37" xfId="5615" applyFont="1" applyFill="1" applyBorder="1" applyAlignment="1">
      <alignment horizontal="center"/>
    </xf>
    <xf numFmtId="0" fontId="19" fillId="11" borderId="4" xfId="5615" applyFont="1" applyFill="1" applyBorder="1" applyAlignment="1">
      <alignment horizontal="center"/>
    </xf>
    <xf numFmtId="169" fontId="19" fillId="11" borderId="4" xfId="5615" applyNumberFormat="1" applyFont="1" applyFill="1" applyBorder="1" applyAlignment="1">
      <alignment horizontal="center"/>
    </xf>
    <xf numFmtId="0" fontId="267" fillId="11" borderId="37" xfId="5615" applyFont="1" applyFill="1" applyBorder="1"/>
    <xf numFmtId="0" fontId="267" fillId="11" borderId="4" xfId="5615" applyFont="1" applyFill="1" applyBorder="1"/>
    <xf numFmtId="2" fontId="19" fillId="11" borderId="37" xfId="5615" applyNumberFormat="1" applyFont="1" applyFill="1" applyBorder="1" applyAlignment="1">
      <alignment horizontal="center"/>
    </xf>
    <xf numFmtId="260" fontId="19" fillId="11" borderId="4" xfId="1" applyNumberFormat="1" applyFont="1" applyFill="1" applyBorder="1" applyAlignment="1">
      <alignment horizontal="center"/>
    </xf>
    <xf numFmtId="17" fontId="43" fillId="106" borderId="87" xfId="5615" quotePrefix="1" applyNumberFormat="1" applyFont="1" applyFill="1" applyBorder="1" applyAlignment="1">
      <alignment horizontal="left"/>
    </xf>
    <xf numFmtId="167" fontId="19" fillId="11" borderId="12" xfId="5615" applyNumberFormat="1" applyFont="1" applyFill="1" applyBorder="1" applyAlignment="1">
      <alignment horizontal="center"/>
    </xf>
    <xf numFmtId="2" fontId="19" fillId="11" borderId="87" xfId="5615" applyNumberFormat="1" applyFont="1" applyFill="1" applyBorder="1" applyAlignment="1">
      <alignment horizontal="center"/>
    </xf>
    <xf numFmtId="169" fontId="19" fillId="11" borderId="0" xfId="5615" applyNumberFormat="1" applyFont="1" applyFill="1" applyBorder="1" applyAlignment="1">
      <alignment horizontal="center"/>
    </xf>
    <xf numFmtId="2" fontId="19" fillId="11" borderId="0" xfId="5615" applyNumberFormat="1" applyFont="1" applyFill="1" applyBorder="1" applyAlignment="1">
      <alignment horizontal="center"/>
    </xf>
    <xf numFmtId="169" fontId="145" fillId="11" borderId="0" xfId="5615" applyNumberFormat="1" applyFont="1" applyFill="1" applyBorder="1" applyAlignment="1">
      <alignment horizontal="left"/>
    </xf>
    <xf numFmtId="0" fontId="5" fillId="11" borderId="0" xfId="5615" applyFont="1" applyFill="1"/>
    <xf numFmtId="0" fontId="5" fillId="11" borderId="0" xfId="5615" applyFont="1" applyFill="1" applyBorder="1"/>
    <xf numFmtId="0" fontId="285" fillId="11" borderId="0" xfId="2" applyFont="1" applyFill="1" applyBorder="1" applyAlignment="1">
      <alignment vertical="center"/>
    </xf>
    <xf numFmtId="0" fontId="286" fillId="11" borderId="0" xfId="2" applyFont="1" applyFill="1" applyBorder="1" applyAlignment="1">
      <alignment vertical="center"/>
    </xf>
    <xf numFmtId="0" fontId="286" fillId="111" borderId="0" xfId="2" applyFont="1" applyFill="1" applyBorder="1" applyAlignment="1">
      <alignment horizontal="right" vertical="center"/>
    </xf>
    <xf numFmtId="0" fontId="8" fillId="111" borderId="0" xfId="2" applyFont="1" applyFill="1" applyBorder="1" applyAlignment="1">
      <alignment horizontal="centerContinuous" vertical="center"/>
    </xf>
    <xf numFmtId="0" fontId="23" fillId="11" borderId="0" xfId="2" applyFont="1" applyFill="1" applyBorder="1" applyAlignment="1">
      <alignment vertical="center"/>
    </xf>
    <xf numFmtId="167" fontId="8" fillId="11" borderId="0" xfId="2" applyNumberFormat="1" applyFont="1" applyFill="1" applyBorder="1" applyAlignment="1">
      <alignment horizontal="center" vertical="center"/>
    </xf>
    <xf numFmtId="0" fontId="3" fillId="112" borderId="35" xfId="2" applyFont="1" applyFill="1" applyBorder="1" applyAlignment="1">
      <alignment horizontal="center" vertical="center"/>
    </xf>
    <xf numFmtId="0" fontId="3" fillId="112" borderId="34" xfId="2" applyFont="1" applyFill="1" applyBorder="1" applyAlignment="1">
      <alignment horizontal="center" vertical="center"/>
    </xf>
    <xf numFmtId="0" fontId="3" fillId="112" borderId="36" xfId="2" applyFont="1" applyFill="1" applyBorder="1" applyAlignment="1">
      <alignment horizontal="center" vertical="center"/>
    </xf>
    <xf numFmtId="0" fontId="23" fillId="11" borderId="0" xfId="2" applyFont="1" applyFill="1" applyAlignment="1">
      <alignment vertical="center"/>
    </xf>
    <xf numFmtId="0" fontId="3" fillId="112" borderId="40" xfId="2" applyFont="1" applyFill="1" applyBorder="1" applyAlignment="1">
      <alignment horizontal="center" vertical="center"/>
    </xf>
    <xf numFmtId="0" fontId="3" fillId="112" borderId="9" xfId="2" applyFont="1" applyFill="1" applyBorder="1" applyAlignment="1">
      <alignment horizontal="center" vertical="center"/>
    </xf>
    <xf numFmtId="0" fontId="3" fillId="112" borderId="38" xfId="2" applyFont="1" applyFill="1" applyBorder="1" applyAlignment="1">
      <alignment horizontal="center" vertical="center"/>
    </xf>
    <xf numFmtId="0" fontId="3" fillId="112" borderId="10" xfId="2" applyFont="1" applyFill="1" applyBorder="1" applyAlignment="1">
      <alignment horizontal="center" vertical="center"/>
    </xf>
    <xf numFmtId="0" fontId="3" fillId="112" borderId="46" xfId="2" applyFont="1" applyFill="1" applyBorder="1" applyAlignment="1">
      <alignment horizontal="center" vertical="center"/>
    </xf>
    <xf numFmtId="0" fontId="6" fillId="112" borderId="44" xfId="2" applyFont="1" applyFill="1" applyBorder="1" applyAlignment="1">
      <alignment horizontal="center" vertical="center"/>
    </xf>
    <xf numFmtId="0" fontId="8" fillId="3" borderId="6" xfId="2" applyFont="1" applyFill="1" applyBorder="1" applyAlignment="1">
      <alignment horizontal="centerContinuous" vertical="center"/>
    </xf>
    <xf numFmtId="0" fontId="8" fillId="3" borderId="6" xfId="2" applyFont="1" applyFill="1" applyBorder="1" applyAlignment="1">
      <alignment horizontal="right" vertical="center"/>
    </xf>
    <xf numFmtId="0" fontId="42" fillId="3" borderId="6" xfId="2" applyFont="1" applyFill="1" applyBorder="1" applyAlignment="1">
      <alignment horizontal="right" vertical="center"/>
    </xf>
    <xf numFmtId="0" fontId="8" fillId="3" borderId="20" xfId="2" applyFont="1" applyFill="1" applyBorder="1" applyAlignment="1">
      <alignment horizontal="centerContinuous" vertical="center"/>
    </xf>
    <xf numFmtId="0" fontId="42" fillId="3" borderId="64" xfId="2" applyFont="1" applyFill="1" applyBorder="1" applyAlignment="1">
      <alignment horizontal="centerContinuous" vertical="center"/>
    </xf>
    <xf numFmtId="0" fontId="42" fillId="3" borderId="5" xfId="2" applyFont="1" applyFill="1" applyBorder="1" applyAlignment="1">
      <alignment horizontal="centerContinuous" vertical="center"/>
    </xf>
    <xf numFmtId="0" fontId="8" fillId="11" borderId="0" xfId="2" applyFont="1" applyFill="1" applyAlignment="1">
      <alignment vertical="center"/>
    </xf>
    <xf numFmtId="0" fontId="8" fillId="11" borderId="0" xfId="2" applyFont="1" applyFill="1" applyBorder="1" applyAlignment="1">
      <alignment vertical="center"/>
    </xf>
    <xf numFmtId="168" fontId="6" fillId="113" borderId="220" xfId="2" quotePrefix="1" applyNumberFormat="1" applyFont="1" applyFill="1" applyBorder="1" applyAlignment="1">
      <alignment horizontal="center" vertical="center"/>
    </xf>
    <xf numFmtId="0" fontId="8" fillId="11" borderId="0" xfId="2" applyFont="1" applyFill="1" applyBorder="1" applyAlignment="1">
      <alignment horizontal="center" vertical="center"/>
    </xf>
    <xf numFmtId="167" fontId="8" fillId="11" borderId="71" xfId="2" applyNumberFormat="1" applyFont="1" applyFill="1" applyBorder="1" applyAlignment="1">
      <alignment horizontal="center" vertical="center"/>
    </xf>
    <xf numFmtId="167" fontId="8" fillId="11" borderId="8" xfId="2" applyNumberFormat="1" applyFont="1" applyFill="1" applyBorder="1" applyAlignment="1">
      <alignment horizontal="center" vertical="center"/>
    </xf>
    <xf numFmtId="167" fontId="8" fillId="11" borderId="221" xfId="2" applyNumberFormat="1" applyFont="1" applyFill="1" applyBorder="1" applyAlignment="1">
      <alignment horizontal="center" vertical="center"/>
    </xf>
    <xf numFmtId="266" fontId="27" fillId="114" borderId="40" xfId="2" applyNumberFormat="1" applyFont="1" applyFill="1" applyBorder="1" applyAlignment="1">
      <alignment horizontal="right"/>
    </xf>
    <xf numFmtId="167" fontId="23" fillId="11" borderId="39" xfId="2" applyNumberFormat="1" applyFont="1" applyFill="1" applyBorder="1" applyAlignment="1">
      <alignment horizontal="center" vertical="center"/>
    </xf>
    <xf numFmtId="169" fontId="23" fillId="11" borderId="9" xfId="2" applyNumberFormat="1" applyFont="1" applyFill="1" applyBorder="1" applyAlignment="1">
      <alignment horizontal="center" vertical="center"/>
    </xf>
    <xf numFmtId="2" fontId="23" fillId="11" borderId="9" xfId="2" applyNumberFormat="1" applyFont="1" applyFill="1" applyBorder="1" applyAlignment="1">
      <alignment horizontal="center" vertical="center"/>
    </xf>
    <xf numFmtId="167" fontId="23" fillId="11" borderId="9" xfId="2" applyNumberFormat="1" applyFont="1" applyFill="1" applyBorder="1" applyAlignment="1">
      <alignment horizontal="center" vertical="center"/>
    </xf>
    <xf numFmtId="2" fontId="23" fillId="11" borderId="5" xfId="2" applyNumberFormat="1" applyFont="1" applyFill="1" applyBorder="1" applyAlignment="1">
      <alignment horizontal="center" vertical="center"/>
    </xf>
    <xf numFmtId="16" fontId="8" fillId="11" borderId="0" xfId="2" applyNumberFormat="1" applyFont="1" applyFill="1" applyAlignment="1">
      <alignment vertical="center"/>
    </xf>
    <xf numFmtId="2" fontId="8" fillId="11" borderId="0" xfId="2" applyNumberFormat="1" applyFont="1" applyFill="1" applyBorder="1" applyAlignment="1">
      <alignment vertical="center"/>
    </xf>
    <xf numFmtId="2" fontId="23" fillId="11" borderId="38" xfId="2" applyNumberFormat="1" applyFont="1" applyFill="1" applyBorder="1" applyAlignment="1">
      <alignment horizontal="center" vertical="center"/>
    </xf>
    <xf numFmtId="167" fontId="23" fillId="11" borderId="10" xfId="2" applyNumberFormat="1" applyFont="1" applyFill="1" applyBorder="1" applyAlignment="1">
      <alignment horizontal="center" vertical="center"/>
    </xf>
    <xf numFmtId="2" fontId="23" fillId="11" borderId="10" xfId="2" applyNumberFormat="1" applyFont="1" applyFill="1" applyBorder="1" applyAlignment="1">
      <alignment horizontal="center" vertical="center"/>
    </xf>
    <xf numFmtId="2" fontId="23" fillId="11" borderId="6" xfId="2" applyNumberFormat="1" applyFont="1" applyFill="1" applyBorder="1" applyAlignment="1">
      <alignment horizontal="center" vertical="center"/>
    </xf>
    <xf numFmtId="2" fontId="23" fillId="11" borderId="46" xfId="2" applyNumberFormat="1" applyFont="1" applyFill="1" applyBorder="1" applyAlignment="1">
      <alignment horizontal="center" vertical="center"/>
    </xf>
    <xf numFmtId="17" fontId="6" fillId="113" borderId="40" xfId="2" applyNumberFormat="1" applyFont="1" applyFill="1" applyBorder="1" applyAlignment="1">
      <alignment horizontal="right" vertical="center"/>
    </xf>
    <xf numFmtId="3" fontId="23" fillId="11" borderId="0" xfId="2" applyNumberFormat="1" applyFont="1" applyFill="1" applyBorder="1" applyAlignment="1">
      <alignment horizontal="center" vertical="center"/>
    </xf>
    <xf numFmtId="3" fontId="23" fillId="11" borderId="9" xfId="2" applyNumberFormat="1" applyFont="1" applyFill="1" applyBorder="1" applyAlignment="1">
      <alignment horizontal="center" vertical="center"/>
    </xf>
    <xf numFmtId="2" fontId="23" fillId="11" borderId="0" xfId="2" applyNumberFormat="1" applyFont="1" applyFill="1" applyBorder="1" applyAlignment="1">
      <alignment horizontal="center" vertical="center"/>
    </xf>
    <xf numFmtId="4" fontId="23" fillId="11" borderId="38" xfId="2" applyNumberFormat="1" applyFont="1" applyFill="1" applyBorder="1" applyAlignment="1">
      <alignment horizontal="center" vertical="center"/>
    </xf>
    <xf numFmtId="169" fontId="8" fillId="11" borderId="0" xfId="2" applyNumberFormat="1" applyFont="1" applyFill="1" applyAlignment="1">
      <alignment vertical="center"/>
    </xf>
    <xf numFmtId="0" fontId="227" fillId="11" borderId="0" xfId="2" applyFont="1" applyFill="1" applyAlignment="1">
      <alignment vertical="center"/>
    </xf>
    <xf numFmtId="3" fontId="227" fillId="11" borderId="0" xfId="2" applyNumberFormat="1" applyFont="1" applyFill="1" applyAlignment="1">
      <alignment vertical="center"/>
    </xf>
    <xf numFmtId="2" fontId="227" fillId="11" borderId="0" xfId="2" applyNumberFormat="1" applyFont="1" applyFill="1" applyBorder="1" applyAlignment="1">
      <alignment vertical="center"/>
    </xf>
    <xf numFmtId="0" fontId="227" fillId="11" borderId="0" xfId="2" applyFont="1" applyFill="1" applyBorder="1" applyAlignment="1">
      <alignment vertical="center"/>
    </xf>
    <xf numFmtId="4" fontId="23" fillId="11" borderId="9" xfId="2" applyNumberFormat="1" applyFont="1" applyFill="1" applyBorder="1" applyAlignment="1">
      <alignment horizontal="center" vertical="center"/>
    </xf>
    <xf numFmtId="4" fontId="23" fillId="11" borderId="5" xfId="2" applyNumberFormat="1" applyFont="1" applyFill="1" applyBorder="1" applyAlignment="1">
      <alignment horizontal="center" vertical="center"/>
    </xf>
    <xf numFmtId="3" fontId="23" fillId="11" borderId="39" xfId="2" applyNumberFormat="1" applyFont="1" applyFill="1" applyBorder="1" applyAlignment="1">
      <alignment horizontal="center" vertical="center"/>
    </xf>
    <xf numFmtId="17" fontId="6" fillId="113" borderId="222" xfId="2" applyNumberFormat="1" applyFont="1" applyFill="1" applyBorder="1" applyAlignment="1">
      <alignment horizontal="right" vertical="center"/>
    </xf>
    <xf numFmtId="3" fontId="23" fillId="11" borderId="158" xfId="2" applyNumberFormat="1" applyFont="1" applyFill="1" applyBorder="1" applyAlignment="1">
      <alignment horizontal="center" vertical="center"/>
    </xf>
    <xf numFmtId="3" fontId="23" fillId="11" borderId="159" xfId="2" applyNumberFormat="1" applyFont="1" applyFill="1" applyBorder="1" applyAlignment="1">
      <alignment horizontal="center" vertical="center"/>
    </xf>
    <xf numFmtId="2" fontId="23" fillId="11" borderId="159" xfId="2" applyNumberFormat="1" applyFont="1" applyFill="1" applyBorder="1" applyAlignment="1">
      <alignment horizontal="center" vertical="center"/>
    </xf>
    <xf numFmtId="4" fontId="23" fillId="11" borderId="160" xfId="2" applyNumberFormat="1" applyFont="1" applyFill="1" applyBorder="1" applyAlignment="1">
      <alignment horizontal="center" vertical="center"/>
    </xf>
    <xf numFmtId="0" fontId="39" fillId="11" borderId="0" xfId="2" applyFont="1" applyFill="1" applyAlignment="1">
      <alignment horizontal="left" vertical="center"/>
    </xf>
    <xf numFmtId="0" fontId="11" fillId="11" borderId="0" xfId="2" applyFont="1" applyFill="1" applyAlignment="1">
      <alignment horizontal="left" vertical="center"/>
    </xf>
    <xf numFmtId="0" fontId="39" fillId="11" borderId="0" xfId="2" applyFont="1" applyFill="1" applyBorder="1" applyAlignment="1">
      <alignment horizontal="left" vertical="center"/>
    </xf>
    <xf numFmtId="3" fontId="227" fillId="11" borderId="0" xfId="2" applyNumberFormat="1" applyFont="1" applyFill="1" applyBorder="1" applyAlignment="1">
      <alignment vertical="center"/>
    </xf>
    <xf numFmtId="0" fontId="11" fillId="11" borderId="0" xfId="2" applyFont="1" applyFill="1" applyAlignment="1">
      <alignment vertical="center"/>
    </xf>
    <xf numFmtId="0" fontId="11" fillId="11" borderId="0" xfId="2" applyFont="1" applyFill="1" applyBorder="1" applyAlignment="1">
      <alignment vertical="center"/>
    </xf>
    <xf numFmtId="3" fontId="11" fillId="11" borderId="0" xfId="2" applyNumberFormat="1" applyFont="1" applyFill="1" applyAlignment="1">
      <alignment vertical="center"/>
    </xf>
    <xf numFmtId="0" fontId="26" fillId="11" borderId="0" xfId="2" applyFont="1" applyFill="1" applyAlignment="1">
      <alignment vertical="center"/>
    </xf>
    <xf numFmtId="0" fontId="41" fillId="15" borderId="27" xfId="5463" applyFont="1" applyFill="1" applyBorder="1" applyAlignment="1">
      <alignment horizontal="center" vertical="center"/>
    </xf>
    <xf numFmtId="0" fontId="41" fillId="15" borderId="118" xfId="5463" applyFont="1" applyFill="1" applyBorder="1" applyAlignment="1">
      <alignment horizontal="centerContinuous" vertical="center"/>
    </xf>
    <xf numFmtId="0" fontId="41" fillId="15" borderId="30" xfId="5463" applyFont="1" applyFill="1" applyBorder="1" applyAlignment="1">
      <alignment horizontal="centerContinuous" vertical="center"/>
    </xf>
    <xf numFmtId="0" fontId="41" fillId="15" borderId="30" xfId="5463" applyFont="1" applyFill="1" applyBorder="1" applyAlignment="1">
      <alignment horizontal="center" vertical="center"/>
    </xf>
    <xf numFmtId="0" fontId="41" fillId="15" borderId="56" xfId="5463" applyFont="1" applyFill="1" applyBorder="1" applyAlignment="1">
      <alignment horizontal="center" vertical="center"/>
    </xf>
    <xf numFmtId="0" fontId="41" fillId="15" borderId="32" xfId="5463" applyFont="1" applyFill="1" applyBorder="1" applyAlignment="1">
      <alignment horizontal="center" vertical="center"/>
    </xf>
    <xf numFmtId="0" fontId="41" fillId="15" borderId="190" xfId="5463" applyFont="1" applyFill="1" applyBorder="1" applyAlignment="1">
      <alignment horizontal="center" vertical="center"/>
    </xf>
    <xf numFmtId="0" fontId="41" fillId="15" borderId="13" xfId="5463" applyFont="1" applyFill="1" applyBorder="1" applyAlignment="1">
      <alignment horizontal="center" vertical="center"/>
    </xf>
    <xf numFmtId="0" fontId="41" fillId="15" borderId="5" xfId="5463" applyFont="1" applyFill="1" applyBorder="1" applyAlignment="1">
      <alignment horizontal="center" vertical="center"/>
    </xf>
    <xf numFmtId="0" fontId="41" fillId="15" borderId="37" xfId="5463" applyFont="1" applyFill="1" applyBorder="1" applyAlignment="1">
      <alignment horizontal="center" vertical="center"/>
    </xf>
    <xf numFmtId="0" fontId="41" fillId="15" borderId="57" xfId="5463" applyFont="1" applyFill="1" applyBorder="1" applyAlignment="1">
      <alignment horizontal="center" vertical="center"/>
    </xf>
    <xf numFmtId="0" fontId="41" fillId="99" borderId="223" xfId="5463" applyFont="1" applyFill="1" applyBorder="1" applyAlignment="1">
      <alignment horizontal="center" vertical="center"/>
    </xf>
    <xf numFmtId="0" fontId="41" fillId="99" borderId="156" xfId="5463" applyFont="1" applyFill="1" applyBorder="1" applyAlignment="1">
      <alignment horizontal="center" vertical="center"/>
    </xf>
    <xf numFmtId="0" fontId="41" fillId="99" borderId="189" xfId="5463" applyFont="1" applyFill="1" applyBorder="1" applyAlignment="1">
      <alignment horizontal="center" vertical="center"/>
    </xf>
    <xf numFmtId="0" fontId="41" fillId="15" borderId="87" xfId="5463" applyFont="1" applyFill="1" applyBorder="1" applyAlignment="1">
      <alignment horizontal="center" vertical="center"/>
    </xf>
    <xf numFmtId="0" fontId="41" fillId="15" borderId="199" xfId="5463" applyFont="1" applyFill="1" applyBorder="1" applyAlignment="1">
      <alignment horizontal="center" vertical="center"/>
    </xf>
    <xf numFmtId="0" fontId="41" fillId="15" borderId="48" xfId="5463" applyFont="1" applyFill="1" applyBorder="1" applyAlignment="1">
      <alignment horizontal="center" vertical="center"/>
    </xf>
    <xf numFmtId="168" fontId="41" fillId="15" borderId="32" xfId="5463" quotePrefix="1" applyNumberFormat="1" applyFont="1" applyFill="1" applyBorder="1" applyAlignment="1">
      <alignment horizontal="center" vertical="center"/>
    </xf>
    <xf numFmtId="3" fontId="10" fillId="11" borderId="118" xfId="5463" applyNumberFormat="1" applyFont="1" applyFill="1" applyBorder="1" applyAlignment="1">
      <alignment horizontal="center" vertical="center"/>
    </xf>
    <xf numFmtId="3" fontId="10" fillId="11" borderId="30" xfId="5463" applyNumberFormat="1" applyFont="1" applyFill="1" applyBorder="1" applyAlignment="1">
      <alignment horizontal="center" vertical="center"/>
    </xf>
    <xf numFmtId="3" fontId="10" fillId="11" borderId="5" xfId="5463" applyNumberFormat="1" applyFont="1" applyFill="1" applyBorder="1" applyAlignment="1">
      <alignment horizontal="center" vertical="center"/>
    </xf>
    <xf numFmtId="2" fontId="10" fillId="11" borderId="37" xfId="5463" applyNumberFormat="1" applyFont="1" applyFill="1" applyBorder="1" applyAlignment="1">
      <alignment horizontal="center" vertical="center"/>
    </xf>
    <xf numFmtId="2" fontId="10" fillId="11" borderId="56" xfId="5463" applyNumberFormat="1" applyFont="1" applyFill="1" applyBorder="1" applyAlignment="1">
      <alignment horizontal="center" vertical="center"/>
    </xf>
    <xf numFmtId="267" fontId="10" fillId="15" borderId="32" xfId="5463" applyNumberFormat="1" applyFont="1" applyFill="1" applyBorder="1" applyAlignment="1">
      <alignment horizontal="center" vertical="center"/>
    </xf>
    <xf numFmtId="3" fontId="10" fillId="11" borderId="18" xfId="5463" applyNumberFormat="1" applyFont="1" applyFill="1" applyBorder="1" applyAlignment="1">
      <alignment horizontal="center" vertical="center"/>
    </xf>
    <xf numFmtId="3" fontId="10" fillId="11" borderId="0" xfId="5463" applyNumberFormat="1" applyFont="1" applyFill="1" applyBorder="1" applyAlignment="1">
      <alignment horizontal="center" vertical="center"/>
    </xf>
    <xf numFmtId="4" fontId="10" fillId="11" borderId="37" xfId="5463" applyNumberFormat="1" applyFont="1" applyFill="1" applyBorder="1" applyAlignment="1">
      <alignment horizontal="center" vertical="center"/>
    </xf>
    <xf numFmtId="2" fontId="10" fillId="11" borderId="57" xfId="5463" applyNumberFormat="1" applyFont="1" applyFill="1" applyBorder="1" applyAlignment="1">
      <alignment horizontal="center" vertical="center"/>
    </xf>
    <xf numFmtId="2" fontId="8" fillId="11" borderId="0" xfId="5463" applyNumberFormat="1" applyFont="1" applyFill="1" applyAlignment="1">
      <alignment vertical="center"/>
    </xf>
    <xf numFmtId="4" fontId="8" fillId="11" borderId="0" xfId="5463" applyNumberFormat="1" applyFont="1" applyFill="1"/>
    <xf numFmtId="4" fontId="8" fillId="11" borderId="0" xfId="5463" applyNumberFormat="1" applyFont="1" applyFill="1" applyAlignment="1">
      <alignment horizontal="center" vertical="center"/>
    </xf>
    <xf numFmtId="4" fontId="8" fillId="11" borderId="0" xfId="5463" applyNumberFormat="1" applyFont="1" applyFill="1" applyAlignment="1">
      <alignment vertical="center"/>
    </xf>
    <xf numFmtId="0" fontId="8" fillId="11" borderId="0" xfId="5463" applyFont="1" applyFill="1" applyAlignment="1">
      <alignment vertical="center"/>
    </xf>
    <xf numFmtId="2" fontId="6" fillId="11" borderId="0" xfId="5463" applyNumberFormat="1" applyFont="1" applyFill="1" applyAlignment="1">
      <alignment vertical="center"/>
    </xf>
    <xf numFmtId="16" fontId="10" fillId="15" borderId="41" xfId="5463" applyNumberFormat="1" applyFont="1" applyFill="1" applyBorder="1" applyAlignment="1">
      <alignment horizontal="center" vertical="center"/>
    </xf>
    <xf numFmtId="3" fontId="10" fillId="11" borderId="224" xfId="5463" applyNumberFormat="1" applyFont="1" applyFill="1" applyBorder="1" applyAlignment="1">
      <alignment horizontal="center" vertical="center"/>
    </xf>
    <xf numFmtId="3" fontId="10" fillId="11" borderId="45" xfId="5463" applyNumberFormat="1" applyFont="1" applyFill="1" applyBorder="1" applyAlignment="1">
      <alignment horizontal="center" vertical="center"/>
    </xf>
    <xf numFmtId="3" fontId="10" fillId="11" borderId="6" xfId="5463" applyNumberFormat="1" applyFont="1" applyFill="1" applyBorder="1" applyAlignment="1">
      <alignment horizontal="center" vertical="center"/>
    </xf>
    <xf numFmtId="4" fontId="10" fillId="11" borderId="45" xfId="5463" applyNumberFormat="1" applyFont="1" applyFill="1" applyBorder="1" applyAlignment="1">
      <alignment horizontal="center" vertical="center"/>
    </xf>
    <xf numFmtId="2" fontId="10" fillId="11" borderId="58" xfId="5463" applyNumberFormat="1" applyFont="1" applyFill="1" applyBorder="1" applyAlignment="1">
      <alignment horizontal="center" vertical="center"/>
    </xf>
    <xf numFmtId="4" fontId="42" fillId="11" borderId="0" xfId="5463" applyNumberFormat="1" applyFont="1" applyFill="1" applyAlignment="1">
      <alignment vertical="center"/>
    </xf>
    <xf numFmtId="17" fontId="41" fillId="15" borderId="32" xfId="5463" applyNumberFormat="1" applyFont="1" applyFill="1" applyBorder="1" applyAlignment="1">
      <alignment horizontal="center" vertical="center"/>
    </xf>
    <xf numFmtId="3" fontId="10" fillId="11" borderId="59" xfId="5463" applyNumberFormat="1" applyFont="1" applyFill="1" applyBorder="1" applyAlignment="1">
      <alignment horizontal="center" vertical="center"/>
    </xf>
    <xf numFmtId="214" fontId="10" fillId="11" borderId="0" xfId="5463" applyNumberFormat="1" applyFont="1" applyFill="1" applyAlignment="1">
      <alignment vertical="center"/>
    </xf>
    <xf numFmtId="0" fontId="6" fillId="11" borderId="0" xfId="5463" applyFont="1" applyFill="1" applyAlignment="1">
      <alignment vertical="center"/>
    </xf>
    <xf numFmtId="17" fontId="41" fillId="15" borderId="32" xfId="5463" quotePrefix="1" applyNumberFormat="1" applyFont="1" applyFill="1" applyBorder="1" applyAlignment="1">
      <alignment horizontal="center" vertical="center"/>
    </xf>
    <xf numFmtId="17" fontId="41" fillId="15" borderId="225" xfId="5463" quotePrefix="1" applyNumberFormat="1" applyFont="1" applyFill="1" applyBorder="1" applyAlignment="1">
      <alignment horizontal="center" vertical="center"/>
    </xf>
    <xf numFmtId="2" fontId="10" fillId="11" borderId="19" xfId="5463" applyNumberFormat="1" applyFont="1" applyFill="1" applyBorder="1" applyAlignment="1">
      <alignment horizontal="center" vertical="center"/>
    </xf>
    <xf numFmtId="2" fontId="10" fillId="11" borderId="226" xfId="5463" applyNumberFormat="1" applyFont="1" applyFill="1" applyBorder="1" applyAlignment="1">
      <alignment horizontal="center" vertical="center"/>
    </xf>
    <xf numFmtId="17" fontId="6" fillId="11" borderId="0" xfId="5463" applyNumberFormat="1" applyFont="1" applyFill="1" applyAlignment="1">
      <alignment vertical="center"/>
    </xf>
    <xf numFmtId="0" fontId="10" fillId="11" borderId="59" xfId="5463" applyFont="1" applyFill="1" applyBorder="1" applyAlignment="1">
      <alignment horizontal="center" vertical="center"/>
    </xf>
    <xf numFmtId="0" fontId="10" fillId="11" borderId="57" xfId="5463" applyFont="1" applyFill="1" applyBorder="1" applyAlignment="1">
      <alignment horizontal="center" vertical="center"/>
    </xf>
    <xf numFmtId="15" fontId="8" fillId="11" borderId="0" xfId="5463" applyNumberFormat="1" applyFont="1" applyFill="1" applyAlignment="1">
      <alignment vertical="center"/>
    </xf>
    <xf numFmtId="268" fontId="41" fillId="15" borderId="48" xfId="5463" applyNumberFormat="1" applyFont="1" applyFill="1" applyBorder="1" applyAlignment="1">
      <alignment horizontal="left" vertical="center"/>
    </xf>
    <xf numFmtId="3" fontId="10" fillId="11" borderId="119" xfId="5463" applyNumberFormat="1" applyFont="1" applyFill="1" applyBorder="1" applyAlignment="1">
      <alignment horizontal="right" vertical="center"/>
    </xf>
    <xf numFmtId="3" fontId="10" fillId="11" borderId="53" xfId="5463" applyNumberFormat="1" applyFont="1" applyFill="1" applyBorder="1" applyAlignment="1">
      <alignment horizontal="right" vertical="center"/>
    </xf>
    <xf numFmtId="3" fontId="10" fillId="11" borderId="51" xfId="5463" applyNumberFormat="1" applyFont="1" applyFill="1" applyBorder="1" applyAlignment="1">
      <alignment horizontal="right" vertical="center"/>
    </xf>
    <xf numFmtId="0" fontId="10" fillId="11" borderId="53" xfId="5463" applyFont="1" applyFill="1" applyBorder="1" applyAlignment="1">
      <alignment horizontal="right" vertical="center"/>
    </xf>
    <xf numFmtId="2" fontId="10" fillId="11" borderId="53" xfId="5463" applyNumberFormat="1" applyFont="1" applyFill="1" applyBorder="1" applyAlignment="1">
      <alignment horizontal="right" vertical="center"/>
    </xf>
    <xf numFmtId="2" fontId="10" fillId="11" borderId="60" xfId="5463" applyNumberFormat="1" applyFont="1" applyFill="1" applyBorder="1" applyAlignment="1">
      <alignment horizontal="right" vertical="center"/>
    </xf>
    <xf numFmtId="0" fontId="48" fillId="11" borderId="0" xfId="5463" applyFont="1" applyFill="1" applyAlignment="1">
      <alignment vertical="center"/>
    </xf>
    <xf numFmtId="3" fontId="10" fillId="11" borderId="0" xfId="5463" applyNumberFormat="1" applyFont="1" applyFill="1" applyBorder="1" applyAlignment="1">
      <alignment horizontal="right" vertical="center"/>
    </xf>
    <xf numFmtId="0" fontId="48" fillId="11" borderId="0" xfId="5463" applyFont="1" applyFill="1" applyBorder="1" applyAlignment="1">
      <alignment vertical="center"/>
    </xf>
    <xf numFmtId="2" fontId="10" fillId="11" borderId="0" xfId="5463" applyNumberFormat="1" applyFont="1" applyFill="1" applyBorder="1" applyAlignment="1">
      <alignment horizontal="right" vertical="center"/>
    </xf>
    <xf numFmtId="3" fontId="10" fillId="11" borderId="0" xfId="5463" applyNumberFormat="1" applyFont="1" applyFill="1" applyAlignment="1">
      <alignment vertical="center"/>
    </xf>
    <xf numFmtId="0" fontId="42" fillId="11" borderId="0" xfId="5463" applyFont="1" applyFill="1" applyAlignment="1">
      <alignment vertical="center"/>
    </xf>
    <xf numFmtId="0" fontId="41" fillId="15" borderId="196" xfId="5463" applyFont="1" applyFill="1" applyBorder="1" applyAlignment="1">
      <alignment horizontal="center" vertical="center"/>
    </xf>
    <xf numFmtId="0" fontId="41" fillId="15" borderId="193" xfId="5463" applyFont="1" applyFill="1" applyBorder="1" applyAlignment="1">
      <alignment horizontal="centerContinuous" vertical="center"/>
    </xf>
    <xf numFmtId="0" fontId="41" fillId="15" borderId="181" xfId="5463" applyFont="1" applyFill="1" applyBorder="1" applyAlignment="1">
      <alignment horizontal="centerContinuous" vertical="center"/>
    </xf>
    <xf numFmtId="0" fontId="41" fillId="15" borderId="181" xfId="5463" applyFont="1" applyFill="1" applyBorder="1" applyAlignment="1">
      <alignment horizontal="center" vertical="center"/>
    </xf>
    <xf numFmtId="0" fontId="274" fillId="108" borderId="227" xfId="5463" applyFont="1" applyFill="1" applyBorder="1" applyAlignment="1">
      <alignment horizontal="centerContinuous" vertical="center"/>
    </xf>
    <xf numFmtId="0" fontId="41" fillId="108" borderId="159" xfId="5463" applyFont="1" applyFill="1" applyBorder="1" applyAlignment="1">
      <alignment horizontal="centerContinuous" vertical="center"/>
    </xf>
    <xf numFmtId="0" fontId="41" fillId="108" borderId="14" xfId="5463" applyFont="1" applyFill="1" applyBorder="1" applyAlignment="1">
      <alignment horizontal="centerContinuous" vertical="center"/>
    </xf>
    <xf numFmtId="0" fontId="41" fillId="108" borderId="87" xfId="5463" applyFont="1" applyFill="1" applyBorder="1" applyAlignment="1">
      <alignment horizontal="centerContinuous" vertical="center"/>
    </xf>
    <xf numFmtId="267" fontId="10" fillId="15" borderId="41" xfId="5463" applyNumberFormat="1" applyFont="1" applyFill="1" applyBorder="1" applyAlignment="1">
      <alignment horizontal="center" vertical="center"/>
    </xf>
    <xf numFmtId="0" fontId="10" fillId="11" borderId="45" xfId="5463" applyFont="1" applyFill="1" applyBorder="1" applyAlignment="1">
      <alignment horizontal="center" vertical="center"/>
    </xf>
    <xf numFmtId="17" fontId="41" fillId="15" borderId="228" xfId="5463" applyNumberFormat="1" applyFont="1" applyFill="1" applyBorder="1" applyAlignment="1">
      <alignment horizontal="center" vertical="center"/>
    </xf>
    <xf numFmtId="3" fontId="10" fillId="11" borderId="229" xfId="5463" applyNumberFormat="1" applyFont="1" applyFill="1" applyBorder="1" applyAlignment="1">
      <alignment horizontal="center" vertical="center"/>
    </xf>
    <xf numFmtId="3" fontId="10" fillId="11" borderId="230" xfId="5463" applyNumberFormat="1" applyFont="1" applyFill="1" applyBorder="1" applyAlignment="1">
      <alignment horizontal="center" vertical="center"/>
    </xf>
    <xf numFmtId="17" fontId="41" fillId="15" borderId="228" xfId="5463" quotePrefix="1" applyNumberFormat="1" applyFont="1" applyFill="1" applyBorder="1" applyAlignment="1">
      <alignment horizontal="center" vertical="center"/>
    </xf>
    <xf numFmtId="0" fontId="10" fillId="11" borderId="229" xfId="5463" applyFont="1" applyFill="1" applyBorder="1" applyAlignment="1">
      <alignment horizontal="center" vertical="center"/>
    </xf>
    <xf numFmtId="0" fontId="10" fillId="11" borderId="230" xfId="5463" applyFont="1" applyFill="1" applyBorder="1" applyAlignment="1">
      <alignment horizontal="center" vertical="center"/>
    </xf>
    <xf numFmtId="1" fontId="10" fillId="11" borderId="37" xfId="5463" applyNumberFormat="1" applyFont="1" applyFill="1" applyBorder="1" applyAlignment="1">
      <alignment horizontal="center" vertical="center"/>
    </xf>
    <xf numFmtId="3" fontId="10" fillId="11" borderId="231" xfId="5463" applyNumberFormat="1" applyFont="1" applyFill="1" applyBorder="1" applyAlignment="1">
      <alignment horizontal="center" vertical="center"/>
    </xf>
    <xf numFmtId="17" fontId="41" fillId="15" borderId="232" xfId="5463" applyNumberFormat="1" applyFont="1" applyFill="1" applyBorder="1" applyAlignment="1">
      <alignment horizontal="center" vertical="center"/>
    </xf>
    <xf numFmtId="3" fontId="10" fillId="11" borderId="233" xfId="5463" applyNumberFormat="1" applyFont="1" applyFill="1" applyBorder="1" applyAlignment="1">
      <alignment horizontal="center" vertical="center"/>
    </xf>
    <xf numFmtId="3" fontId="10" fillId="11" borderId="226" xfId="5463" applyNumberFormat="1" applyFont="1" applyFill="1" applyBorder="1" applyAlignment="1">
      <alignment horizontal="center" vertical="center"/>
    </xf>
    <xf numFmtId="2" fontId="10" fillId="11" borderId="4" xfId="5463" applyNumberFormat="1" applyFont="1" applyFill="1" applyBorder="1" applyAlignment="1">
      <alignment horizontal="center" vertical="center"/>
    </xf>
    <xf numFmtId="2" fontId="10" fillId="11" borderId="0" xfId="5463" applyNumberFormat="1" applyFont="1" applyFill="1" applyBorder="1" applyAlignment="1">
      <alignment horizontal="center" vertical="center"/>
    </xf>
    <xf numFmtId="17" fontId="41" fillId="15" borderId="234" xfId="5463" applyNumberFormat="1" applyFont="1" applyFill="1" applyBorder="1" applyAlignment="1">
      <alignment horizontal="center" vertical="center"/>
    </xf>
    <xf numFmtId="0" fontId="10" fillId="11" borderId="197" xfId="5463" applyFont="1" applyFill="1" applyBorder="1" applyAlignment="1">
      <alignment vertical="center"/>
    </xf>
    <xf numFmtId="3" fontId="10" fillId="11" borderId="87" xfId="5463" applyNumberFormat="1" applyFont="1" applyFill="1" applyBorder="1" applyAlignment="1">
      <alignment horizontal="right" vertical="center"/>
    </xf>
    <xf numFmtId="3" fontId="10" fillId="11" borderId="14" xfId="5463" applyNumberFormat="1" applyFont="1" applyFill="1" applyBorder="1" applyAlignment="1">
      <alignment horizontal="right" vertical="center"/>
    </xf>
    <xf numFmtId="0" fontId="10" fillId="11" borderId="87" xfId="5463" applyFont="1" applyFill="1" applyBorder="1" applyAlignment="1">
      <alignment horizontal="right" vertical="center"/>
    </xf>
    <xf numFmtId="2" fontId="10" fillId="11" borderId="87" xfId="5463" applyNumberFormat="1" applyFont="1" applyFill="1" applyBorder="1" applyAlignment="1">
      <alignment horizontal="right" vertical="center"/>
    </xf>
    <xf numFmtId="0" fontId="16" fillId="11" borderId="0" xfId="6382" applyFont="1" applyFill="1"/>
    <xf numFmtId="0" fontId="23" fillId="11" borderId="0" xfId="6382" applyFont="1" applyFill="1"/>
    <xf numFmtId="38" fontId="23" fillId="11" borderId="0" xfId="6382" applyNumberFormat="1" applyFont="1" applyFill="1"/>
    <xf numFmtId="0" fontId="3" fillId="11" borderId="0" xfId="6382" applyFont="1" applyFill="1"/>
    <xf numFmtId="0" fontId="3" fillId="101" borderId="27" xfId="6382" applyFont="1" applyFill="1" applyBorder="1" applyAlignment="1">
      <alignment horizontal="center"/>
    </xf>
    <xf numFmtId="0" fontId="3" fillId="101" borderId="29" xfId="6382" applyFont="1" applyFill="1" applyBorder="1" applyAlignment="1">
      <alignment horizontal="center"/>
    </xf>
    <xf numFmtId="0" fontId="3" fillId="101" borderId="30" xfId="6382" applyFont="1" applyFill="1" applyBorder="1" applyAlignment="1">
      <alignment horizontal="center"/>
    </xf>
    <xf numFmtId="0" fontId="3" fillId="101" borderId="56" xfId="6382" applyFont="1" applyFill="1" applyBorder="1" applyAlignment="1">
      <alignment horizontal="center"/>
    </xf>
    <xf numFmtId="0" fontId="3" fillId="101" borderId="32" xfId="6382" applyFont="1" applyFill="1" applyBorder="1" applyAlignment="1">
      <alignment horizontal="center"/>
    </xf>
    <xf numFmtId="0" fontId="3" fillId="101" borderId="5" xfId="6382" applyFont="1" applyFill="1" applyBorder="1" applyAlignment="1">
      <alignment horizontal="center"/>
    </xf>
    <xf numFmtId="0" fontId="3" fillId="101" borderId="37" xfId="6382" applyFont="1" applyFill="1" applyBorder="1" applyAlignment="1">
      <alignment horizontal="center"/>
    </xf>
    <xf numFmtId="0" fontId="3" fillId="101" borderId="57" xfId="6382" applyFont="1" applyFill="1" applyBorder="1" applyAlignment="1">
      <alignment horizontal="center"/>
    </xf>
    <xf numFmtId="0" fontId="23" fillId="101" borderId="32" xfId="6382" applyFont="1" applyFill="1" applyBorder="1" applyAlignment="1">
      <alignment horizontal="center"/>
    </xf>
    <xf numFmtId="269" fontId="3" fillId="101" borderId="37" xfId="6382" applyNumberFormat="1" applyFont="1" applyFill="1" applyBorder="1" applyAlignment="1">
      <alignment horizontal="center"/>
    </xf>
    <xf numFmtId="269" fontId="3" fillId="101" borderId="57" xfId="6382" applyNumberFormat="1" applyFont="1" applyFill="1" applyBorder="1" applyAlignment="1">
      <alignment horizontal="center"/>
    </xf>
    <xf numFmtId="0" fontId="23" fillId="101" borderId="48" xfId="6382" applyFont="1" applyFill="1" applyBorder="1" applyAlignment="1">
      <alignment horizontal="center"/>
    </xf>
    <xf numFmtId="0" fontId="23" fillId="101" borderId="187" xfId="6382" applyFont="1" applyFill="1" applyBorder="1" applyAlignment="1">
      <alignment horizontal="centerContinuous"/>
    </xf>
    <xf numFmtId="0" fontId="23" fillId="101" borderId="201" xfId="6382" applyFont="1" applyFill="1" applyBorder="1" applyAlignment="1">
      <alignment horizontal="centerContinuous"/>
    </xf>
    <xf numFmtId="0" fontId="23" fillId="101" borderId="235" xfId="6382" applyFont="1" applyFill="1" applyBorder="1" applyAlignment="1">
      <alignment horizontal="center"/>
    </xf>
    <xf numFmtId="0" fontId="23" fillId="11" borderId="5" xfId="6382" applyFont="1" applyFill="1" applyBorder="1" applyAlignment="1">
      <alignment horizontal="centerContinuous"/>
    </xf>
    <xf numFmtId="0" fontId="23" fillId="11" borderId="37" xfId="6382" applyFont="1" applyFill="1" applyBorder="1" applyAlignment="1">
      <alignment horizontal="centerContinuous"/>
    </xf>
    <xf numFmtId="0" fontId="23" fillId="11" borderId="57" xfId="6382" applyFont="1" applyFill="1" applyBorder="1" applyAlignment="1">
      <alignment horizontal="center"/>
    </xf>
    <xf numFmtId="15" fontId="3" fillId="101" borderId="32" xfId="6382" applyNumberFormat="1" applyFont="1" applyFill="1" applyBorder="1" applyAlignment="1">
      <alignment horizontal="left"/>
    </xf>
    <xf numFmtId="38" fontId="23" fillId="11" borderId="59" xfId="6383" applyNumberFormat="1" applyFont="1" applyFill="1" applyBorder="1" applyAlignment="1">
      <alignment horizontal="right"/>
    </xf>
    <xf numFmtId="38" fontId="23" fillId="11" borderId="37" xfId="6383" applyNumberFormat="1" applyFont="1" applyFill="1" applyBorder="1" applyAlignment="1">
      <alignment horizontal="right"/>
    </xf>
    <xf numFmtId="2" fontId="3" fillId="11" borderId="57" xfId="6384" applyNumberFormat="1" applyFont="1" applyFill="1" applyBorder="1" applyAlignment="1">
      <alignment horizontal="right"/>
    </xf>
    <xf numFmtId="38" fontId="3" fillId="11" borderId="0" xfId="6382" applyNumberFormat="1" applyFont="1" applyFill="1" applyBorder="1" applyAlignment="1">
      <alignment horizontal="right"/>
    </xf>
    <xf numFmtId="2" fontId="23" fillId="11" borderId="0" xfId="6382" applyNumberFormat="1" applyFont="1" applyFill="1"/>
    <xf numFmtId="15" fontId="3" fillId="101" borderId="48" xfId="6382" applyNumberFormat="1" applyFont="1" applyFill="1" applyBorder="1" applyAlignment="1">
      <alignment horizontal="left"/>
    </xf>
    <xf numFmtId="38" fontId="23" fillId="11" borderId="51" xfId="6383" applyNumberFormat="1" applyFont="1" applyFill="1" applyBorder="1" applyAlignment="1">
      <alignment horizontal="right"/>
    </xf>
    <xf numFmtId="38" fontId="23" fillId="11" borderId="53" xfId="6383" applyNumberFormat="1" applyFont="1" applyFill="1" applyBorder="1" applyAlignment="1">
      <alignment horizontal="right"/>
    </xf>
    <xf numFmtId="2" fontId="3" fillId="11" borderId="60" xfId="6384" applyNumberFormat="1" applyFont="1" applyFill="1" applyBorder="1" applyAlignment="1">
      <alignment horizontal="right"/>
    </xf>
    <xf numFmtId="0" fontId="39" fillId="11" borderId="16" xfId="6382" applyFont="1" applyFill="1" applyBorder="1"/>
    <xf numFmtId="0" fontId="23" fillId="11" borderId="16" xfId="6382" applyFont="1" applyFill="1" applyBorder="1"/>
    <xf numFmtId="3" fontId="23" fillId="11" borderId="16" xfId="6382" applyNumberFormat="1" applyFont="1" applyFill="1" applyBorder="1" applyAlignment="1">
      <alignment horizontal="right"/>
    </xf>
    <xf numFmtId="167" fontId="3" fillId="11" borderId="16" xfId="6382" applyNumberFormat="1" applyFont="1" applyFill="1" applyBorder="1" applyAlignment="1">
      <alignment horizontal="right"/>
    </xf>
    <xf numFmtId="0" fontId="11" fillId="11" borderId="0" xfId="6382" applyFont="1" applyFill="1"/>
    <xf numFmtId="0" fontId="26" fillId="11" borderId="0" xfId="6382" applyFont="1" applyFill="1"/>
    <xf numFmtId="0" fontId="18" fillId="11" borderId="0" xfId="6382" applyFont="1" applyFill="1"/>
    <xf numFmtId="0" fontId="43" fillId="100" borderId="27" xfId="6382" applyFont="1" applyFill="1" applyBorder="1" applyAlignment="1">
      <alignment horizontal="center"/>
    </xf>
    <xf numFmtId="0" fontId="43" fillId="100" borderId="29" xfId="6382" applyFont="1" applyFill="1" applyBorder="1" applyAlignment="1">
      <alignment horizontal="center"/>
    </xf>
    <xf numFmtId="0" fontId="43" fillId="100" borderId="30" xfId="6382" applyFont="1" applyFill="1" applyBorder="1" applyAlignment="1">
      <alignment horizontal="center"/>
    </xf>
    <xf numFmtId="0" fontId="43" fillId="100" borderId="56" xfId="6382" applyFont="1" applyFill="1" applyBorder="1" applyAlignment="1">
      <alignment horizontal="center"/>
    </xf>
    <xf numFmtId="0" fontId="43" fillId="100" borderId="32" xfId="6382" applyFont="1" applyFill="1" applyBorder="1" applyAlignment="1">
      <alignment horizontal="center"/>
    </xf>
    <xf numFmtId="0" fontId="43" fillId="100" borderId="5" xfId="6382" applyFont="1" applyFill="1" applyBorder="1" applyAlignment="1">
      <alignment horizontal="center"/>
    </xf>
    <xf numFmtId="0" fontId="43" fillId="100" borderId="37" xfId="6382" applyFont="1" applyFill="1" applyBorder="1" applyAlignment="1">
      <alignment horizontal="center"/>
    </xf>
    <xf numFmtId="0" fontId="43" fillId="100" borderId="57" xfId="6382" applyFont="1" applyFill="1" applyBorder="1" applyAlignment="1">
      <alignment horizontal="center"/>
    </xf>
    <xf numFmtId="0" fontId="19" fillId="100" borderId="32" xfId="6382" applyFont="1" applyFill="1" applyBorder="1" applyAlignment="1">
      <alignment horizontal="center"/>
    </xf>
    <xf numFmtId="269" fontId="43" fillId="100" borderId="37" xfId="6382" applyNumberFormat="1" applyFont="1" applyFill="1" applyBorder="1" applyAlignment="1">
      <alignment horizontal="center"/>
    </xf>
    <xf numFmtId="269" fontId="43" fillId="100" borderId="57" xfId="6382" applyNumberFormat="1" applyFont="1" applyFill="1" applyBorder="1" applyAlignment="1">
      <alignment horizontal="center"/>
    </xf>
    <xf numFmtId="0" fontId="19" fillId="100" borderId="48" xfId="6382" applyFont="1" applyFill="1" applyBorder="1" applyAlignment="1">
      <alignment horizontal="center"/>
    </xf>
    <xf numFmtId="0" fontId="10" fillId="100" borderId="187" xfId="6382" applyFont="1" applyFill="1" applyBorder="1" applyAlignment="1">
      <alignment horizontal="centerContinuous"/>
    </xf>
    <xf numFmtId="0" fontId="10" fillId="100" borderId="201" xfId="6382" applyFont="1" applyFill="1" applyBorder="1" applyAlignment="1">
      <alignment horizontal="centerContinuous"/>
    </xf>
    <xf numFmtId="0" fontId="10" fillId="100" borderId="235" xfId="6382" applyFont="1" applyFill="1" applyBorder="1" applyAlignment="1">
      <alignment horizontal="center"/>
    </xf>
    <xf numFmtId="15" fontId="43" fillId="101" borderId="32" xfId="6382" applyNumberFormat="1" applyFont="1" applyFill="1" applyBorder="1" applyAlignment="1">
      <alignment horizontal="left"/>
    </xf>
    <xf numFmtId="38" fontId="23" fillId="11" borderId="18" xfId="6383" applyNumberFormat="1" applyFont="1" applyFill="1" applyBorder="1" applyAlignment="1">
      <alignment horizontal="right"/>
    </xf>
    <xf numFmtId="2" fontId="3" fillId="11" borderId="19" xfId="6384" applyNumberFormat="1" applyFont="1" applyFill="1" applyBorder="1" applyAlignment="1">
      <alignment horizontal="right"/>
    </xf>
    <xf numFmtId="15" fontId="43" fillId="101" borderId="32" xfId="6382" applyNumberFormat="1" applyFont="1" applyFill="1" applyBorder="1" applyAlignment="1">
      <alignment horizontal="left" vertical="center"/>
    </xf>
    <xf numFmtId="38" fontId="23" fillId="11" borderId="59" xfId="6383" applyNumberFormat="1" applyFont="1" applyFill="1" applyBorder="1" applyAlignment="1">
      <alignment horizontal="right" vertical="center"/>
    </xf>
    <xf numFmtId="38" fontId="23" fillId="11" borderId="37" xfId="6383" applyNumberFormat="1" applyFont="1" applyFill="1" applyBorder="1" applyAlignment="1">
      <alignment horizontal="right" vertical="center"/>
    </xf>
    <xf numFmtId="2" fontId="3" fillId="11" borderId="57" xfId="6384" applyNumberFormat="1" applyFont="1" applyFill="1" applyBorder="1" applyAlignment="1">
      <alignment horizontal="right" vertical="center"/>
    </xf>
    <xf numFmtId="2" fontId="23" fillId="11" borderId="0" xfId="6382" applyNumberFormat="1" applyFont="1" applyFill="1" applyAlignment="1">
      <alignment vertical="center"/>
    </xf>
    <xf numFmtId="38" fontId="23" fillId="11" borderId="0" xfId="6382" applyNumberFormat="1" applyFont="1" applyFill="1" applyAlignment="1">
      <alignment vertical="center"/>
    </xf>
    <xf numFmtId="0" fontId="23" fillId="11" borderId="0" xfId="6382" applyFont="1" applyFill="1" applyAlignment="1">
      <alignment vertical="center"/>
    </xf>
    <xf numFmtId="38" fontId="23" fillId="11" borderId="18" xfId="6383" applyNumberFormat="1" applyFont="1" applyFill="1" applyBorder="1" applyAlignment="1">
      <alignment horizontal="right" vertical="center"/>
    </xf>
    <xf numFmtId="2" fontId="3" fillId="11" borderId="19" xfId="6384" applyNumberFormat="1" applyFont="1" applyFill="1" applyBorder="1" applyAlignment="1">
      <alignment horizontal="right" vertical="center"/>
    </xf>
    <xf numFmtId="211" fontId="43" fillId="101" borderId="32" xfId="6382" applyNumberFormat="1" applyFont="1" applyFill="1" applyBorder="1" applyAlignment="1">
      <alignment horizontal="left" vertical="center"/>
    </xf>
    <xf numFmtId="15" fontId="43" fillId="101" borderId="32" xfId="6382" applyNumberFormat="1" applyFont="1" applyFill="1" applyBorder="1" applyAlignment="1">
      <alignment horizontal="right" vertical="center"/>
    </xf>
    <xf numFmtId="15" fontId="43" fillId="101" borderId="32" xfId="6382" quotePrefix="1" applyNumberFormat="1" applyFont="1" applyFill="1" applyBorder="1" applyAlignment="1">
      <alignment horizontal="right" vertical="center"/>
    </xf>
    <xf numFmtId="15" fontId="43" fillId="115" borderId="32" xfId="6382" quotePrefix="1" applyNumberFormat="1" applyFont="1" applyFill="1" applyBorder="1" applyAlignment="1">
      <alignment horizontal="right" vertical="center"/>
    </xf>
    <xf numFmtId="10" fontId="23" fillId="11" borderId="0" xfId="6384" applyNumberFormat="1" applyFont="1" applyFill="1"/>
    <xf numFmtId="15" fontId="43" fillId="100" borderId="32" xfId="6382" quotePrefix="1" applyNumberFormat="1" applyFont="1" applyFill="1" applyBorder="1" applyAlignment="1">
      <alignment horizontal="right" vertical="center"/>
    </xf>
    <xf numFmtId="38" fontId="10" fillId="11" borderId="18" xfId="6383" applyNumberFormat="1" applyFont="1" applyFill="1" applyBorder="1" applyAlignment="1">
      <alignment horizontal="right" vertical="center"/>
    </xf>
    <xf numFmtId="38" fontId="10" fillId="11" borderId="37" xfId="6383" applyNumberFormat="1" applyFont="1" applyFill="1" applyBorder="1" applyAlignment="1">
      <alignment horizontal="right" vertical="center"/>
    </xf>
    <xf numFmtId="2" fontId="41" fillId="11" borderId="19" xfId="6384" applyNumberFormat="1" applyFont="1" applyFill="1" applyBorder="1" applyAlignment="1">
      <alignment horizontal="right" vertical="center"/>
    </xf>
    <xf numFmtId="0" fontId="289" fillId="11" borderId="0" xfId="6382" applyFont="1" applyFill="1" applyBorder="1" applyAlignment="1">
      <alignment vertical="center" wrapText="1"/>
    </xf>
    <xf numFmtId="0" fontId="62" fillId="11" borderId="0" xfId="6382" applyFont="1" applyFill="1" applyAlignment="1">
      <alignment vertical="center"/>
    </xf>
    <xf numFmtId="38" fontId="62" fillId="11" borderId="0" xfId="6382" applyNumberFormat="1" applyFont="1" applyFill="1"/>
    <xf numFmtId="0" fontId="62" fillId="11" borderId="0" xfId="6382" applyFont="1" applyFill="1"/>
    <xf numFmtId="15" fontId="3" fillId="100" borderId="41" xfId="6382" quotePrefix="1" applyNumberFormat="1" applyFont="1" applyFill="1" applyBorder="1" applyAlignment="1">
      <alignment horizontal="right" vertical="center"/>
    </xf>
    <xf numFmtId="38" fontId="10" fillId="11" borderId="224" xfId="6383" applyNumberFormat="1" applyFont="1" applyFill="1" applyBorder="1" applyAlignment="1">
      <alignment horizontal="right" vertical="center"/>
    </xf>
    <xf numFmtId="38" fontId="10" fillId="11" borderId="45" xfId="6383" applyNumberFormat="1" applyFont="1" applyFill="1" applyBorder="1" applyAlignment="1">
      <alignment horizontal="right" vertical="center"/>
    </xf>
    <xf numFmtId="2" fontId="41" fillId="11" borderId="58" xfId="6384" applyNumberFormat="1" applyFont="1" applyFill="1" applyBorder="1" applyAlignment="1">
      <alignment horizontal="right" vertical="center"/>
    </xf>
    <xf numFmtId="38" fontId="62" fillId="11" borderId="0" xfId="6382" applyNumberFormat="1" applyFont="1" applyFill="1" applyAlignment="1">
      <alignment vertical="center"/>
    </xf>
    <xf numFmtId="0" fontId="282" fillId="11" borderId="0" xfId="6382" applyFont="1" applyFill="1" applyAlignment="1">
      <alignment horizontal="left" vertical="center"/>
    </xf>
    <xf numFmtId="0" fontId="35" fillId="11" borderId="0" xfId="6382" applyFont="1" applyFill="1" applyAlignment="1">
      <alignment horizontal="left" vertical="center"/>
    </xf>
    <xf numFmtId="0" fontId="35" fillId="11" borderId="2" xfId="6382" applyFont="1" applyFill="1" applyBorder="1" applyAlignment="1">
      <alignment horizontal="left" vertical="center"/>
    </xf>
    <xf numFmtId="0" fontId="289" fillId="11" borderId="0" xfId="6382" applyFont="1" applyFill="1" applyAlignment="1">
      <alignment vertical="center"/>
    </xf>
    <xf numFmtId="38" fontId="289" fillId="11" borderId="0" xfId="6382" applyNumberFormat="1" applyFont="1" applyFill="1" applyAlignment="1">
      <alignment vertical="center"/>
    </xf>
    <xf numFmtId="0" fontId="35" fillId="0" borderId="0" xfId="6382" applyFont="1" applyFill="1" applyAlignment="1">
      <alignment vertical="center" wrapText="1"/>
    </xf>
    <xf numFmtId="0" fontId="18" fillId="11" borderId="0" xfId="6385" applyFont="1" applyFill="1" applyBorder="1" applyAlignment="1" applyProtection="1">
      <alignment horizontal="left" vertical="center"/>
    </xf>
    <xf numFmtId="0" fontId="99" fillId="11" borderId="0" xfId="6385" applyFont="1" applyFill="1" applyBorder="1" applyAlignment="1">
      <alignment vertical="center"/>
    </xf>
    <xf numFmtId="0" fontId="99" fillId="11" borderId="0" xfId="6385" applyFont="1" applyFill="1" applyBorder="1" applyAlignment="1" applyProtection="1">
      <alignment vertical="center"/>
    </xf>
    <xf numFmtId="4" fontId="99" fillId="11" borderId="0" xfId="6385" applyNumberFormat="1" applyFont="1" applyFill="1" applyBorder="1" applyAlignment="1">
      <alignment vertical="center"/>
    </xf>
    <xf numFmtId="0" fontId="23" fillId="11" borderId="0" xfId="6385" applyFont="1" applyFill="1" applyBorder="1" applyAlignment="1">
      <alignment vertical="center"/>
    </xf>
    <xf numFmtId="4" fontId="23" fillId="11" borderId="0" xfId="6385" applyNumberFormat="1" applyFont="1" applyFill="1" applyBorder="1" applyAlignment="1">
      <alignment vertical="center"/>
    </xf>
    <xf numFmtId="0" fontId="19" fillId="100" borderId="27" xfId="6385" applyFont="1" applyFill="1" applyBorder="1" applyAlignment="1">
      <alignment vertical="center"/>
    </xf>
    <xf numFmtId="0" fontId="43" fillId="100" borderId="15" xfId="6385" applyFont="1" applyFill="1" applyBorder="1" applyAlignment="1">
      <alignment horizontal="center" vertical="center"/>
    </xf>
    <xf numFmtId="0" fontId="43" fillId="100" borderId="30" xfId="6385" applyFont="1" applyFill="1" applyBorder="1" applyAlignment="1">
      <alignment horizontal="center" vertical="center"/>
    </xf>
    <xf numFmtId="4" fontId="43" fillId="100" borderId="56" xfId="6385" applyNumberFormat="1" applyFont="1" applyFill="1" applyBorder="1" applyAlignment="1">
      <alignment horizontal="centerContinuous" vertical="center"/>
    </xf>
    <xf numFmtId="4" fontId="43" fillId="100" borderId="27" xfId="6385" applyNumberFormat="1" applyFont="1" applyFill="1" applyBorder="1" applyAlignment="1">
      <alignment horizontal="centerContinuous" vertical="center"/>
    </xf>
    <xf numFmtId="0" fontId="43" fillId="100" borderId="32" xfId="6385" applyFont="1" applyFill="1" applyBorder="1" applyAlignment="1" applyProtection="1">
      <alignment horizontal="centerContinuous" vertical="center"/>
    </xf>
    <xf numFmtId="0" fontId="43" fillId="100" borderId="18" xfId="6385" applyFont="1" applyFill="1" applyBorder="1" applyAlignment="1" applyProtection="1">
      <alignment horizontal="center" vertical="center"/>
    </xf>
    <xf numFmtId="0" fontId="43" fillId="100" borderId="37" xfId="6385" applyFont="1" applyFill="1" applyBorder="1" applyAlignment="1" applyProtection="1">
      <alignment horizontal="center" vertical="center"/>
    </xf>
    <xf numFmtId="0" fontId="43" fillId="100" borderId="181" xfId="6385" applyFont="1" applyFill="1" applyBorder="1" applyAlignment="1" applyProtection="1">
      <alignment horizontal="center" vertical="center"/>
    </xf>
    <xf numFmtId="0" fontId="43" fillId="100" borderId="236" xfId="6385" applyFont="1" applyFill="1" applyBorder="1" applyAlignment="1" applyProtection="1">
      <alignment horizontal="center" vertical="center"/>
    </xf>
    <xf numFmtId="0" fontId="19" fillId="100" borderId="48" xfId="6385" applyFont="1" applyFill="1" applyBorder="1" applyAlignment="1">
      <alignment vertical="center"/>
    </xf>
    <xf numFmtId="0" fontId="43" fillId="100" borderId="22" xfId="6385" applyFont="1" applyFill="1" applyBorder="1" applyAlignment="1" applyProtection="1">
      <alignment horizontal="center" vertical="center"/>
    </xf>
    <xf numFmtId="0" fontId="43" fillId="100" borderId="53" xfId="6385" applyFont="1" applyFill="1" applyBorder="1" applyAlignment="1" applyProtection="1">
      <alignment horizontal="center" vertical="center"/>
    </xf>
    <xf numFmtId="0" fontId="43" fillId="100" borderId="24" xfId="6385" applyFont="1" applyFill="1" applyBorder="1" applyAlignment="1" applyProtection="1">
      <alignment horizontal="center" vertical="center"/>
    </xf>
    <xf numFmtId="17" fontId="34" fillId="101" borderId="18" xfId="6385" applyNumberFormat="1" applyFont="1" applyFill="1" applyBorder="1" applyAlignment="1" applyProtection="1">
      <alignment horizontal="left" vertical="center"/>
    </xf>
    <xf numFmtId="37" fontId="10" fillId="11" borderId="59" xfId="6385" applyNumberFormat="1" applyFont="1" applyFill="1" applyBorder="1" applyAlignment="1" applyProtection="1">
      <alignment horizontal="center"/>
    </xf>
    <xf numFmtId="37" fontId="10" fillId="11" borderId="37" xfId="6385" applyNumberFormat="1" applyFont="1" applyFill="1" applyBorder="1" applyAlignment="1" applyProtection="1">
      <alignment horizontal="center"/>
    </xf>
    <xf numFmtId="37" fontId="41" fillId="11" borderId="37" xfId="6385" applyNumberFormat="1" applyFont="1" applyFill="1" applyBorder="1" applyAlignment="1" applyProtection="1">
      <alignment horizontal="center"/>
    </xf>
    <xf numFmtId="37" fontId="41" fillId="11" borderId="19" xfId="6385" applyNumberFormat="1" applyFont="1" applyFill="1" applyBorder="1" applyAlignment="1" applyProtection="1">
      <alignment horizontal="center"/>
    </xf>
    <xf numFmtId="17" fontId="34" fillId="101" borderId="32" xfId="6385" applyNumberFormat="1" applyFont="1" applyFill="1" applyBorder="1" applyAlignment="1" applyProtection="1">
      <alignment horizontal="left" vertical="center"/>
    </xf>
    <xf numFmtId="37" fontId="10" fillId="11" borderId="18" xfId="6385" applyNumberFormat="1" applyFont="1" applyFill="1" applyBorder="1" applyAlignment="1" applyProtection="1">
      <alignment horizontal="center"/>
    </xf>
    <xf numFmtId="37" fontId="10" fillId="11" borderId="18" xfId="6385" applyNumberFormat="1" applyFont="1" applyFill="1" applyBorder="1" applyAlignment="1" applyProtection="1">
      <alignment horizontal="center" vertical="center"/>
    </xf>
    <xf numFmtId="37" fontId="10" fillId="11" borderId="37" xfId="6385" applyNumberFormat="1" applyFont="1" applyFill="1" applyBorder="1" applyAlignment="1" applyProtection="1">
      <alignment horizontal="center" vertical="center"/>
    </xf>
    <xf numFmtId="37" fontId="41" fillId="11" borderId="37" xfId="6385" applyNumberFormat="1" applyFont="1" applyFill="1" applyBorder="1" applyAlignment="1" applyProtection="1">
      <alignment horizontal="center" vertical="center"/>
    </xf>
    <xf numFmtId="37" fontId="41" fillId="11" borderId="19" xfId="6385" applyNumberFormat="1" applyFont="1" applyFill="1" applyBorder="1" applyAlignment="1" applyProtection="1">
      <alignment horizontal="center" vertical="center"/>
    </xf>
    <xf numFmtId="17" fontId="43" fillId="100" borderId="32" xfId="6385" applyNumberFormat="1" applyFont="1" applyFill="1" applyBorder="1" applyAlignment="1" applyProtection="1">
      <alignment horizontal="left" vertical="center"/>
    </xf>
    <xf numFmtId="37" fontId="10" fillId="11" borderId="0" xfId="6385" applyNumberFormat="1" applyFont="1" applyFill="1" applyBorder="1" applyAlignment="1" applyProtection="1">
      <alignment horizontal="center" vertical="center"/>
    </xf>
    <xf numFmtId="37" fontId="10" fillId="11" borderId="5" xfId="6385" applyNumberFormat="1" applyFont="1" applyFill="1" applyBorder="1" applyAlignment="1" applyProtection="1">
      <alignment horizontal="center" vertical="center"/>
    </xf>
    <xf numFmtId="37" fontId="41" fillId="11" borderId="57" xfId="6385" applyNumberFormat="1" applyFont="1" applyFill="1" applyBorder="1" applyAlignment="1" applyProtection="1">
      <alignment horizontal="center" vertical="center"/>
    </xf>
    <xf numFmtId="37" fontId="10" fillId="11" borderId="59" xfId="6385" applyNumberFormat="1" applyFont="1" applyFill="1" applyBorder="1" applyAlignment="1" applyProtection="1">
      <alignment horizontal="center" vertical="center"/>
    </xf>
    <xf numFmtId="17" fontId="43" fillId="100" borderId="59" xfId="6385" applyNumberFormat="1" applyFont="1" applyFill="1" applyBorder="1" applyAlignment="1" applyProtection="1">
      <alignment horizontal="left" vertical="center"/>
    </xf>
    <xf numFmtId="17" fontId="43" fillId="100" borderId="48" xfId="6385" applyNumberFormat="1" applyFont="1" applyFill="1" applyBorder="1" applyAlignment="1" applyProtection="1">
      <alignment horizontal="left" vertical="center"/>
    </xf>
    <xf numFmtId="37" fontId="10" fillId="11" borderId="119" xfId="6385" applyNumberFormat="1" applyFont="1" applyFill="1" applyBorder="1" applyAlignment="1" applyProtection="1">
      <alignment horizontal="center" vertical="center"/>
    </xf>
    <xf numFmtId="37" fontId="10" fillId="11" borderId="53" xfId="6385" applyNumberFormat="1" applyFont="1" applyFill="1" applyBorder="1" applyAlignment="1" applyProtection="1">
      <alignment horizontal="center" vertical="center"/>
    </xf>
    <xf numFmtId="37" fontId="41" fillId="11" borderId="53" xfId="6385" applyNumberFormat="1" applyFont="1" applyFill="1" applyBorder="1" applyAlignment="1" applyProtection="1">
      <alignment horizontal="center" vertical="center"/>
    </xf>
    <xf numFmtId="37" fontId="41" fillId="11" borderId="60" xfId="6385" applyNumberFormat="1" applyFont="1" applyFill="1" applyBorder="1" applyAlignment="1" applyProtection="1">
      <alignment horizontal="center" vertical="center"/>
    </xf>
    <xf numFmtId="0" fontId="49" fillId="11" borderId="0" xfId="6382" applyFont="1" applyFill="1" applyAlignment="1">
      <alignment vertical="center"/>
    </xf>
    <xf numFmtId="0" fontId="26" fillId="11" borderId="0" xfId="6382" applyFont="1" applyFill="1" applyAlignment="1">
      <alignment vertical="center"/>
    </xf>
    <xf numFmtId="0" fontId="3" fillId="11" borderId="0" xfId="5457" applyFont="1" applyFill="1"/>
    <xf numFmtId="0" fontId="23" fillId="11" borderId="0" xfId="5457" applyFill="1"/>
    <xf numFmtId="0" fontId="23" fillId="11" borderId="0" xfId="5457" applyFont="1" applyFill="1"/>
    <xf numFmtId="0" fontId="2" fillId="11" borderId="0" xfId="5346" applyFill="1"/>
    <xf numFmtId="0" fontId="257" fillId="11" borderId="0" xfId="5457" applyFont="1" applyFill="1"/>
    <xf numFmtId="0" fontId="11" fillId="11" borderId="0" xfId="5457" applyFont="1" applyFill="1" applyAlignment="1">
      <alignment horizontal="center"/>
    </xf>
    <xf numFmtId="0" fontId="26" fillId="11" borderId="0" xfId="5457" applyFont="1" applyFill="1"/>
    <xf numFmtId="0" fontId="26" fillId="11" borderId="23" xfId="5457" applyFont="1" applyFill="1" applyBorder="1" applyAlignment="1"/>
    <xf numFmtId="0" fontId="26" fillId="11" borderId="0" xfId="5457" applyFont="1" applyFill="1" applyAlignment="1">
      <alignment horizontal="right"/>
    </xf>
    <xf numFmtId="3" fontId="9" fillId="100" borderId="27" xfId="5457" applyNumberFormat="1" applyFont="1" applyFill="1" applyBorder="1" applyAlignment="1">
      <alignment horizontal="center"/>
    </xf>
    <xf numFmtId="17" fontId="9" fillId="100" borderId="124" xfId="5457" applyNumberFormat="1" applyFont="1" applyFill="1" applyBorder="1" applyAlignment="1">
      <alignment horizontal="centerContinuous"/>
    </xf>
    <xf numFmtId="17" fontId="9" fillId="100" borderId="123" xfId="5457" applyNumberFormat="1" applyFont="1" applyFill="1" applyBorder="1" applyAlignment="1">
      <alignment horizontal="centerContinuous"/>
    </xf>
    <xf numFmtId="17" fontId="9" fillId="100" borderId="125" xfId="5457" applyNumberFormat="1" applyFont="1" applyFill="1" applyBorder="1" applyAlignment="1">
      <alignment horizontal="centerContinuous"/>
    </xf>
    <xf numFmtId="17" fontId="9" fillId="100" borderId="125" xfId="5457" quotePrefix="1" applyNumberFormat="1" applyFont="1" applyFill="1" applyBorder="1" applyAlignment="1">
      <alignment horizontal="centerContinuous"/>
    </xf>
    <xf numFmtId="17" fontId="9" fillId="100" borderId="120" xfId="5457" quotePrefix="1" applyNumberFormat="1" applyFont="1" applyFill="1" applyBorder="1" applyAlignment="1">
      <alignment horizontal="centerContinuous"/>
    </xf>
    <xf numFmtId="17" fontId="41" fillId="100" borderId="125" xfId="5457" quotePrefix="1" applyNumberFormat="1" applyFont="1" applyFill="1" applyBorder="1" applyAlignment="1">
      <alignment horizontal="centerContinuous"/>
    </xf>
    <xf numFmtId="17" fontId="143" fillId="100" borderId="125" xfId="5457" quotePrefix="1" applyNumberFormat="1" applyFont="1" applyFill="1" applyBorder="1" applyAlignment="1">
      <alignment horizontal="centerContinuous"/>
    </xf>
    <xf numFmtId="3" fontId="9" fillId="100" borderId="59" xfId="5457" applyNumberFormat="1" applyFont="1" applyFill="1" applyBorder="1"/>
    <xf numFmtId="0" fontId="23" fillId="11" borderId="16" xfId="5457" applyFont="1" applyFill="1" applyBorder="1"/>
    <xf numFmtId="0" fontId="23" fillId="11" borderId="30" xfId="5457" applyFont="1" applyFill="1" applyBorder="1"/>
    <xf numFmtId="0" fontId="23" fillId="11" borderId="16" xfId="5457" applyFill="1" applyBorder="1"/>
    <xf numFmtId="0" fontId="23" fillId="11" borderId="30" xfId="5457" applyFill="1" applyBorder="1"/>
    <xf numFmtId="0" fontId="23" fillId="11" borderId="17" xfId="5457" applyFill="1" applyBorder="1"/>
    <xf numFmtId="0" fontId="23" fillId="11" borderId="27" xfId="5457" applyFill="1" applyBorder="1"/>
    <xf numFmtId="0" fontId="23" fillId="11" borderId="27" xfId="5457" applyFont="1" applyFill="1" applyBorder="1"/>
    <xf numFmtId="0" fontId="99" fillId="11" borderId="27" xfId="5457" applyFont="1" applyFill="1" applyBorder="1"/>
    <xf numFmtId="0" fontId="23" fillId="11" borderId="15" xfId="5457" applyFill="1" applyBorder="1"/>
    <xf numFmtId="0" fontId="23" fillId="11" borderId="56" xfId="5457" applyFill="1" applyBorder="1"/>
    <xf numFmtId="0" fontId="2" fillId="11" borderId="27" xfId="5346" applyFill="1" applyBorder="1"/>
    <xf numFmtId="3" fontId="290" fillId="100" borderId="59" xfId="5457" applyNumberFormat="1" applyFont="1" applyFill="1" applyBorder="1"/>
    <xf numFmtId="0" fontId="23" fillId="11" borderId="0" xfId="5457" applyFont="1" applyFill="1" applyBorder="1"/>
    <xf numFmtId="0" fontId="23" fillId="11" borderId="37" xfId="5457" applyFont="1" applyFill="1" applyBorder="1"/>
    <xf numFmtId="0" fontId="23" fillId="11" borderId="0" xfId="5457" applyFill="1" applyBorder="1"/>
    <xf numFmtId="0" fontId="23" fillId="11" borderId="37" xfId="5457" applyFill="1" applyBorder="1"/>
    <xf numFmtId="0" fontId="23" fillId="11" borderId="19" xfId="5457" applyFill="1" applyBorder="1"/>
    <xf numFmtId="0" fontId="23" fillId="11" borderId="32" xfId="5457" applyFill="1" applyBorder="1"/>
    <xf numFmtId="0" fontId="23" fillId="11" borderId="32" xfId="5457" applyFont="1" applyFill="1" applyBorder="1"/>
    <xf numFmtId="0" fontId="99" fillId="11" borderId="32" xfId="5457" applyFont="1" applyFill="1" applyBorder="1"/>
    <xf numFmtId="0" fontId="23" fillId="11" borderId="18" xfId="5457" applyFill="1" applyBorder="1"/>
    <xf numFmtId="0" fontId="23" fillId="11" borderId="57" xfId="5457" applyFill="1" applyBorder="1"/>
    <xf numFmtId="0" fontId="2" fillId="11" borderId="32" xfId="5346" applyFill="1" applyBorder="1"/>
    <xf numFmtId="3" fontId="291" fillId="100" borderId="59" xfId="5457" applyNumberFormat="1" applyFont="1" applyFill="1" applyBorder="1"/>
    <xf numFmtId="4" fontId="5" fillId="11" borderId="0" xfId="5457" applyNumberFormat="1" applyFont="1" applyFill="1" applyBorder="1" applyAlignment="1">
      <alignment horizontal="right"/>
    </xf>
    <xf numFmtId="4" fontId="5" fillId="11" borderId="37" xfId="5457" applyNumberFormat="1" applyFont="1" applyFill="1" applyBorder="1" applyAlignment="1">
      <alignment horizontal="right"/>
    </xf>
    <xf numFmtId="4" fontId="5" fillId="11" borderId="19" xfId="5457" applyNumberFormat="1" applyFont="1" applyFill="1" applyBorder="1" applyAlignment="1">
      <alignment horizontal="right"/>
    </xf>
    <xf numFmtId="4" fontId="5" fillId="11" borderId="32" xfId="5457" applyNumberFormat="1" applyFont="1" applyFill="1" applyBorder="1" applyAlignment="1">
      <alignment horizontal="right"/>
    </xf>
    <xf numFmtId="4" fontId="23" fillId="11" borderId="32" xfId="5457" applyNumberFormat="1" applyFill="1" applyBorder="1"/>
    <xf numFmtId="4" fontId="23" fillId="11" borderId="18" xfId="5457" applyNumberFormat="1" applyFill="1" applyBorder="1"/>
    <xf numFmtId="4" fontId="23" fillId="11" borderId="57" xfId="5457" applyNumberFormat="1" applyFill="1" applyBorder="1"/>
    <xf numFmtId="4" fontId="291" fillId="11" borderId="32" xfId="5457" applyNumberFormat="1" applyFont="1" applyFill="1" applyBorder="1"/>
    <xf numFmtId="4" fontId="292" fillId="11" borderId="32" xfId="5346" applyNumberFormat="1" applyFont="1" applyFill="1" applyBorder="1"/>
    <xf numFmtId="3" fontId="291" fillId="100" borderId="32" xfId="5457" applyNumberFormat="1" applyFont="1" applyFill="1" applyBorder="1"/>
    <xf numFmtId="0" fontId="294" fillId="11" borderId="32" xfId="5457" applyFont="1" applyFill="1" applyBorder="1"/>
    <xf numFmtId="0" fontId="295" fillId="11" borderId="32" xfId="5346" applyFont="1" applyFill="1" applyBorder="1"/>
    <xf numFmtId="3" fontId="290" fillId="100" borderId="32" xfId="5457" applyNumberFormat="1" applyFont="1" applyFill="1" applyBorder="1"/>
    <xf numFmtId="0" fontId="9" fillId="11" borderId="0" xfId="5457" applyFont="1" applyFill="1" applyBorder="1" applyAlignment="1">
      <alignment horizontal="right"/>
    </xf>
    <xf numFmtId="0" fontId="9" fillId="11" borderId="37" xfId="5457" applyFont="1" applyFill="1" applyBorder="1" applyAlignment="1">
      <alignment horizontal="right"/>
    </xf>
    <xf numFmtId="0" fontId="9" fillId="11" borderId="19" xfId="5457" applyFont="1" applyFill="1" applyBorder="1" applyAlignment="1">
      <alignment horizontal="right"/>
    </xf>
    <xf numFmtId="0" fontId="9" fillId="11" borderId="32" xfId="5457" applyFont="1" applyFill="1" applyBorder="1" applyAlignment="1">
      <alignment horizontal="right"/>
    </xf>
    <xf numFmtId="0" fontId="9" fillId="11" borderId="18" xfId="5457" applyFont="1" applyFill="1" applyBorder="1" applyAlignment="1">
      <alignment horizontal="right"/>
    </xf>
    <xf numFmtId="0" fontId="9" fillId="11" borderId="57" xfId="5457" applyFont="1" applyFill="1" applyBorder="1" applyAlignment="1">
      <alignment horizontal="right"/>
    </xf>
    <xf numFmtId="0" fontId="290" fillId="11" borderId="32" xfId="5457" applyFont="1" applyFill="1" applyBorder="1" applyAlignment="1">
      <alignment horizontal="right"/>
    </xf>
    <xf numFmtId="0" fontId="290" fillId="11" borderId="32" xfId="5346" applyFont="1" applyFill="1" applyBorder="1" applyAlignment="1">
      <alignment horizontal="right"/>
    </xf>
    <xf numFmtId="0" fontId="99" fillId="11" borderId="18" xfId="5457" applyFont="1" applyFill="1" applyBorder="1"/>
    <xf numFmtId="0" fontId="99" fillId="11" borderId="57" xfId="5457" applyFont="1" applyFill="1" applyBorder="1"/>
    <xf numFmtId="0" fontId="296" fillId="11" borderId="32" xfId="5457" applyFont="1" applyFill="1" applyBorder="1"/>
    <xf numFmtId="0" fontId="296" fillId="11" borderId="32" xfId="5346" applyFont="1" applyFill="1" applyBorder="1"/>
    <xf numFmtId="2" fontId="5" fillId="11" borderId="0" xfId="5457" applyNumberFormat="1" applyFont="1" applyFill="1" applyBorder="1" applyAlignment="1">
      <alignment horizontal="right"/>
    </xf>
    <xf numFmtId="2" fontId="5" fillId="11" borderId="37" xfId="5457" applyNumberFormat="1" applyFont="1" applyFill="1" applyBorder="1" applyAlignment="1">
      <alignment horizontal="right"/>
    </xf>
    <xf numFmtId="2" fontId="5" fillId="11" borderId="19" xfId="5457" applyNumberFormat="1" applyFont="1" applyFill="1" applyBorder="1" applyAlignment="1">
      <alignment horizontal="right"/>
    </xf>
    <xf numFmtId="2" fontId="5" fillId="11" borderId="32" xfId="5457" applyNumberFormat="1" applyFont="1" applyFill="1" applyBorder="1" applyAlignment="1">
      <alignment horizontal="right"/>
    </xf>
    <xf numFmtId="2" fontId="5" fillId="11" borderId="18" xfId="5457" applyNumberFormat="1" applyFont="1" applyFill="1" applyBorder="1" applyAlignment="1">
      <alignment horizontal="right"/>
    </xf>
    <xf numFmtId="2" fontId="5" fillId="11" borderId="57" xfId="5457" applyNumberFormat="1" applyFont="1" applyFill="1" applyBorder="1" applyAlignment="1">
      <alignment horizontal="right"/>
    </xf>
    <xf numFmtId="2" fontId="291" fillId="11" borderId="32" xfId="5457" applyNumberFormat="1" applyFont="1" applyFill="1" applyBorder="1" applyAlignment="1">
      <alignment horizontal="right"/>
    </xf>
    <xf numFmtId="2" fontId="291" fillId="11" borderId="32" xfId="5346" applyNumberFormat="1" applyFont="1" applyFill="1" applyBorder="1" applyAlignment="1">
      <alignment horizontal="right"/>
    </xf>
    <xf numFmtId="0" fontId="5" fillId="11" borderId="0" xfId="5457" applyFont="1" applyFill="1" applyBorder="1"/>
    <xf numFmtId="0" fontId="5" fillId="11" borderId="37" xfId="5457" applyFont="1" applyFill="1" applyBorder="1"/>
    <xf numFmtId="0" fontId="5" fillId="11" borderId="19" xfId="5457" applyFont="1" applyFill="1" applyBorder="1"/>
    <xf numFmtId="0" fontId="5" fillId="11" borderId="32" xfId="5457" applyFont="1" applyFill="1" applyBorder="1"/>
    <xf numFmtId="0" fontId="5" fillId="11" borderId="32" xfId="5457" applyFont="1" applyFill="1" applyBorder="1" applyAlignment="1">
      <alignment horizontal="left" indent="2"/>
    </xf>
    <xf numFmtId="0" fontId="5" fillId="11" borderId="18" xfId="5457" applyFont="1" applyFill="1" applyBorder="1" applyAlignment="1">
      <alignment horizontal="left" indent="2"/>
    </xf>
    <xf numFmtId="0" fontId="5" fillId="11" borderId="57" xfId="5457" applyFont="1" applyFill="1" applyBorder="1" applyAlignment="1">
      <alignment horizontal="left" indent="2"/>
    </xf>
    <xf numFmtId="0" fontId="291" fillId="11" borderId="32" xfId="5457" applyFont="1" applyFill="1" applyBorder="1" applyAlignment="1">
      <alignment horizontal="left" indent="2"/>
    </xf>
    <xf numFmtId="0" fontId="291" fillId="11" borderId="32" xfId="5346" applyFont="1" applyFill="1" applyBorder="1" applyAlignment="1">
      <alignment horizontal="left" indent="2"/>
    </xf>
    <xf numFmtId="3" fontId="297" fillId="100" borderId="32" xfId="5457" applyNumberFormat="1" applyFont="1" applyFill="1" applyBorder="1"/>
    <xf numFmtId="2" fontId="11" fillId="11" borderId="0" xfId="5457" applyNumberFormat="1" applyFont="1" applyFill="1" applyBorder="1" applyAlignment="1">
      <alignment horizontal="right"/>
    </xf>
    <xf numFmtId="2" fontId="11" fillId="11" borderId="37" xfId="5457" applyNumberFormat="1" applyFont="1" applyFill="1" applyBorder="1" applyAlignment="1">
      <alignment horizontal="right"/>
    </xf>
    <xf numFmtId="2" fontId="11" fillId="11" borderId="19" xfId="5457" applyNumberFormat="1" applyFont="1" applyFill="1" applyBorder="1" applyAlignment="1">
      <alignment horizontal="right"/>
    </xf>
    <xf numFmtId="2" fontId="11" fillId="11" borderId="32" xfId="5457" applyNumberFormat="1" applyFont="1" applyFill="1" applyBorder="1" applyAlignment="1">
      <alignment horizontal="right"/>
    </xf>
    <xf numFmtId="2" fontId="11" fillId="11" borderId="18" xfId="5457" applyNumberFormat="1" applyFont="1" applyFill="1" applyBorder="1" applyAlignment="1">
      <alignment horizontal="right"/>
    </xf>
    <xf numFmtId="2" fontId="11" fillId="11" borderId="57" xfId="5457" applyNumberFormat="1" applyFont="1" applyFill="1" applyBorder="1" applyAlignment="1">
      <alignment horizontal="right"/>
    </xf>
    <xf numFmtId="2" fontId="291" fillId="11" borderId="0" xfId="5457" applyNumberFormat="1" applyFont="1" applyFill="1" applyBorder="1" applyAlignment="1">
      <alignment horizontal="right"/>
    </xf>
    <xf numFmtId="0" fontId="291" fillId="11" borderId="19" xfId="5457" applyFont="1" applyFill="1" applyBorder="1"/>
    <xf numFmtId="0" fontId="291" fillId="11" borderId="19" xfId="5346" applyFont="1" applyFill="1" applyBorder="1"/>
    <xf numFmtId="2" fontId="5" fillId="0" borderId="19" xfId="5457" applyNumberFormat="1" applyFont="1" applyFill="1" applyBorder="1" applyAlignment="1">
      <alignment horizontal="right"/>
    </xf>
    <xf numFmtId="0" fontId="291" fillId="11" borderId="32" xfId="5457" applyFont="1" applyFill="1" applyBorder="1"/>
    <xf numFmtId="2" fontId="291" fillId="11" borderId="19" xfId="5457" applyNumberFormat="1" applyFont="1" applyFill="1" applyBorder="1" applyAlignment="1">
      <alignment horizontal="right"/>
    </xf>
    <xf numFmtId="2" fontId="291" fillId="11" borderId="19" xfId="5346" applyNumberFormat="1" applyFont="1" applyFill="1" applyBorder="1" applyAlignment="1">
      <alignment horizontal="right"/>
    </xf>
    <xf numFmtId="251" fontId="5" fillId="11" borderId="19" xfId="5457" applyNumberFormat="1" applyFont="1" applyFill="1" applyBorder="1" applyAlignment="1">
      <alignment horizontal="right"/>
    </xf>
    <xf numFmtId="204" fontId="5" fillId="11" borderId="19" xfId="5457" applyNumberFormat="1" applyFont="1" applyFill="1" applyBorder="1" applyAlignment="1">
      <alignment horizontal="right"/>
    </xf>
    <xf numFmtId="2" fontId="5" fillId="11" borderId="19" xfId="5457" applyNumberFormat="1" applyFont="1" applyFill="1" applyBorder="1" applyAlignment="1">
      <alignment horizontal="center"/>
    </xf>
    <xf numFmtId="165" fontId="23" fillId="11" borderId="32" xfId="4843" applyNumberFormat="1" applyFont="1" applyFill="1" applyBorder="1" applyAlignment="1">
      <alignment horizontal="left"/>
    </xf>
    <xf numFmtId="204" fontId="23" fillId="11" borderId="32" xfId="4843" applyNumberFormat="1" applyFont="1" applyFill="1" applyBorder="1" applyAlignment="1">
      <alignment horizontal="left"/>
    </xf>
    <xf numFmtId="0" fontId="23" fillId="11" borderId="19" xfId="5457" applyFont="1" applyFill="1" applyBorder="1"/>
    <xf numFmtId="0" fontId="99" fillId="11" borderId="19" xfId="5457" applyFont="1" applyFill="1" applyBorder="1"/>
    <xf numFmtId="0" fontId="296" fillId="11" borderId="19" xfId="5457" applyFont="1" applyFill="1" applyBorder="1"/>
    <xf numFmtId="0" fontId="296" fillId="11" borderId="19" xfId="5346" applyFont="1" applyFill="1" applyBorder="1"/>
    <xf numFmtId="2" fontId="9" fillId="11" borderId="0" xfId="5457" applyNumberFormat="1" applyFont="1" applyFill="1" applyBorder="1" applyAlignment="1">
      <alignment horizontal="right"/>
    </xf>
    <xf numFmtId="2" fontId="9" fillId="11" borderId="37" xfId="5457" applyNumberFormat="1" applyFont="1" applyFill="1" applyBorder="1" applyAlignment="1">
      <alignment horizontal="right"/>
    </xf>
    <xf numFmtId="2" fontId="9" fillId="11" borderId="19" xfId="5457" applyNumberFormat="1" applyFont="1" applyFill="1" applyBorder="1" applyAlignment="1">
      <alignment horizontal="right"/>
    </xf>
    <xf numFmtId="2" fontId="9" fillId="11" borderId="32" xfId="5457" applyNumberFormat="1" applyFont="1" applyFill="1" applyBorder="1" applyAlignment="1">
      <alignment horizontal="right"/>
    </xf>
    <xf numFmtId="2" fontId="290" fillId="11" borderId="32" xfId="5457" applyNumberFormat="1" applyFont="1" applyFill="1" applyBorder="1" applyAlignment="1">
      <alignment horizontal="right"/>
    </xf>
    <xf numFmtId="2" fontId="290" fillId="11" borderId="19" xfId="5457" applyNumberFormat="1" applyFont="1" applyFill="1" applyBorder="1" applyAlignment="1">
      <alignment horizontal="right"/>
    </xf>
    <xf numFmtId="0" fontId="298" fillId="11" borderId="19" xfId="5457" applyFont="1" applyFill="1" applyBorder="1"/>
    <xf numFmtId="0" fontId="298" fillId="11" borderId="32" xfId="5457" applyFont="1" applyFill="1" applyBorder="1"/>
    <xf numFmtId="2" fontId="291" fillId="0" borderId="19" xfId="5457" applyNumberFormat="1" applyFont="1" applyFill="1" applyBorder="1" applyAlignment="1">
      <alignment horizontal="right"/>
    </xf>
    <xf numFmtId="2" fontId="291" fillId="0" borderId="19" xfId="5346" applyNumberFormat="1" applyFont="1" applyFill="1" applyBorder="1" applyAlignment="1">
      <alignment horizontal="right"/>
    </xf>
    <xf numFmtId="3" fontId="5" fillId="100" borderId="48" xfId="5457" applyNumberFormat="1" applyFont="1" applyFill="1" applyBorder="1"/>
    <xf numFmtId="0" fontId="23" fillId="11" borderId="23" xfId="5457" applyFont="1" applyFill="1" applyBorder="1"/>
    <xf numFmtId="0" fontId="23" fillId="11" borderId="53" xfId="5457" applyFont="1" applyFill="1" applyBorder="1"/>
    <xf numFmtId="0" fontId="23" fillId="11" borderId="53" xfId="5457" applyFill="1" applyBorder="1"/>
    <xf numFmtId="0" fontId="23" fillId="11" borderId="23" xfId="5457" applyFill="1" applyBorder="1"/>
    <xf numFmtId="0" fontId="23" fillId="11" borderId="24" xfId="5457" applyFill="1" applyBorder="1"/>
    <xf numFmtId="0" fontId="23" fillId="11" borderId="48" xfId="5457" applyFill="1" applyBorder="1"/>
    <xf numFmtId="0" fontId="23" fillId="11" borderId="48" xfId="5457" applyFont="1" applyFill="1" applyBorder="1"/>
    <xf numFmtId="0" fontId="23" fillId="11" borderId="22" xfId="5457" applyFill="1" applyBorder="1"/>
    <xf numFmtId="0" fontId="23" fillId="11" borderId="60" xfId="5457" applyFill="1" applyBorder="1"/>
    <xf numFmtId="0" fontId="23" fillId="11" borderId="48" xfId="5346" applyFont="1" applyFill="1" applyBorder="1"/>
    <xf numFmtId="0" fontId="11" fillId="11" borderId="16" xfId="5457" applyFont="1" applyFill="1" applyBorder="1" applyAlignment="1" applyProtection="1">
      <alignment horizontal="left"/>
    </xf>
    <xf numFmtId="0" fontId="48" fillId="11" borderId="0" xfId="5457" applyFont="1" applyFill="1" applyBorder="1" applyAlignment="1" applyProtection="1">
      <alignment horizontal="left"/>
    </xf>
    <xf numFmtId="0" fontId="49" fillId="11" borderId="0" xfId="5457" applyFont="1" applyFill="1" applyBorder="1" applyAlignment="1" applyProtection="1">
      <alignment horizontal="left"/>
    </xf>
    <xf numFmtId="0" fontId="18" fillId="11" borderId="0" xfId="6386" applyFont="1" applyFill="1"/>
    <xf numFmtId="0" fontId="27" fillId="11" borderId="0" xfId="6386" applyFont="1" applyFill="1"/>
    <xf numFmtId="167" fontId="27" fillId="11" borderId="0" xfId="6386" applyNumberFormat="1" applyFont="1" applyFill="1"/>
    <xf numFmtId="0" fontId="299" fillId="11" borderId="0" xfId="6386" applyFont="1" applyFill="1" applyBorder="1"/>
    <xf numFmtId="0" fontId="299" fillId="11" borderId="0" xfId="6386" applyFont="1" applyFill="1"/>
    <xf numFmtId="0" fontId="35" fillId="11" borderId="0" xfId="6386" applyFont="1" applyFill="1" applyBorder="1" applyAlignment="1">
      <alignment horizontal="centerContinuous"/>
    </xf>
    <xf numFmtId="0" fontId="299" fillId="11" borderId="0" xfId="6386" applyFont="1" applyFill="1" applyBorder="1" applyAlignment="1">
      <alignment horizontal="centerContinuous"/>
    </xf>
    <xf numFmtId="0" fontId="23" fillId="100" borderId="27" xfId="6386" applyFont="1" applyFill="1" applyBorder="1"/>
    <xf numFmtId="0" fontId="43" fillId="100" borderId="118" xfId="6386" applyFont="1" applyFill="1" applyBorder="1" applyAlignment="1">
      <alignment horizontal="center"/>
    </xf>
    <xf numFmtId="0" fontId="43" fillId="100" borderId="30" xfId="6386" applyFont="1" applyFill="1" applyBorder="1" applyAlignment="1">
      <alignment horizontal="center"/>
    </xf>
    <xf numFmtId="0" fontId="43" fillId="100" borderId="17" xfId="6386" applyFont="1" applyFill="1" applyBorder="1" applyAlignment="1">
      <alignment horizontal="center"/>
    </xf>
    <xf numFmtId="0" fontId="23" fillId="100" borderId="32" xfId="6386" applyFont="1" applyFill="1" applyBorder="1"/>
    <xf numFmtId="0" fontId="43" fillId="100" borderId="59" xfId="6386" applyFont="1" applyFill="1" applyBorder="1" applyAlignment="1">
      <alignment horizontal="center"/>
    </xf>
    <xf numFmtId="0" fontId="43" fillId="100" borderId="37" xfId="6386" applyFont="1" applyFill="1" applyBorder="1" applyAlignment="1">
      <alignment horizontal="center"/>
    </xf>
    <xf numFmtId="0" fontId="43" fillId="100" borderId="19" xfId="6386" applyFont="1" applyFill="1" applyBorder="1" applyAlignment="1">
      <alignment horizontal="center"/>
    </xf>
    <xf numFmtId="0" fontId="23" fillId="100" borderId="48" xfId="6386" applyFont="1" applyFill="1" applyBorder="1"/>
    <xf numFmtId="0" fontId="43" fillId="100" borderId="119" xfId="6386" applyFont="1" applyFill="1" applyBorder="1" applyAlignment="1">
      <alignment horizontal="center"/>
    </xf>
    <xf numFmtId="0" fontId="43" fillId="100" borderId="53" xfId="6386" applyFont="1" applyFill="1" applyBorder="1" applyAlignment="1">
      <alignment horizontal="center"/>
    </xf>
    <xf numFmtId="0" fontId="43" fillId="100" borderId="24" xfId="6386" applyFont="1" applyFill="1" applyBorder="1" applyAlignment="1">
      <alignment horizontal="center"/>
    </xf>
    <xf numFmtId="17" fontId="3" fillId="101" borderId="32" xfId="6386" applyNumberFormat="1" applyFont="1" applyFill="1" applyBorder="1" applyAlignment="1">
      <alignment horizontal="left"/>
    </xf>
    <xf numFmtId="2" fontId="23" fillId="11" borderId="5" xfId="6386" applyNumberFormat="1" applyFont="1" applyFill="1" applyBorder="1" applyAlignment="1">
      <alignment horizontal="right"/>
    </xf>
    <xf numFmtId="2" fontId="23" fillId="11" borderId="37" xfId="6386" applyNumberFormat="1" applyFont="1" applyFill="1" applyBorder="1" applyAlignment="1">
      <alignment horizontal="center"/>
    </xf>
    <xf numFmtId="2" fontId="23" fillId="11" borderId="37" xfId="6386" applyNumberFormat="1" applyFont="1" applyFill="1" applyBorder="1" applyAlignment="1">
      <alignment horizontal="right"/>
    </xf>
    <xf numFmtId="0" fontId="23" fillId="11" borderId="37" xfId="6386" applyFont="1" applyFill="1" applyBorder="1" applyAlignment="1">
      <alignment horizontal="right"/>
    </xf>
    <xf numFmtId="2" fontId="23" fillId="11" borderId="57" xfId="6386" applyNumberFormat="1" applyFont="1" applyFill="1" applyBorder="1" applyAlignment="1">
      <alignment horizontal="right"/>
    </xf>
    <xf numFmtId="2" fontId="299" fillId="11" borderId="0" xfId="6386" applyNumberFormat="1" applyFont="1" applyFill="1"/>
    <xf numFmtId="2" fontId="301" fillId="11" borderId="0" xfId="6386" applyNumberFormat="1" applyFont="1" applyFill="1"/>
    <xf numFmtId="0" fontId="301" fillId="11" borderId="0" xfId="6386" applyFont="1" applyFill="1"/>
    <xf numFmtId="2" fontId="99" fillId="11" borderId="37" xfId="6386" applyNumberFormat="1" applyFont="1" applyFill="1" applyBorder="1" applyAlignment="1">
      <alignment horizontal="center"/>
    </xf>
    <xf numFmtId="2" fontId="23" fillId="11" borderId="37" xfId="6386" quotePrefix="1" applyNumberFormat="1" applyFont="1" applyFill="1" applyBorder="1" applyAlignment="1">
      <alignment horizontal="right"/>
    </xf>
    <xf numFmtId="17" fontId="3" fillId="101" borderId="32" xfId="6386" quotePrefix="1" applyNumberFormat="1" applyFont="1" applyFill="1" applyBorder="1" applyAlignment="1">
      <alignment horizontal="left"/>
    </xf>
    <xf numFmtId="17" fontId="41" fillId="100" borderId="32" xfId="6386" quotePrefix="1" applyNumberFormat="1" applyFont="1" applyFill="1" applyBorder="1" applyAlignment="1">
      <alignment horizontal="left"/>
    </xf>
    <xf numFmtId="2" fontId="10" fillId="11" borderId="5" xfId="6386" applyNumberFormat="1" applyFont="1" applyFill="1" applyBorder="1" applyAlignment="1">
      <alignment horizontal="right"/>
    </xf>
    <xf numFmtId="2" fontId="47" fillId="11" borderId="37" xfId="6386" applyNumberFormat="1" applyFont="1" applyFill="1" applyBorder="1" applyAlignment="1">
      <alignment horizontal="center"/>
    </xf>
    <xf numFmtId="2" fontId="10" fillId="11" borderId="37" xfId="6386" applyNumberFormat="1" applyFont="1" applyFill="1" applyBorder="1" applyAlignment="1">
      <alignment horizontal="right"/>
    </xf>
    <xf numFmtId="0" fontId="10" fillId="11" borderId="37" xfId="6386" applyFont="1" applyFill="1" applyBorder="1" applyAlignment="1">
      <alignment horizontal="right"/>
    </xf>
    <xf numFmtId="2" fontId="10" fillId="11" borderId="57" xfId="6386" applyNumberFormat="1" applyFont="1" applyFill="1" applyBorder="1" applyAlignment="1">
      <alignment horizontal="right"/>
    </xf>
    <xf numFmtId="2" fontId="47" fillId="11" borderId="0" xfId="6386" applyNumberFormat="1" applyFont="1" applyFill="1"/>
    <xf numFmtId="17" fontId="43" fillId="100" borderId="32" xfId="6386" quotePrefix="1" applyNumberFormat="1" applyFont="1" applyFill="1" applyBorder="1" applyAlignment="1">
      <alignment horizontal="left"/>
    </xf>
    <xf numFmtId="2" fontId="236" fillId="11" borderId="5" xfId="6386" applyNumberFormat="1" applyFont="1" applyFill="1" applyBorder="1" applyAlignment="1">
      <alignment horizontal="right"/>
    </xf>
    <xf numFmtId="2" fontId="10" fillId="11" borderId="37" xfId="6386" applyNumberFormat="1" applyFont="1" applyFill="1" applyBorder="1" applyAlignment="1">
      <alignment horizontal="center"/>
    </xf>
    <xf numFmtId="0" fontId="302" fillId="11" borderId="0" xfId="6386" applyFont="1" applyFill="1"/>
    <xf numFmtId="214" fontId="299" fillId="11" borderId="0" xfId="6386" applyNumberFormat="1" applyFont="1" applyFill="1"/>
    <xf numFmtId="17" fontId="43" fillId="100" borderId="57" xfId="6386" quotePrefix="1" applyNumberFormat="1" applyFont="1" applyFill="1" applyBorder="1" applyAlignment="1">
      <alignment horizontal="left"/>
    </xf>
    <xf numFmtId="2" fontId="10" fillId="11" borderId="59" xfId="6386" applyNumberFormat="1" applyFont="1" applyFill="1" applyBorder="1" applyAlignment="1">
      <alignment horizontal="right"/>
    </xf>
    <xf numFmtId="0" fontId="10" fillId="11" borderId="0" xfId="6386" applyFont="1" applyFill="1" applyBorder="1"/>
    <xf numFmtId="0" fontId="27" fillId="11" borderId="0" xfId="6386" applyFont="1" applyFill="1" applyBorder="1"/>
    <xf numFmtId="0" fontId="10" fillId="11" borderId="37" xfId="6386" applyFont="1" applyFill="1" applyBorder="1"/>
    <xf numFmtId="0" fontId="10" fillId="11" borderId="5" xfId="6386" applyFont="1" applyFill="1" applyBorder="1"/>
    <xf numFmtId="2" fontId="10" fillId="11" borderId="5" xfId="6386" applyNumberFormat="1" applyFont="1" applyFill="1" applyBorder="1"/>
    <xf numFmtId="17" fontId="43" fillId="100" borderId="199" xfId="6386" quotePrefix="1" applyNumberFormat="1" applyFont="1" applyFill="1" applyBorder="1" applyAlignment="1">
      <alignment horizontal="left"/>
    </xf>
    <xf numFmtId="2" fontId="10" fillId="11" borderId="197" xfId="6386" applyNumberFormat="1" applyFont="1" applyFill="1" applyBorder="1" applyAlignment="1">
      <alignment horizontal="right"/>
    </xf>
    <xf numFmtId="2" fontId="10" fillId="11" borderId="87" xfId="6386" applyNumberFormat="1" applyFont="1" applyFill="1" applyBorder="1" applyAlignment="1">
      <alignment horizontal="center"/>
    </xf>
    <xf numFmtId="2" fontId="10" fillId="11" borderId="87" xfId="6386" applyNumberFormat="1" applyFont="1" applyFill="1" applyBorder="1" applyAlignment="1">
      <alignment horizontal="right"/>
    </xf>
    <xf numFmtId="0" fontId="10" fillId="11" borderId="87" xfId="6386" applyFont="1" applyFill="1" applyBorder="1" applyAlignment="1">
      <alignment horizontal="right"/>
    </xf>
    <xf numFmtId="4" fontId="10" fillId="11" borderId="14" xfId="6386" applyNumberFormat="1" applyFont="1" applyFill="1" applyBorder="1"/>
    <xf numFmtId="0" fontId="11" fillId="11" borderId="0" xfId="6386" applyFont="1" applyFill="1" applyBorder="1" applyAlignment="1" applyProtection="1">
      <alignment horizontal="left"/>
    </xf>
    <xf numFmtId="0" fontId="227" fillId="11" borderId="0" xfId="6386" applyFont="1" applyFill="1" applyBorder="1" applyAlignment="1" applyProtection="1">
      <alignment wrapText="1"/>
    </xf>
    <xf numFmtId="0" fontId="227" fillId="11" borderId="0" xfId="6386" applyFont="1" applyFill="1" applyBorder="1" applyAlignment="1" applyProtection="1">
      <alignment horizontal="left"/>
    </xf>
    <xf numFmtId="0" fontId="49" fillId="11" borderId="0" xfId="6386" applyFont="1" applyFill="1" applyBorder="1" applyAlignment="1" applyProtection="1">
      <alignment horizontal="left"/>
    </xf>
    <xf numFmtId="2" fontId="27" fillId="11" borderId="0" xfId="6386" applyNumberFormat="1" applyFont="1" applyFill="1"/>
    <xf numFmtId="0" fontId="43" fillId="0" borderId="0" xfId="2" applyFont="1" applyAlignment="1">
      <alignment vertical="center"/>
    </xf>
    <xf numFmtId="0" fontId="27" fillId="0" borderId="0" xfId="2" applyFont="1" applyAlignment="1">
      <alignment vertical="center"/>
    </xf>
    <xf numFmtId="0" fontId="245" fillId="0" borderId="0" xfId="2" applyFont="1" applyAlignment="1">
      <alignment vertical="center"/>
    </xf>
    <xf numFmtId="0" fontId="35" fillId="0" borderId="0" xfId="2" applyFont="1" applyAlignment="1">
      <alignment horizontal="center" vertical="center"/>
    </xf>
    <xf numFmtId="0" fontId="3" fillId="100" borderId="237" xfId="2" applyFont="1" applyFill="1" applyBorder="1" applyAlignment="1">
      <alignment horizontal="center" vertical="center"/>
    </xf>
    <xf numFmtId="0" fontId="3" fillId="100" borderId="238" xfId="2" applyFont="1" applyFill="1" applyBorder="1" applyAlignment="1">
      <alignment horizontal="centerContinuous" vertical="center" wrapText="1"/>
    </xf>
    <xf numFmtId="0" fontId="23" fillId="100" borderId="239" xfId="2" applyFont="1" applyFill="1" applyBorder="1" applyAlignment="1">
      <alignment horizontal="centerContinuous" vertical="center" wrapText="1"/>
    </xf>
    <xf numFmtId="0" fontId="23" fillId="100" borderId="240" xfId="2" applyFont="1" applyFill="1" applyBorder="1" applyAlignment="1">
      <alignment horizontal="centerContinuous" vertical="center" wrapText="1"/>
    </xf>
    <xf numFmtId="0" fontId="3" fillId="100" borderId="241" xfId="2" applyFont="1" applyFill="1" applyBorder="1" applyAlignment="1">
      <alignment horizontal="center" vertical="center"/>
    </xf>
    <xf numFmtId="0" fontId="3" fillId="100" borderId="242" xfId="2" applyFont="1" applyFill="1" applyBorder="1" applyAlignment="1">
      <alignment horizontal="center" vertical="center"/>
    </xf>
    <xf numFmtId="0" fontId="3" fillId="100" borderId="243" xfId="2" applyFont="1" applyFill="1" applyBorder="1" applyAlignment="1">
      <alignment horizontal="center" vertical="center"/>
    </xf>
    <xf numFmtId="0" fontId="3" fillId="100" borderId="244" xfId="2" applyFont="1" applyFill="1" applyBorder="1" applyAlignment="1">
      <alignment horizontal="center" vertical="center"/>
    </xf>
    <xf numFmtId="0" fontId="3" fillId="100" borderId="245" xfId="2" applyFont="1" applyFill="1" applyBorder="1" applyAlignment="1">
      <alignment horizontal="center" vertical="center"/>
    </xf>
    <xf numFmtId="0" fontId="3" fillId="100" borderId="246" xfId="2" applyFont="1" applyFill="1" applyBorder="1" applyAlignment="1">
      <alignment horizontal="center" vertical="center"/>
    </xf>
    <xf numFmtId="0" fontId="3" fillId="100" borderId="247" xfId="2" applyFont="1" applyFill="1" applyBorder="1" applyAlignment="1">
      <alignment horizontal="center" vertical="center"/>
    </xf>
    <xf numFmtId="0" fontId="3" fillId="100" borderId="248" xfId="2" applyFont="1" applyFill="1" applyBorder="1" applyAlignment="1">
      <alignment horizontal="center" vertical="center"/>
    </xf>
    <xf numFmtId="0" fontId="23" fillId="100" borderId="241" xfId="2" applyFont="1" applyFill="1" applyBorder="1" applyAlignment="1">
      <alignment vertical="center"/>
    </xf>
    <xf numFmtId="0" fontId="23" fillId="0" borderId="249" xfId="2" applyFont="1" applyBorder="1" applyAlignment="1">
      <alignment vertical="center"/>
    </xf>
    <xf numFmtId="0" fontId="23" fillId="0" borderId="250" xfId="2" applyFont="1" applyBorder="1" applyAlignment="1">
      <alignment vertical="center"/>
    </xf>
    <xf numFmtId="0" fontId="23" fillId="0" borderId="244" xfId="2" applyFont="1" applyBorder="1" applyAlignment="1">
      <alignment vertical="center"/>
    </xf>
    <xf numFmtId="0" fontId="3" fillId="100" borderId="241" xfId="2" applyFont="1" applyFill="1" applyBorder="1" applyAlignment="1">
      <alignment vertical="center"/>
    </xf>
    <xf numFmtId="3" fontId="3" fillId="0" borderId="249" xfId="2" applyNumberFormat="1" applyFont="1" applyBorder="1" applyAlignment="1">
      <alignment vertical="center"/>
    </xf>
    <xf numFmtId="3" fontId="3" fillId="0" borderId="250" xfId="2" applyNumberFormat="1" applyFont="1" applyBorder="1" applyAlignment="1">
      <alignment vertical="center"/>
    </xf>
    <xf numFmtId="3" fontId="3" fillId="0" borderId="244" xfId="2" applyNumberFormat="1" applyFont="1" applyBorder="1" applyAlignment="1">
      <alignment vertical="center"/>
    </xf>
    <xf numFmtId="3" fontId="245" fillId="0" borderId="0" xfId="2" applyNumberFormat="1" applyFont="1" applyAlignment="1">
      <alignment vertical="center"/>
    </xf>
    <xf numFmtId="248" fontId="26" fillId="0" borderId="249" xfId="6384" applyNumberFormat="1" applyFont="1" applyBorder="1" applyAlignment="1">
      <alignment vertical="center"/>
    </xf>
    <xf numFmtId="248" fontId="26" fillId="0" borderId="250" xfId="6384" applyNumberFormat="1" applyFont="1" applyBorder="1" applyAlignment="1">
      <alignment vertical="center"/>
    </xf>
    <xf numFmtId="3" fontId="23" fillId="0" borderId="249" xfId="2" applyNumberFormat="1" applyFont="1" applyBorder="1" applyAlignment="1">
      <alignment vertical="center"/>
    </xf>
    <xf numFmtId="3" fontId="23" fillId="0" borderId="250" xfId="2" applyNumberFormat="1" applyFont="1" applyBorder="1" applyAlignment="1">
      <alignment vertical="center"/>
    </xf>
    <xf numFmtId="3" fontId="23" fillId="0" borderId="244" xfId="2" applyNumberFormat="1" applyFont="1" applyBorder="1" applyAlignment="1">
      <alignment vertical="center"/>
    </xf>
    <xf numFmtId="0" fontId="3" fillId="100" borderId="245" xfId="2" applyFont="1" applyFill="1" applyBorder="1" applyAlignment="1">
      <alignment vertical="center"/>
    </xf>
    <xf numFmtId="0" fontId="23" fillId="0" borderId="246" xfId="2" applyFont="1" applyBorder="1" applyAlignment="1">
      <alignment vertical="center"/>
    </xf>
    <xf numFmtId="0" fontId="23" fillId="0" borderId="247" xfId="2" applyFont="1" applyBorder="1" applyAlignment="1">
      <alignment vertical="center"/>
    </xf>
    <xf numFmtId="0" fontId="23" fillId="0" borderId="248" xfId="2" applyFont="1" applyBorder="1" applyAlignment="1">
      <alignment vertical="center"/>
    </xf>
    <xf numFmtId="248" fontId="27" fillId="0" borderId="0" xfId="6384" applyNumberFormat="1" applyFont="1" applyAlignment="1">
      <alignment vertical="center"/>
    </xf>
    <xf numFmtId="0" fontId="39" fillId="0" borderId="0" xfId="2" applyFont="1" applyAlignment="1">
      <alignment vertical="center"/>
    </xf>
    <xf numFmtId="3" fontId="27" fillId="0" borderId="0" xfId="2" applyNumberFormat="1" applyFont="1" applyAlignment="1">
      <alignment vertical="center"/>
    </xf>
    <xf numFmtId="0" fontId="11" fillId="0" borderId="0" xfId="2" applyFont="1" applyAlignment="1">
      <alignment vertical="center"/>
    </xf>
    <xf numFmtId="0" fontId="43" fillId="0" borderId="0" xfId="5342" applyFont="1" applyFill="1" applyBorder="1" applyAlignment="1" applyProtection="1">
      <alignment horizontal="left"/>
      <protection locked="0"/>
    </xf>
    <xf numFmtId="0" fontId="23" fillId="0" borderId="0" xfId="5342" applyFont="1" applyFill="1"/>
    <xf numFmtId="0" fontId="23" fillId="0" borderId="0" xfId="5342" applyFont="1"/>
    <xf numFmtId="0" fontId="23" fillId="0" borderId="0" xfId="5342"/>
    <xf numFmtId="0" fontId="303" fillId="0" borderId="6" xfId="5342" applyFont="1" applyBorder="1"/>
    <xf numFmtId="0" fontId="304" fillId="0" borderId="6" xfId="5342" applyFont="1" applyBorder="1" applyAlignment="1">
      <alignment horizontal="center"/>
    </xf>
    <xf numFmtId="0" fontId="35" fillId="0" borderId="6" xfId="5342" applyFont="1" applyBorder="1" applyAlignment="1">
      <alignment horizontal="right"/>
    </xf>
    <xf numFmtId="3" fontId="41" fillId="116" borderId="8" xfId="5342" applyNumberFormat="1" applyFont="1" applyFill="1" applyBorder="1" applyAlignment="1">
      <alignment horizontal="center" vertical="top"/>
    </xf>
    <xf numFmtId="0" fontId="23" fillId="0" borderId="0" xfId="5342" applyAlignment="1">
      <alignment vertical="top"/>
    </xf>
    <xf numFmtId="3" fontId="41" fillId="116" borderId="9" xfId="5342" applyNumberFormat="1" applyFont="1" applyFill="1" applyBorder="1" applyAlignment="1">
      <alignment horizontal="center" vertical="top"/>
    </xf>
    <xf numFmtId="0" fontId="8" fillId="116" borderId="10" xfId="5342" applyFont="1" applyFill="1" applyBorder="1" applyAlignment="1">
      <alignment vertical="top"/>
    </xf>
    <xf numFmtId="3" fontId="41" fillId="116" borderId="64" xfId="5342" applyNumberFormat="1" applyFont="1" applyFill="1" applyBorder="1" applyAlignment="1">
      <alignment horizontal="center" vertical="top"/>
    </xf>
    <xf numFmtId="3" fontId="41" fillId="4" borderId="8" xfId="5342" applyNumberFormat="1" applyFont="1" applyFill="1" applyBorder="1"/>
    <xf numFmtId="251" fontId="10" fillId="0" borderId="8" xfId="4363" applyNumberFormat="1" applyFont="1" applyFill="1" applyBorder="1"/>
    <xf numFmtId="251" fontId="10" fillId="0" borderId="251" xfId="4363" applyNumberFormat="1" applyFont="1" applyFill="1" applyBorder="1"/>
    <xf numFmtId="251" fontId="10" fillId="0" borderId="0" xfId="4363" applyNumberFormat="1" applyFont="1" applyFill="1" applyBorder="1"/>
    <xf numFmtId="167" fontId="41" fillId="0" borderId="8" xfId="4363" applyNumberFormat="1" applyFont="1" applyFill="1" applyBorder="1"/>
    <xf numFmtId="3" fontId="41" fillId="4" borderId="9" xfId="5342" applyNumberFormat="1" applyFont="1" applyFill="1" applyBorder="1"/>
    <xf numFmtId="251" fontId="10" fillId="0" borderId="9" xfId="4363" applyNumberFormat="1" applyFont="1" applyFill="1" applyBorder="1"/>
    <xf numFmtId="251" fontId="10" fillId="0" borderId="39" xfId="4363" applyNumberFormat="1" applyFont="1" applyFill="1" applyBorder="1"/>
    <xf numFmtId="167" fontId="41" fillId="0" borderId="9" xfId="4363" applyNumberFormat="1" applyFont="1" applyFill="1" applyBorder="1"/>
    <xf numFmtId="251" fontId="10" fillId="0" borderId="10" xfId="4363" applyNumberFormat="1" applyFont="1" applyFill="1" applyBorder="1"/>
    <xf numFmtId="251" fontId="10" fillId="0" borderId="42" xfId="4363" applyNumberFormat="1" applyFont="1" applyFill="1" applyBorder="1"/>
    <xf numFmtId="3" fontId="41" fillId="4" borderId="64" xfId="5342" applyNumberFormat="1" applyFont="1" applyFill="1" applyBorder="1" applyAlignment="1">
      <alignment horizontal="left"/>
    </xf>
    <xf numFmtId="167" fontId="41" fillId="0" borderId="64" xfId="4363" applyNumberFormat="1" applyFont="1" applyFill="1" applyBorder="1"/>
    <xf numFmtId="165" fontId="23" fillId="0" borderId="0" xfId="5342" applyNumberFormat="1" applyFont="1"/>
    <xf numFmtId="3" fontId="49" fillId="0" borderId="0" xfId="5342" applyNumberFormat="1" applyFont="1" applyFill="1" applyBorder="1"/>
    <xf numFmtId="0" fontId="8" fillId="0" borderId="0" xfId="5342" applyFont="1"/>
    <xf numFmtId="0" fontId="49" fillId="0" borderId="0" xfId="5342" applyFont="1" applyFill="1" applyBorder="1"/>
    <xf numFmtId="0" fontId="19" fillId="0" borderId="0" xfId="5342" applyFont="1" applyFill="1" applyBorder="1"/>
    <xf numFmtId="204" fontId="19" fillId="0" borderId="0" xfId="5342" applyNumberFormat="1" applyFont="1" applyFill="1" applyBorder="1"/>
    <xf numFmtId="165" fontId="5" fillId="0" borderId="0" xfId="4363" applyNumberFormat="1" applyFont="1"/>
    <xf numFmtId="165" fontId="0" fillId="0" borderId="0" xfId="4363" applyNumberFormat="1" applyFont="1"/>
    <xf numFmtId="165" fontId="27" fillId="0" borderId="0" xfId="4363" applyNumberFormat="1" applyFont="1" applyFill="1" applyBorder="1"/>
    <xf numFmtId="0" fontId="19" fillId="0" borderId="0" xfId="5342" applyFont="1" applyBorder="1"/>
    <xf numFmtId="0" fontId="6" fillId="11" borderId="0" xfId="2" applyFont="1" applyFill="1" applyAlignment="1">
      <alignment vertical="center"/>
    </xf>
    <xf numFmtId="0" fontId="8" fillId="11" borderId="0" xfId="2" applyFont="1" applyFill="1" applyAlignment="1">
      <alignment horizontal="center" vertical="center"/>
    </xf>
    <xf numFmtId="0" fontId="23" fillId="11" borderId="0" xfId="2" applyFont="1" applyFill="1" applyAlignment="1">
      <alignment horizontal="center" vertical="center"/>
    </xf>
    <xf numFmtId="0" fontId="3" fillId="11" borderId="0" xfId="2" applyFont="1" applyFill="1" applyAlignment="1">
      <alignment vertical="center"/>
    </xf>
    <xf numFmtId="0" fontId="3" fillId="100" borderId="181" xfId="2" applyFont="1" applyFill="1" applyBorder="1" applyAlignment="1">
      <alignment horizontal="center" vertical="center"/>
    </xf>
    <xf numFmtId="0" fontId="3" fillId="100" borderId="37" xfId="2" applyFont="1" applyFill="1" applyBorder="1" applyAlignment="1">
      <alignment horizontal="centerContinuous" vertical="center"/>
    </xf>
    <xf numFmtId="0" fontId="3" fillId="100" borderId="3" xfId="2" applyFont="1" applyFill="1" applyBorder="1" applyAlignment="1">
      <alignment horizontal="center" vertical="center"/>
    </xf>
    <xf numFmtId="0" fontId="3" fillId="100" borderId="178" xfId="2" applyFont="1" applyFill="1" applyBorder="1" applyAlignment="1">
      <alignment horizontal="center" vertical="center"/>
    </xf>
    <xf numFmtId="0" fontId="3" fillId="100" borderId="76" xfId="2" applyFont="1" applyFill="1" applyBorder="1" applyAlignment="1">
      <alignment horizontal="center" vertical="center"/>
    </xf>
    <xf numFmtId="0" fontId="3" fillId="100" borderId="5" xfId="2" applyFont="1" applyFill="1" applyBorder="1" applyAlignment="1">
      <alignment horizontal="center" vertical="center"/>
    </xf>
    <xf numFmtId="2" fontId="3" fillId="100" borderId="3" xfId="2" applyNumberFormat="1" applyFont="1" applyFill="1" applyBorder="1" applyAlignment="1">
      <alignment horizontal="center" vertical="center"/>
    </xf>
    <xf numFmtId="0" fontId="23" fillId="0" borderId="0" xfId="2" applyFont="1" applyFill="1" applyAlignment="1">
      <alignment vertical="center"/>
    </xf>
    <xf numFmtId="0" fontId="3" fillId="100" borderId="37" xfId="2" applyFont="1" applyFill="1" applyBorder="1" applyAlignment="1">
      <alignment horizontal="center" vertical="center"/>
    </xf>
    <xf numFmtId="2" fontId="3" fillId="100" borderId="5" xfId="2" applyNumberFormat="1" applyFont="1" applyFill="1" applyBorder="1" applyAlignment="1">
      <alignment horizontal="center" vertical="center"/>
    </xf>
    <xf numFmtId="0" fontId="3" fillId="100" borderId="87" xfId="2" applyFont="1" applyFill="1" applyBorder="1" applyAlignment="1">
      <alignment horizontal="centerContinuous" vertical="center"/>
    </xf>
    <xf numFmtId="0" fontId="3" fillId="100" borderId="14" xfId="2" applyFont="1" applyFill="1" applyBorder="1" applyAlignment="1">
      <alignment horizontal="center" vertical="center"/>
    </xf>
    <xf numFmtId="0" fontId="3" fillId="100" borderId="87" xfId="2" applyFont="1" applyFill="1" applyBorder="1" applyAlignment="1">
      <alignment horizontal="center" vertical="center"/>
    </xf>
    <xf numFmtId="2" fontId="3" fillId="100" borderId="14" xfId="2" applyNumberFormat="1" applyFont="1" applyFill="1" applyBorder="1" applyAlignment="1">
      <alignment horizontal="center" vertical="center"/>
    </xf>
    <xf numFmtId="17" fontId="3" fillId="101" borderId="37" xfId="2" applyNumberFormat="1" applyFont="1" applyFill="1" applyBorder="1" applyAlignment="1">
      <alignment horizontal="left" vertical="center"/>
    </xf>
    <xf numFmtId="1" fontId="23" fillId="11" borderId="37" xfId="2" applyNumberFormat="1" applyFont="1" applyFill="1" applyBorder="1" applyAlignment="1">
      <alignment vertical="center"/>
    </xf>
    <xf numFmtId="2" fontId="23" fillId="11" borderId="37" xfId="2" applyNumberFormat="1" applyFont="1" applyFill="1" applyBorder="1" applyAlignment="1">
      <alignment horizontal="center" vertical="center"/>
    </xf>
    <xf numFmtId="2" fontId="23" fillId="11" borderId="37" xfId="2" applyNumberFormat="1" applyFont="1" applyFill="1" applyBorder="1" applyAlignment="1">
      <alignment vertical="center"/>
    </xf>
    <xf numFmtId="204" fontId="23" fillId="11" borderId="37" xfId="6387" applyFont="1" applyFill="1" applyBorder="1" applyAlignment="1">
      <alignment horizontal="right" vertical="center"/>
    </xf>
    <xf numFmtId="165" fontId="23" fillId="11" borderId="37" xfId="6387" applyNumberFormat="1" applyFont="1" applyFill="1" applyBorder="1" applyAlignment="1">
      <alignment vertical="center"/>
    </xf>
    <xf numFmtId="204" fontId="23" fillId="11" borderId="37" xfId="6387" applyNumberFormat="1" applyFont="1" applyFill="1" applyBorder="1" applyAlignment="1">
      <alignment horizontal="center" vertical="center"/>
    </xf>
    <xf numFmtId="204" fontId="23" fillId="11" borderId="37" xfId="6387" applyNumberFormat="1" applyFont="1" applyFill="1" applyBorder="1" applyAlignment="1">
      <alignment vertical="center"/>
    </xf>
    <xf numFmtId="0" fontId="23" fillId="11" borderId="37" xfId="2" applyFont="1" applyFill="1" applyBorder="1" applyAlignment="1">
      <alignment vertical="center"/>
    </xf>
    <xf numFmtId="1" fontId="23" fillId="11" borderId="37" xfId="2" applyNumberFormat="1" applyFont="1" applyFill="1" applyBorder="1" applyAlignment="1">
      <alignment horizontal="center" vertical="center"/>
    </xf>
    <xf numFmtId="204" fontId="23" fillId="11" borderId="37" xfId="6387" applyFont="1" applyFill="1" applyBorder="1" applyAlignment="1">
      <alignment horizontal="center" vertical="center"/>
    </xf>
    <xf numFmtId="165" fontId="23" fillId="11" borderId="37" xfId="6387" applyNumberFormat="1" applyFont="1" applyFill="1" applyBorder="1" applyAlignment="1">
      <alignment horizontal="center" vertical="center"/>
    </xf>
    <xf numFmtId="1" fontId="23" fillId="11" borderId="4" xfId="2" applyNumberFormat="1" applyFont="1" applyFill="1" applyBorder="1" applyAlignment="1">
      <alignment horizontal="center" vertical="center"/>
    </xf>
    <xf numFmtId="17" fontId="3" fillId="101" borderId="4" xfId="2" applyNumberFormat="1" applyFont="1" applyFill="1" applyBorder="1" applyAlignment="1">
      <alignment horizontal="left" vertical="center"/>
    </xf>
    <xf numFmtId="165" fontId="23" fillId="11" borderId="5" xfId="6387" applyNumberFormat="1" applyFont="1" applyFill="1" applyBorder="1" applyAlignment="1">
      <alignment horizontal="center" vertical="center"/>
    </xf>
    <xf numFmtId="204" fontId="23" fillId="11" borderId="37" xfId="6387" applyNumberFormat="1" applyFont="1" applyFill="1" applyBorder="1" applyAlignment="1">
      <alignment horizontal="right" vertical="center"/>
    </xf>
    <xf numFmtId="165" fontId="23" fillId="11" borderId="5" xfId="6387" applyNumberFormat="1" applyFont="1" applyFill="1" applyBorder="1" applyAlignment="1">
      <alignment vertical="center"/>
    </xf>
    <xf numFmtId="17" fontId="3" fillId="115" borderId="37" xfId="2" applyNumberFormat="1" applyFont="1" applyFill="1" applyBorder="1" applyAlignment="1">
      <alignment horizontal="left" vertical="center"/>
    </xf>
    <xf numFmtId="17" fontId="3" fillId="100" borderId="37" xfId="2" applyNumberFormat="1" applyFont="1" applyFill="1" applyBorder="1" applyAlignment="1">
      <alignment horizontal="left" vertical="center"/>
    </xf>
    <xf numFmtId="17" fontId="3" fillId="100" borderId="37" xfId="5463" applyNumberFormat="1" applyFont="1" applyFill="1" applyBorder="1" applyAlignment="1">
      <alignment horizontal="left" vertical="center"/>
    </xf>
    <xf numFmtId="1" fontId="23" fillId="11" borderId="37" xfId="5463" applyNumberFormat="1" applyFont="1" applyFill="1" applyBorder="1" applyAlignment="1">
      <alignment horizontal="center" vertical="center"/>
    </xf>
    <xf numFmtId="204" fontId="23" fillId="11" borderId="37" xfId="5019" applyNumberFormat="1" applyFont="1" applyFill="1" applyBorder="1" applyAlignment="1">
      <alignment horizontal="center" vertical="center"/>
    </xf>
    <xf numFmtId="204" fontId="23" fillId="11" borderId="37" xfId="5019" applyNumberFormat="1" applyFont="1" applyFill="1" applyBorder="1" applyAlignment="1">
      <alignment vertical="center"/>
    </xf>
    <xf numFmtId="204" fontId="23" fillId="11" borderId="37" xfId="5019" applyFont="1" applyFill="1" applyBorder="1" applyAlignment="1">
      <alignment horizontal="right" vertical="center"/>
    </xf>
    <xf numFmtId="165" fontId="23" fillId="11" borderId="37" xfId="5019" applyNumberFormat="1" applyFont="1" applyFill="1" applyBorder="1" applyAlignment="1">
      <alignment vertical="center"/>
    </xf>
    <xf numFmtId="17" fontId="3" fillId="100" borderId="87" xfId="2" applyNumberFormat="1" applyFont="1" applyFill="1" applyBorder="1" applyAlignment="1">
      <alignment horizontal="left" vertical="center"/>
    </xf>
    <xf numFmtId="1" fontId="23" fillId="0" borderId="87" xfId="5463" applyNumberFormat="1" applyFont="1" applyFill="1" applyBorder="1" applyAlignment="1">
      <alignment horizontal="center" vertical="center"/>
    </xf>
    <xf numFmtId="204" fontId="23" fillId="0" borderId="87" xfId="5019" applyNumberFormat="1" applyFont="1" applyFill="1" applyBorder="1" applyAlignment="1">
      <alignment horizontal="center" vertical="center"/>
    </xf>
    <xf numFmtId="204" fontId="23" fillId="0" borderId="87" xfId="5019" applyNumberFormat="1" applyFont="1" applyFill="1" applyBorder="1" applyAlignment="1">
      <alignment vertical="center"/>
    </xf>
    <xf numFmtId="204" fontId="23" fillId="0" borderId="87" xfId="5019" applyFont="1" applyFill="1" applyBorder="1" applyAlignment="1">
      <alignment horizontal="right" vertical="center"/>
    </xf>
    <xf numFmtId="165" fontId="23" fillId="0" borderId="87" xfId="5019" applyNumberFormat="1" applyFont="1" applyFill="1" applyBorder="1" applyAlignment="1">
      <alignment vertical="center"/>
    </xf>
    <xf numFmtId="0" fontId="305" fillId="11" borderId="0" xfId="2" applyFont="1" applyFill="1" applyBorder="1" applyAlignment="1">
      <alignment vertical="center"/>
    </xf>
    <xf numFmtId="0" fontId="306" fillId="11" borderId="0" xfId="2" applyFont="1" applyFill="1" applyBorder="1" applyAlignment="1">
      <alignment vertical="center"/>
    </xf>
    <xf numFmtId="0" fontId="306" fillId="11" borderId="0" xfId="2" applyFont="1" applyFill="1" applyBorder="1" applyAlignment="1">
      <alignment horizontal="center" vertical="center"/>
    </xf>
    <xf numFmtId="2" fontId="306" fillId="11" borderId="0" xfId="2" applyNumberFormat="1" applyFont="1" applyFill="1" applyBorder="1" applyAlignment="1">
      <alignment vertical="center"/>
    </xf>
    <xf numFmtId="0" fontId="306" fillId="11" borderId="0" xfId="2" applyFont="1" applyFill="1" applyAlignment="1">
      <alignment vertical="center"/>
    </xf>
    <xf numFmtId="0" fontId="307" fillId="11" borderId="0" xfId="2" applyFont="1" applyFill="1" applyAlignment="1">
      <alignment vertical="center"/>
    </xf>
    <xf numFmtId="0" fontId="307" fillId="11" borderId="0" xfId="2" applyFont="1" applyFill="1" applyAlignment="1">
      <alignment horizontal="center" vertical="center"/>
    </xf>
    <xf numFmtId="0" fontId="306" fillId="11" borderId="0" xfId="2" applyFont="1" applyFill="1" applyAlignment="1">
      <alignment horizontal="center" vertical="center"/>
    </xf>
    <xf numFmtId="0" fontId="32" fillId="11" borderId="0" xfId="2" applyFill="1" applyAlignment="1">
      <alignment horizontal="left" vertical="center" wrapText="1"/>
    </xf>
    <xf numFmtId="3" fontId="6" fillId="11" borderId="0" xfId="2" applyNumberFormat="1" applyFont="1" applyFill="1" applyAlignment="1">
      <alignment horizontal="left" vertical="center" wrapText="1"/>
    </xf>
    <xf numFmtId="3" fontId="3" fillId="11" borderId="0" xfId="2" applyNumberFormat="1" applyFont="1" applyFill="1" applyAlignment="1">
      <alignment vertical="center"/>
    </xf>
    <xf numFmtId="3" fontId="3" fillId="11" borderId="0" xfId="2" applyNumberFormat="1" applyFont="1" applyFill="1" applyAlignment="1">
      <alignment horizontal="center" vertical="center"/>
    </xf>
    <xf numFmtId="0" fontId="26" fillId="11" borderId="0" xfId="2" applyFont="1" applyFill="1" applyBorder="1" applyAlignment="1">
      <alignment horizontal="center" vertical="center"/>
    </xf>
    <xf numFmtId="3" fontId="6" fillId="100" borderId="74" xfId="2" applyNumberFormat="1" applyFont="1" applyFill="1" applyBorder="1" applyAlignment="1">
      <alignment horizontal="center" vertical="center"/>
    </xf>
    <xf numFmtId="3" fontId="6" fillId="100" borderId="74" xfId="2" applyNumberFormat="1" applyFont="1" applyFill="1" applyBorder="1" applyAlignment="1">
      <alignment horizontal="center" vertical="center" wrapText="1"/>
    </xf>
    <xf numFmtId="167" fontId="23" fillId="11" borderId="37" xfId="2" applyNumberFormat="1" applyFont="1" applyFill="1" applyBorder="1" applyAlignment="1">
      <alignment horizontal="right" vertical="center"/>
    </xf>
    <xf numFmtId="167" fontId="23" fillId="11" borderId="0" xfId="2" applyNumberFormat="1" applyFont="1" applyFill="1" applyAlignment="1">
      <alignment horizontal="center" vertical="center"/>
    </xf>
    <xf numFmtId="3" fontId="23" fillId="11" borderId="37" xfId="2" quotePrefix="1" applyNumberFormat="1" applyFont="1" applyFill="1" applyBorder="1" applyAlignment="1">
      <alignment horizontal="center" vertical="center"/>
    </xf>
    <xf numFmtId="3" fontId="23" fillId="11" borderId="4" xfId="2" quotePrefix="1" applyNumberFormat="1" applyFont="1" applyFill="1" applyBorder="1" applyAlignment="1">
      <alignment horizontal="center" vertical="center"/>
    </xf>
    <xf numFmtId="3" fontId="23" fillId="11" borderId="0" xfId="2" applyNumberFormat="1" applyFont="1" applyFill="1" applyBorder="1" applyAlignment="1">
      <alignment vertical="center"/>
    </xf>
    <xf numFmtId="4" fontId="23" fillId="11" borderId="0" xfId="2" applyNumberFormat="1" applyFont="1" applyFill="1" applyBorder="1" applyAlignment="1">
      <alignment vertical="center"/>
    </xf>
    <xf numFmtId="3" fontId="23" fillId="11" borderId="0" xfId="2" applyNumberFormat="1" applyFont="1" applyFill="1" applyAlignment="1">
      <alignment vertical="center"/>
    </xf>
    <xf numFmtId="167" fontId="23" fillId="11" borderId="5" xfId="2" applyNumberFormat="1" applyFont="1" applyFill="1" applyBorder="1" applyAlignment="1">
      <alignment horizontal="right" vertical="center"/>
    </xf>
    <xf numFmtId="167" fontId="23" fillId="11" borderId="37" xfId="2" applyNumberFormat="1" applyFont="1" applyFill="1" applyBorder="1" applyAlignment="1">
      <alignment horizontal="center" vertical="center"/>
    </xf>
    <xf numFmtId="167" fontId="23" fillId="11" borderId="5" xfId="2" applyNumberFormat="1" applyFont="1" applyFill="1" applyBorder="1" applyAlignment="1">
      <alignment horizontal="center" vertical="center"/>
    </xf>
    <xf numFmtId="167" fontId="23" fillId="11" borderId="0" xfId="2" applyNumberFormat="1" applyFont="1" applyFill="1" applyBorder="1" applyAlignment="1">
      <alignment vertical="center"/>
    </xf>
    <xf numFmtId="2" fontId="23" fillId="11" borderId="0" xfId="2" applyNumberFormat="1" applyFont="1" applyFill="1" applyAlignment="1">
      <alignment vertical="center"/>
    </xf>
    <xf numFmtId="167" fontId="23" fillId="11" borderId="37" xfId="2" quotePrefix="1" applyNumberFormat="1" applyFont="1" applyFill="1" applyBorder="1" applyAlignment="1">
      <alignment horizontal="center" vertical="center"/>
    </xf>
    <xf numFmtId="167" fontId="23" fillId="0" borderId="5" xfId="2" applyNumberFormat="1" applyFont="1" applyFill="1" applyBorder="1" applyAlignment="1">
      <alignment horizontal="center" vertical="center"/>
    </xf>
    <xf numFmtId="167" fontId="23" fillId="11" borderId="0" xfId="2" applyNumberFormat="1" applyFont="1" applyFill="1" applyAlignment="1">
      <alignment vertical="center"/>
    </xf>
    <xf numFmtId="169" fontId="23" fillId="11" borderId="0" xfId="2" applyNumberFormat="1" applyFont="1" applyFill="1" applyAlignment="1">
      <alignment vertical="center"/>
    </xf>
    <xf numFmtId="4" fontId="23" fillId="11" borderId="0" xfId="2" applyNumberFormat="1" applyFont="1" applyFill="1" applyAlignment="1">
      <alignment vertical="center"/>
    </xf>
    <xf numFmtId="167" fontId="23" fillId="0" borderId="37" xfId="2" quotePrefix="1" applyNumberFormat="1" applyFont="1" applyFill="1" applyBorder="1" applyAlignment="1">
      <alignment horizontal="center" vertical="center"/>
    </xf>
    <xf numFmtId="3" fontId="6" fillId="100" borderId="74" xfId="2" applyNumberFormat="1" applyFont="1" applyFill="1" applyBorder="1" applyAlignment="1">
      <alignment horizontal="left" vertical="center"/>
    </xf>
    <xf numFmtId="167" fontId="3" fillId="100" borderId="74" xfId="2" quotePrefix="1" applyNumberFormat="1" applyFont="1" applyFill="1" applyBorder="1" applyAlignment="1">
      <alignment horizontal="center" vertical="center"/>
    </xf>
    <xf numFmtId="4" fontId="23" fillId="11" borderId="4" xfId="2" quotePrefix="1" applyNumberFormat="1" applyFont="1" applyFill="1" applyBorder="1" applyAlignment="1">
      <alignment horizontal="center" vertical="center"/>
    </xf>
    <xf numFmtId="3" fontId="6" fillId="11" borderId="0" xfId="2" applyNumberFormat="1" applyFont="1" applyFill="1" applyBorder="1" applyAlignment="1">
      <alignment horizontal="left" vertical="center"/>
    </xf>
    <xf numFmtId="3" fontId="3" fillId="11" borderId="0" xfId="2" applyNumberFormat="1" applyFont="1" applyFill="1" applyBorder="1" applyAlignment="1">
      <alignment horizontal="center" vertical="center"/>
    </xf>
    <xf numFmtId="0" fontId="5" fillId="11" borderId="0" xfId="2" applyFont="1" applyFill="1" applyAlignment="1">
      <alignment vertical="center"/>
    </xf>
    <xf numFmtId="0" fontId="5" fillId="11" borderId="0" xfId="2" applyFont="1" applyFill="1" applyAlignment="1">
      <alignment horizontal="center" vertical="center"/>
    </xf>
    <xf numFmtId="3" fontId="5" fillId="11" borderId="0" xfId="2" applyNumberFormat="1" applyFont="1" applyFill="1" applyAlignment="1">
      <alignment horizontal="center" vertical="center"/>
    </xf>
    <xf numFmtId="167" fontId="5" fillId="11" borderId="0" xfId="2" applyNumberFormat="1" applyFont="1" applyFill="1" applyAlignment="1">
      <alignment vertical="center"/>
    </xf>
    <xf numFmtId="4" fontId="23" fillId="11" borderId="0" xfId="2" applyNumberFormat="1" applyFont="1" applyFill="1" applyAlignment="1">
      <alignment horizontal="center" vertical="center"/>
    </xf>
    <xf numFmtId="3" fontId="5" fillId="11" borderId="0" xfId="2" applyNumberFormat="1" applyFont="1" applyFill="1" applyAlignment="1">
      <alignment vertical="center"/>
    </xf>
    <xf numFmtId="204" fontId="23" fillId="11" borderId="0" xfId="6387" applyFont="1" applyFill="1" applyAlignment="1">
      <alignment vertical="center"/>
    </xf>
    <xf numFmtId="204" fontId="23" fillId="11" borderId="0" xfId="6387" applyFont="1" applyFill="1" applyAlignment="1">
      <alignment horizontal="center" vertical="center"/>
    </xf>
    <xf numFmtId="4" fontId="23" fillId="11" borderId="0" xfId="2" applyNumberFormat="1" applyFont="1" applyFill="1" applyBorder="1" applyAlignment="1">
      <alignment horizontal="center" vertical="center"/>
    </xf>
    <xf numFmtId="0" fontId="32" fillId="11" borderId="0" xfId="2" applyFill="1" applyAlignment="1">
      <alignment vertical="center"/>
    </xf>
    <xf numFmtId="1" fontId="23" fillId="11" borderId="0" xfId="2" applyNumberFormat="1" applyFont="1" applyFill="1" applyBorder="1" applyAlignment="1">
      <alignment vertical="center"/>
    </xf>
    <xf numFmtId="2" fontId="23" fillId="11" borderId="0" xfId="2" applyNumberFormat="1" applyFont="1" applyFill="1" applyBorder="1" applyAlignment="1">
      <alignment vertical="center"/>
    </xf>
    <xf numFmtId="204" fontId="23" fillId="11" borderId="0" xfId="6387" applyFont="1" applyFill="1" applyBorder="1" applyAlignment="1">
      <alignment horizontal="right" vertical="center"/>
    </xf>
    <xf numFmtId="165" fontId="23" fillId="11" borderId="0" xfId="6387" applyNumberFormat="1" applyFont="1" applyFill="1" applyBorder="1" applyAlignment="1">
      <alignment vertical="center"/>
    </xf>
    <xf numFmtId="3" fontId="23" fillId="11" borderId="0" xfId="2" applyNumberFormat="1" applyFont="1" applyFill="1" applyAlignment="1">
      <alignment horizontal="center" vertical="center"/>
    </xf>
    <xf numFmtId="39" fontId="23" fillId="11" borderId="0" xfId="2" applyNumberFormat="1" applyFont="1" applyFill="1" applyAlignment="1">
      <alignment horizontal="center" vertical="center"/>
    </xf>
    <xf numFmtId="270" fontId="23" fillId="11" borderId="0" xfId="2" applyNumberFormat="1" applyFont="1" applyFill="1" applyAlignment="1">
      <alignment vertical="center"/>
    </xf>
    <xf numFmtId="4" fontId="3" fillId="11" borderId="0" xfId="2" applyNumberFormat="1" applyFont="1" applyFill="1" applyAlignment="1">
      <alignment vertical="center"/>
    </xf>
    <xf numFmtId="204" fontId="23" fillId="11" borderId="0" xfId="6387" applyNumberFormat="1" applyFont="1" applyFill="1" applyBorder="1" applyAlignment="1">
      <alignment horizontal="center" vertical="center"/>
    </xf>
    <xf numFmtId="0" fontId="6" fillId="0" borderId="0" xfId="6388" applyFont="1" applyFill="1" applyAlignment="1" applyProtection="1">
      <alignment horizontal="left" vertical="center"/>
    </xf>
    <xf numFmtId="0" fontId="8" fillId="0" borderId="0" xfId="6388" applyFont="1" applyFill="1" applyAlignment="1">
      <alignment horizontal="center" vertical="center"/>
    </xf>
    <xf numFmtId="0" fontId="8" fillId="0" borderId="0" xfId="6388" applyFont="1" applyFill="1" applyAlignment="1">
      <alignment vertical="center"/>
    </xf>
    <xf numFmtId="0" fontId="310" fillId="0" borderId="0" xfId="6388" applyFont="1" applyAlignment="1">
      <alignment vertical="center"/>
    </xf>
    <xf numFmtId="0" fontId="311" fillId="0" borderId="0" xfId="6388" applyFont="1" applyAlignment="1">
      <alignment vertical="center"/>
    </xf>
    <xf numFmtId="0" fontId="23" fillId="0" borderId="0" xfId="6388" applyFont="1" applyFill="1" applyAlignment="1">
      <alignment vertical="center"/>
    </xf>
    <xf numFmtId="0" fontId="23" fillId="0" borderId="0" xfId="6388" applyFont="1" applyFill="1" applyAlignment="1">
      <alignment horizontal="center" vertical="center"/>
    </xf>
    <xf numFmtId="0" fontId="3" fillId="100" borderId="120" xfId="6389" applyFont="1" applyFill="1" applyBorder="1" applyAlignment="1" applyProtection="1">
      <alignment horizontal="center" vertical="center"/>
    </xf>
    <xf numFmtId="0" fontId="3" fillId="100" borderId="123" xfId="6389" applyFont="1" applyFill="1" applyBorder="1" applyAlignment="1" applyProtection="1">
      <alignment horizontal="center" vertical="center"/>
    </xf>
    <xf numFmtId="0" fontId="3" fillId="100" borderId="125" xfId="6389" applyFont="1" applyFill="1" applyBorder="1" applyAlignment="1" applyProtection="1">
      <alignment horizontal="center" vertical="center"/>
    </xf>
    <xf numFmtId="0" fontId="3" fillId="100" borderId="32" xfId="6389" applyFont="1" applyFill="1" applyBorder="1" applyAlignment="1" applyProtection="1">
      <alignment horizontal="left" vertical="center"/>
    </xf>
    <xf numFmtId="169" fontId="23" fillId="0" borderId="37" xfId="6389" applyNumberFormat="1" applyFont="1" applyFill="1" applyBorder="1" applyAlignment="1" applyProtection="1">
      <alignment horizontal="right" vertical="center"/>
    </xf>
    <xf numFmtId="169" fontId="23" fillId="0" borderId="56" xfId="6389" applyNumberFormat="1" applyFont="1" applyFill="1" applyBorder="1" applyAlignment="1" applyProtection="1">
      <alignment horizontal="right" vertical="center"/>
    </xf>
    <xf numFmtId="169" fontId="23" fillId="0" borderId="57" xfId="6389" applyNumberFormat="1" applyFont="1" applyFill="1" applyBorder="1" applyAlignment="1" applyProtection="1">
      <alignment horizontal="right" vertical="center"/>
    </xf>
    <xf numFmtId="169" fontId="23" fillId="0" borderId="253" xfId="6389" applyNumberFormat="1" applyFont="1" applyFill="1" applyBorder="1" applyAlignment="1" applyProtection="1">
      <alignment horizontal="right" vertical="center"/>
    </xf>
    <xf numFmtId="169" fontId="23" fillId="0" borderId="19" xfId="6389" applyNumberFormat="1" applyFont="1" applyFill="1" applyBorder="1" applyAlignment="1" applyProtection="1">
      <alignment horizontal="right" vertical="center"/>
    </xf>
    <xf numFmtId="0" fontId="308" fillId="0" borderId="37" xfId="6388" applyBorder="1" applyAlignment="1">
      <alignment vertical="center"/>
    </xf>
    <xf numFmtId="0" fontId="308" fillId="0" borderId="19" xfId="6388" applyBorder="1" applyAlignment="1">
      <alignment vertical="center"/>
    </xf>
    <xf numFmtId="169" fontId="3" fillId="0" borderId="37" xfId="6389" applyNumberFormat="1" applyFont="1" applyFill="1" applyBorder="1" applyAlignment="1" applyProtection="1">
      <alignment horizontal="right" vertical="center"/>
    </xf>
    <xf numFmtId="169" fontId="3" fillId="0" borderId="5" xfId="6389" applyNumberFormat="1" applyFont="1" applyFill="1" applyBorder="1" applyAlignment="1" applyProtection="1">
      <alignment horizontal="right" vertical="center"/>
    </xf>
    <xf numFmtId="169" fontId="3" fillId="0" borderId="19" xfId="6389" applyNumberFormat="1" applyFont="1" applyFill="1" applyBorder="1" applyAlignment="1" applyProtection="1">
      <alignment horizontal="right" vertical="center"/>
    </xf>
    <xf numFmtId="0" fontId="312" fillId="100" borderId="32" xfId="6389" applyFont="1" applyFill="1" applyBorder="1" applyAlignment="1" applyProtection="1">
      <alignment horizontal="left" vertical="center"/>
    </xf>
    <xf numFmtId="271" fontId="3" fillId="0" borderId="37" xfId="6389" quotePrefix="1" applyNumberFormat="1" applyFont="1" applyFill="1" applyBorder="1" applyAlignment="1">
      <alignment horizontal="right" vertical="center"/>
    </xf>
    <xf numFmtId="271" fontId="3" fillId="0" borderId="19" xfId="6389" quotePrefix="1" applyNumberFormat="1" applyFont="1" applyFill="1" applyBorder="1" applyAlignment="1">
      <alignment horizontal="right" vertical="center"/>
    </xf>
    <xf numFmtId="0" fontId="3" fillId="100" borderId="48" xfId="6389" applyFont="1" applyFill="1" applyBorder="1" applyAlignment="1" applyProtection="1">
      <alignment horizontal="left" vertical="center"/>
    </xf>
    <xf numFmtId="271" fontId="3" fillId="0" borderId="53" xfId="6389" quotePrefix="1" applyNumberFormat="1" applyFont="1" applyFill="1" applyBorder="1" applyAlignment="1">
      <alignment horizontal="right" vertical="center"/>
    </xf>
    <xf numFmtId="271" fontId="3" fillId="0" borderId="24" xfId="6389" quotePrefix="1" applyNumberFormat="1" applyFont="1" applyFill="1" applyBorder="1" applyAlignment="1">
      <alignment horizontal="right" vertical="center"/>
    </xf>
    <xf numFmtId="0" fontId="11" fillId="0" borderId="0" xfId="6389" applyFont="1" applyFill="1" applyAlignment="1" applyProtection="1">
      <alignment horizontal="left" vertical="center"/>
    </xf>
    <xf numFmtId="0" fontId="5" fillId="0" borderId="0" xfId="6389" applyFont="1" applyFill="1" applyAlignment="1">
      <alignment vertical="center"/>
    </xf>
    <xf numFmtId="0" fontId="5" fillId="0" borderId="0" xfId="6389" applyFont="1" applyAlignment="1">
      <alignment vertical="center"/>
    </xf>
    <xf numFmtId="0" fontId="308" fillId="0" borderId="0" xfId="6388" applyAlignment="1">
      <alignment vertical="center"/>
    </xf>
    <xf numFmtId="0" fontId="313" fillId="0" borderId="0" xfId="6388" applyFont="1" applyAlignment="1">
      <alignment vertical="center"/>
    </xf>
    <xf numFmtId="0" fontId="39" fillId="0" borderId="0" xfId="6389" applyFont="1" applyFill="1" applyAlignment="1" applyProtection="1">
      <alignment horizontal="left" vertical="center"/>
    </xf>
    <xf numFmtId="0" fontId="11" fillId="0" borderId="0" xfId="6388" applyFont="1"/>
    <xf numFmtId="0" fontId="11" fillId="0" borderId="0" xfId="6389" applyFont="1" applyAlignment="1" applyProtection="1">
      <alignment horizontal="left" vertical="center"/>
    </xf>
    <xf numFmtId="0" fontId="39" fillId="0" borderId="0" xfId="6388" applyFont="1" applyFill="1" applyBorder="1" applyAlignment="1" applyProtection="1">
      <alignment horizontal="left" vertical="center"/>
    </xf>
    <xf numFmtId="248" fontId="5" fillId="0" borderId="0" xfId="6388" applyNumberFormat="1" applyFont="1" applyBorder="1" applyAlignment="1">
      <alignment vertical="center"/>
    </xf>
    <xf numFmtId="0" fontId="5" fillId="0" borderId="0" xfId="6388" applyFont="1" applyFill="1" applyBorder="1" applyAlignment="1">
      <alignment vertical="center"/>
    </xf>
    <xf numFmtId="0" fontId="6" fillId="0" borderId="0" xfId="6388" applyFont="1" applyFill="1" applyAlignment="1" applyProtection="1">
      <alignment horizontal="left"/>
    </xf>
    <xf numFmtId="0" fontId="8" fillId="0" borderId="0" xfId="6388" applyFont="1" applyAlignment="1">
      <alignment vertical="center"/>
    </xf>
    <xf numFmtId="0" fontId="16" fillId="0" borderId="0" xfId="6388" applyFont="1" applyFill="1" applyAlignment="1" applyProtection="1">
      <alignment horizontal="left" vertical="center"/>
    </xf>
    <xf numFmtId="0" fontId="19" fillId="0" borderId="0" xfId="6388" applyFont="1" applyAlignment="1">
      <alignment vertical="center"/>
    </xf>
    <xf numFmtId="0" fontId="23" fillId="0" borderId="0" xfId="6388" applyFont="1" applyFill="1"/>
    <xf numFmtId="0" fontId="23" fillId="0" borderId="0" xfId="6388" applyFont="1" applyFill="1" applyAlignment="1">
      <alignment horizontal="center"/>
    </xf>
    <xf numFmtId="0" fontId="267" fillId="0" borderId="0" xfId="6388" applyFont="1" applyAlignment="1">
      <alignment vertical="center"/>
    </xf>
    <xf numFmtId="0" fontId="145" fillId="0" borderId="0" xfId="6388" applyFont="1"/>
    <xf numFmtId="0" fontId="308" fillId="0" borderId="0" xfId="6388" applyFont="1"/>
    <xf numFmtId="0" fontId="3" fillId="100" borderId="120" xfId="6388" applyFont="1" applyFill="1" applyBorder="1" applyAlignment="1" applyProtection="1">
      <alignment horizontal="center" vertical="center" wrapText="1"/>
    </xf>
    <xf numFmtId="0" fontId="3" fillId="100" borderId="123" xfId="6388" applyFont="1" applyFill="1" applyBorder="1" applyAlignment="1" applyProtection="1">
      <alignment horizontal="center" vertical="center" wrapText="1"/>
    </xf>
    <xf numFmtId="0" fontId="3" fillId="100" borderId="124" xfId="6388" applyFont="1" applyFill="1" applyBorder="1" applyAlignment="1" applyProtection="1">
      <alignment horizontal="center" vertical="center" wrapText="1"/>
    </xf>
    <xf numFmtId="0" fontId="3" fillId="100" borderId="254" xfId="6388" applyFont="1" applyFill="1" applyBorder="1" applyAlignment="1" applyProtection="1">
      <alignment horizontal="center" vertical="center" wrapText="1"/>
    </xf>
    <xf numFmtId="0" fontId="311" fillId="0" borderId="0" xfId="6388" applyFont="1" applyAlignment="1">
      <alignment vertical="center" wrapText="1"/>
    </xf>
    <xf numFmtId="0" fontId="308" fillId="0" borderId="0" xfId="6388" applyFont="1" applyAlignment="1">
      <alignment vertical="center" wrapText="1"/>
    </xf>
    <xf numFmtId="17" fontId="3" fillId="100" borderId="32" xfId="6388" applyNumberFormat="1" applyFont="1" applyFill="1" applyBorder="1" applyAlignment="1" applyProtection="1">
      <alignment horizontal="left"/>
    </xf>
    <xf numFmtId="169" fontId="23" fillId="0" borderId="37" xfId="6388" applyNumberFormat="1" applyFont="1" applyFill="1" applyBorder="1" applyAlignment="1" applyProtection="1">
      <alignment horizontal="right"/>
    </xf>
    <xf numFmtId="169" fontId="23" fillId="0" borderId="0" xfId="6388" applyNumberFormat="1" applyFont="1" applyFill="1" applyBorder="1" applyAlignment="1" applyProtection="1">
      <alignment horizontal="right"/>
    </xf>
    <xf numFmtId="169" fontId="23" fillId="0" borderId="57" xfId="6388" applyNumberFormat="1" applyFont="1" applyFill="1" applyBorder="1" applyAlignment="1" applyProtection="1">
      <alignment horizontal="right"/>
    </xf>
    <xf numFmtId="0" fontId="3" fillId="115" borderId="48" xfId="6388" applyFont="1" applyFill="1" applyBorder="1" applyAlignment="1" applyProtection="1">
      <alignment horizontal="left"/>
    </xf>
    <xf numFmtId="271" fontId="23" fillId="0" borderId="53" xfId="6388" quotePrefix="1" applyNumberFormat="1" applyFont="1" applyFill="1" applyBorder="1" applyAlignment="1">
      <alignment horizontal="right"/>
    </xf>
    <xf numFmtId="271" fontId="23" fillId="0" borderId="23" xfId="6388" quotePrefix="1" applyNumberFormat="1" applyFont="1" applyFill="1" applyBorder="1" applyAlignment="1">
      <alignment horizontal="right"/>
    </xf>
    <xf numFmtId="271" fontId="23" fillId="0" borderId="60" xfId="6388" quotePrefix="1" applyNumberFormat="1" applyFont="1" applyFill="1" applyBorder="1" applyAlignment="1">
      <alignment horizontal="right"/>
    </xf>
    <xf numFmtId="0" fontId="5" fillId="0" borderId="0" xfId="6388" applyFont="1" applyAlignment="1">
      <alignment vertical="center"/>
    </xf>
    <xf numFmtId="0" fontId="11" fillId="0" borderId="0" xfId="6388" applyFont="1" applyFill="1"/>
    <xf numFmtId="0" fontId="11" fillId="0" borderId="0" xfId="6388" applyFont="1" applyFill="1" applyAlignment="1">
      <alignment horizontal="center"/>
    </xf>
    <xf numFmtId="0" fontId="267" fillId="0" borderId="0" xfId="6388" applyFont="1" applyFill="1" applyAlignment="1">
      <alignment vertical="center"/>
    </xf>
    <xf numFmtId="0" fontId="314" fillId="0" borderId="0" xfId="6388" applyFont="1" applyFill="1" applyAlignment="1">
      <alignment horizontal="center"/>
    </xf>
    <xf numFmtId="0" fontId="308" fillId="0" borderId="0" xfId="6388"/>
    <xf numFmtId="0" fontId="18" fillId="11" borderId="0" xfId="5453" applyFont="1" applyFill="1" applyAlignment="1" applyProtection="1">
      <alignment horizontal="left"/>
    </xf>
    <xf numFmtId="0" fontId="27" fillId="11" borderId="0" xfId="5453" applyFont="1" applyFill="1" applyAlignment="1">
      <alignment horizontal="center"/>
    </xf>
    <xf numFmtId="0" fontId="19" fillId="11" borderId="0" xfId="5453" applyFont="1" applyFill="1"/>
    <xf numFmtId="0" fontId="19" fillId="11" borderId="0" xfId="5453" applyFont="1" applyFill="1" applyAlignment="1">
      <alignment vertical="center"/>
    </xf>
    <xf numFmtId="0" fontId="315" fillId="11" borderId="0" xfId="5453" applyFont="1" applyFill="1" applyAlignment="1">
      <alignment vertical="center"/>
    </xf>
    <xf numFmtId="0" fontId="34" fillId="11" borderId="0" xfId="5453" applyFont="1" applyFill="1"/>
    <xf numFmtId="0" fontId="27" fillId="11" borderId="0" xfId="5453" applyFont="1" applyFill="1"/>
    <xf numFmtId="0" fontId="35" fillId="11" borderId="0" xfId="5453" applyFont="1" applyFill="1" applyAlignment="1">
      <alignment horizontal="center"/>
    </xf>
    <xf numFmtId="248" fontId="27" fillId="11" borderId="0" xfId="5989" applyNumberFormat="1" applyFont="1" applyFill="1"/>
    <xf numFmtId="0" fontId="316" fillId="11" borderId="0" xfId="5453" applyFont="1" applyFill="1" applyAlignment="1">
      <alignment vertical="center"/>
    </xf>
    <xf numFmtId="0" fontId="43" fillId="117" borderId="74" xfId="5453" applyFont="1" applyFill="1" applyBorder="1" applyAlignment="1">
      <alignment horizontal="center" vertical="center"/>
    </xf>
    <xf numFmtId="0" fontId="27" fillId="11" borderId="0" xfId="5453" applyFont="1" applyFill="1" applyAlignment="1">
      <alignment vertical="center" wrapText="1"/>
    </xf>
    <xf numFmtId="253" fontId="43" fillId="100" borderId="37" xfId="5453" applyNumberFormat="1" applyFont="1" applyFill="1" applyBorder="1" applyAlignment="1">
      <alignment horizontal="center" vertical="center"/>
    </xf>
    <xf numFmtId="0" fontId="27" fillId="11" borderId="0" xfId="5453" applyFont="1" applyFill="1" applyAlignment="1">
      <alignment vertical="center"/>
    </xf>
    <xf numFmtId="0" fontId="27" fillId="11" borderId="0" xfId="5453" applyFont="1" applyFill="1" applyBorder="1"/>
    <xf numFmtId="0" fontId="27" fillId="11" borderId="0" xfId="5453" applyFont="1" applyFill="1" applyBorder="1" applyAlignment="1">
      <alignment vertical="center"/>
    </xf>
    <xf numFmtId="0" fontId="316" fillId="11" borderId="0" xfId="5453" applyFont="1" applyFill="1" applyBorder="1" applyAlignment="1">
      <alignment vertical="center"/>
    </xf>
    <xf numFmtId="167" fontId="316" fillId="11" borderId="0" xfId="5453" applyNumberFormat="1" applyFont="1" applyFill="1" applyBorder="1" applyAlignment="1">
      <alignment vertical="center"/>
    </xf>
    <xf numFmtId="253" fontId="43" fillId="100" borderId="87" xfId="5453" applyNumberFormat="1" applyFont="1" applyFill="1" applyBorder="1" applyAlignment="1">
      <alignment horizontal="center" vertical="center"/>
    </xf>
    <xf numFmtId="0" fontId="49" fillId="11" borderId="0" xfId="5453" applyFont="1" applyFill="1"/>
    <xf numFmtId="0" fontId="10" fillId="11" borderId="0" xfId="5453" applyFont="1" applyFill="1" applyAlignment="1">
      <alignment vertical="center"/>
    </xf>
    <xf numFmtId="0" fontId="317" fillId="11" borderId="0" xfId="5453" applyFont="1" applyFill="1" applyAlignment="1">
      <alignment vertical="center"/>
    </xf>
    <xf numFmtId="0" fontId="18" fillId="11" borderId="0" xfId="5453" applyFont="1" applyFill="1" applyAlignment="1">
      <alignment vertical="center"/>
    </xf>
    <xf numFmtId="0" fontId="43" fillId="11" borderId="0" xfId="5453" applyFont="1" applyFill="1" applyAlignment="1">
      <alignment vertical="center"/>
    </xf>
    <xf numFmtId="0" fontId="34" fillId="11" borderId="0" xfId="5453" applyFont="1" applyFill="1" applyBorder="1" applyAlignment="1">
      <alignment vertical="center"/>
    </xf>
    <xf numFmtId="0" fontId="19" fillId="11" borderId="0" xfId="5453" applyFont="1" applyFill="1" applyBorder="1" applyAlignment="1">
      <alignment vertical="center"/>
    </xf>
    <xf numFmtId="0" fontId="43" fillId="100" borderId="201" xfId="5453" applyFont="1" applyFill="1" applyBorder="1" applyAlignment="1">
      <alignment horizontal="center" vertical="center"/>
    </xf>
    <xf numFmtId="0" fontId="43" fillId="100" borderId="186" xfId="5453" applyFont="1" applyFill="1" applyBorder="1" applyAlignment="1">
      <alignment horizontal="center" vertical="center"/>
    </xf>
    <xf numFmtId="0" fontId="43" fillId="100" borderId="202" xfId="5453" applyFont="1" applyFill="1" applyBorder="1" applyAlignment="1">
      <alignment horizontal="center" vertical="center"/>
    </xf>
    <xf numFmtId="0" fontId="43" fillId="100" borderId="205" xfId="5453" applyFont="1" applyFill="1" applyBorder="1" applyAlignment="1">
      <alignment horizontal="center" vertical="center"/>
    </xf>
    <xf numFmtId="0" fontId="10" fillId="100" borderId="32" xfId="5453" applyFont="1" applyFill="1" applyBorder="1" applyAlignment="1">
      <alignment vertical="center"/>
    </xf>
    <xf numFmtId="0" fontId="34" fillId="11" borderId="30" xfId="5453" applyFont="1" applyFill="1" applyBorder="1" applyAlignment="1">
      <alignment horizontal="center" vertical="center"/>
    </xf>
    <xf numFmtId="0" fontId="34" fillId="11" borderId="0" xfId="5453" applyFont="1" applyFill="1" applyBorder="1" applyAlignment="1">
      <alignment horizontal="center" vertical="center"/>
    </xf>
    <xf numFmtId="0" fontId="34" fillId="11" borderId="57" xfId="5453" applyFont="1" applyFill="1" applyBorder="1" applyAlignment="1">
      <alignment horizontal="center" vertical="center"/>
    </xf>
    <xf numFmtId="0" fontId="34" fillId="11" borderId="4" xfId="5453" applyFont="1" applyFill="1" applyBorder="1" applyAlignment="1">
      <alignment horizontal="center" vertical="center"/>
    </xf>
    <xf numFmtId="0" fontId="34" fillId="11" borderId="257" xfId="5453" applyFont="1" applyFill="1" applyBorder="1" applyAlignment="1">
      <alignment horizontal="center" vertical="center"/>
    </xf>
    <xf numFmtId="0" fontId="34" fillId="11" borderId="118" xfId="5453" applyFont="1" applyFill="1" applyBorder="1" applyAlignment="1">
      <alignment horizontal="center" vertical="center"/>
    </xf>
    <xf numFmtId="0" fontId="34" fillId="11" borderId="17" xfId="5453" applyFont="1" applyFill="1" applyBorder="1" applyAlignment="1">
      <alignment horizontal="center" vertical="center"/>
    </xf>
    <xf numFmtId="0" fontId="43" fillId="100" borderId="32" xfId="5453" applyFont="1" applyFill="1" applyBorder="1" applyAlignment="1" applyProtection="1">
      <alignment horizontal="left"/>
    </xf>
    <xf numFmtId="169" fontId="10" fillId="11" borderId="0" xfId="5453" applyNumberFormat="1" applyFont="1" applyFill="1" applyBorder="1" applyAlignment="1">
      <alignment horizontal="right" vertical="center"/>
    </xf>
    <xf numFmtId="169" fontId="10" fillId="11" borderId="4" xfId="5453" applyNumberFormat="1" applyFont="1" applyFill="1" applyBorder="1" applyAlignment="1">
      <alignment horizontal="right" vertical="center"/>
    </xf>
    <xf numFmtId="169" fontId="10" fillId="11" borderId="37" xfId="5453" applyNumberFormat="1" applyFont="1" applyFill="1" applyBorder="1" applyAlignment="1">
      <alignment horizontal="right" vertical="center"/>
    </xf>
    <xf numFmtId="167" fontId="10" fillId="11" borderId="37" xfId="5453" applyNumberFormat="1" applyFont="1" applyFill="1" applyBorder="1" applyAlignment="1">
      <alignment horizontal="right" vertical="center"/>
    </xf>
    <xf numFmtId="167" fontId="10" fillId="11" borderId="57" xfId="5453" applyNumberFormat="1" applyFont="1" applyFill="1" applyBorder="1" applyAlignment="1">
      <alignment horizontal="right" vertical="center"/>
    </xf>
    <xf numFmtId="167" fontId="10" fillId="11" borderId="19" xfId="5453" applyNumberFormat="1" applyFont="1" applyFill="1" applyBorder="1" applyAlignment="1">
      <alignment horizontal="right" vertical="center"/>
    </xf>
    <xf numFmtId="167" fontId="316" fillId="11" borderId="0" xfId="5453" applyNumberFormat="1" applyFont="1" applyFill="1" applyAlignment="1">
      <alignment vertical="center"/>
    </xf>
    <xf numFmtId="169" fontId="316" fillId="11" borderId="0" xfId="5453" applyNumberFormat="1" applyFont="1" applyFill="1" applyAlignment="1">
      <alignment vertical="center"/>
    </xf>
    <xf numFmtId="0" fontId="317" fillId="11" borderId="4" xfId="5453" applyFont="1" applyFill="1" applyBorder="1" applyAlignment="1">
      <alignment vertical="center"/>
    </xf>
    <xf numFmtId="0" fontId="10" fillId="11" borderId="37" xfId="5453" applyFont="1" applyFill="1" applyBorder="1" applyAlignment="1">
      <alignment horizontal="right" vertical="center"/>
    </xf>
    <xf numFmtId="0" fontId="10" fillId="11" borderId="4" xfId="5453" applyFont="1" applyFill="1" applyBorder="1" applyAlignment="1">
      <alignment horizontal="right" vertical="center"/>
    </xf>
    <xf numFmtId="0" fontId="10" fillId="11" borderId="19" xfId="5453" applyFont="1" applyFill="1" applyBorder="1" applyAlignment="1">
      <alignment horizontal="right" vertical="center"/>
    </xf>
    <xf numFmtId="0" fontId="43" fillId="100" borderId="48" xfId="5453" applyFont="1" applyFill="1" applyBorder="1" applyAlignment="1">
      <alignment horizontal="left" vertical="center"/>
    </xf>
    <xf numFmtId="169" fontId="41" fillId="101" borderId="117" xfId="5453" applyNumberFormat="1" applyFont="1" applyFill="1" applyBorder="1" applyAlignment="1">
      <alignment horizontal="right" vertical="center"/>
    </xf>
    <xf numFmtId="167" fontId="41" fillId="101" borderId="117" xfId="5453" applyNumberFormat="1" applyFont="1" applyFill="1" applyBorder="1" applyAlignment="1">
      <alignment horizontal="right" vertical="center"/>
    </xf>
    <xf numFmtId="167" fontId="41" fillId="101" borderId="60" xfId="5453" applyNumberFormat="1" applyFont="1" applyFill="1" applyBorder="1" applyAlignment="1">
      <alignment horizontal="right" vertical="center"/>
    </xf>
    <xf numFmtId="0" fontId="35" fillId="11" borderId="0" xfId="5453" applyFont="1" applyFill="1" applyAlignment="1">
      <alignment vertical="center"/>
    </xf>
    <xf numFmtId="0" fontId="103" fillId="11" borderId="0" xfId="5453" applyFont="1" applyFill="1" applyAlignment="1">
      <alignment vertical="center"/>
    </xf>
    <xf numFmtId="49" fontId="35" fillId="11" borderId="0" xfId="5453" applyNumberFormat="1" applyFont="1" applyFill="1" applyAlignment="1">
      <alignment vertical="center"/>
    </xf>
    <xf numFmtId="4" fontId="315" fillId="11" borderId="0" xfId="5453" applyNumberFormat="1" applyFont="1" applyFill="1" applyAlignment="1">
      <alignment vertical="center"/>
    </xf>
    <xf numFmtId="0" fontId="35" fillId="11" borderId="0" xfId="5453" applyFont="1" applyFill="1"/>
    <xf numFmtId="0" fontId="43" fillId="100" borderId="121" xfId="5453" applyFont="1" applyFill="1" applyBorder="1" applyAlignment="1">
      <alignment horizontal="center" vertical="center"/>
    </xf>
    <xf numFmtId="0" fontId="43" fillId="100" borderId="123" xfId="5453" applyFont="1" applyFill="1" applyBorder="1" applyAlignment="1">
      <alignment horizontal="center" vertical="center"/>
    </xf>
    <xf numFmtId="0" fontId="43" fillId="100" borderId="254" xfId="5453" applyFont="1" applyFill="1" applyBorder="1" applyAlignment="1">
      <alignment horizontal="center" vertical="center"/>
    </xf>
    <xf numFmtId="17" fontId="34" fillId="11" borderId="32" xfId="6390" applyNumberFormat="1" applyFont="1" applyFill="1" applyBorder="1" applyAlignment="1" applyProtection="1">
      <alignment horizontal="left" vertical="center"/>
    </xf>
    <xf numFmtId="169" fontId="34" fillId="11" borderId="37" xfId="6390" applyNumberFormat="1" applyFont="1" applyFill="1" applyBorder="1" applyAlignment="1" applyProtection="1">
      <alignment horizontal="center" vertical="center"/>
    </xf>
    <xf numFmtId="169" fontId="35" fillId="11" borderId="37" xfId="6390" applyNumberFormat="1" applyFont="1" applyFill="1" applyBorder="1" applyAlignment="1" applyProtection="1">
      <alignment horizontal="center" vertical="center"/>
    </xf>
    <xf numFmtId="169" fontId="35" fillId="11" borderId="57" xfId="6390" applyNumberFormat="1" applyFont="1" applyFill="1" applyBorder="1" applyAlignment="1" applyProtection="1">
      <alignment horizontal="center" vertical="center"/>
    </xf>
    <xf numFmtId="17" fontId="43" fillId="4" borderId="32" xfId="6390" applyNumberFormat="1" applyFont="1" applyFill="1" applyBorder="1" applyAlignment="1" applyProtection="1">
      <alignment horizontal="left" vertical="center"/>
    </xf>
    <xf numFmtId="169" fontId="10" fillId="11" borderId="59" xfId="5453" applyNumberFormat="1" applyFont="1" applyFill="1" applyBorder="1" applyAlignment="1">
      <alignment horizontal="right" vertical="center"/>
    </xf>
    <xf numFmtId="17" fontId="43" fillId="4" borderId="48" xfId="6390" applyNumberFormat="1" applyFont="1" applyFill="1" applyBorder="1" applyAlignment="1" applyProtection="1">
      <alignment horizontal="left" vertical="center"/>
    </xf>
    <xf numFmtId="169" fontId="10" fillId="11" borderId="119" xfId="6390" applyNumberFormat="1" applyFont="1" applyFill="1" applyBorder="1" applyAlignment="1" applyProtection="1">
      <alignment horizontal="right" vertical="center"/>
    </xf>
    <xf numFmtId="169" fontId="10" fillId="11" borderId="53" xfId="6390" applyNumberFormat="1" applyFont="1" applyFill="1" applyBorder="1" applyAlignment="1" applyProtection="1">
      <alignment horizontal="right" vertical="center"/>
    </xf>
    <xf numFmtId="49" fontId="49" fillId="11" borderId="0" xfId="5453" applyNumberFormat="1" applyFont="1" applyFill="1" applyAlignment="1">
      <alignment vertical="center"/>
    </xf>
    <xf numFmtId="169" fontId="315" fillId="11" borderId="0" xfId="5453" applyNumberFormat="1" applyFont="1" applyFill="1" applyAlignment="1">
      <alignment vertical="center"/>
    </xf>
    <xf numFmtId="0" fontId="16" fillId="0" borderId="0" xfId="5463" applyFont="1"/>
    <xf numFmtId="0" fontId="23" fillId="0" borderId="0" xfId="5463"/>
    <xf numFmtId="0" fontId="23" fillId="100" borderId="27" xfId="5463" applyFill="1" applyBorder="1"/>
    <xf numFmtId="0" fontId="23" fillId="100" borderId="32" xfId="5463" applyFill="1" applyBorder="1"/>
    <xf numFmtId="0" fontId="23" fillId="100" borderId="32" xfId="5463" applyFont="1" applyFill="1" applyBorder="1"/>
    <xf numFmtId="0" fontId="3" fillId="100" borderId="265" xfId="5463" applyFont="1" applyFill="1" applyBorder="1" applyAlignment="1">
      <alignment horizontal="center"/>
    </xf>
    <xf numFmtId="0" fontId="3" fillId="100" borderId="266" xfId="5463" applyFont="1" applyFill="1" applyBorder="1" applyAlignment="1">
      <alignment horizontal="center"/>
    </xf>
    <xf numFmtId="0" fontId="3" fillId="100" borderId="267" xfId="5463" applyFont="1" applyFill="1" applyBorder="1" applyAlignment="1">
      <alignment horizontal="center"/>
    </xf>
    <xf numFmtId="0" fontId="23" fillId="100" borderId="48" xfId="5463" applyFont="1" applyFill="1" applyBorder="1"/>
    <xf numFmtId="0" fontId="26" fillId="100" borderId="24" xfId="5463" applyFont="1" applyFill="1" applyBorder="1" applyAlignment="1">
      <alignment horizontal="center"/>
    </xf>
    <xf numFmtId="49" fontId="3" fillId="118" borderId="32" xfId="5463" applyNumberFormat="1" applyFont="1" applyFill="1" applyBorder="1" applyAlignment="1">
      <alignment horizontal="left"/>
    </xf>
    <xf numFmtId="3" fontId="23" fillId="0" borderId="18" xfId="5463" applyNumberFormat="1" applyFill="1" applyBorder="1"/>
    <xf numFmtId="3" fontId="23" fillId="0" borderId="9" xfId="5463" applyNumberFormat="1" applyFill="1" applyBorder="1"/>
    <xf numFmtId="3" fontId="23" fillId="0" borderId="19" xfId="5463" applyNumberFormat="1" applyFill="1" applyBorder="1"/>
    <xf numFmtId="1" fontId="23" fillId="0" borderId="0" xfId="5463" applyNumberFormat="1" applyFill="1" applyBorder="1"/>
    <xf numFmtId="169" fontId="23" fillId="0" borderId="262" xfId="5463" applyNumberFormat="1" applyFill="1" applyBorder="1" applyAlignment="1">
      <alignment horizontal="right"/>
    </xf>
    <xf numFmtId="167" fontId="3" fillId="0" borderId="19" xfId="5463" applyNumberFormat="1" applyFont="1" applyFill="1" applyBorder="1"/>
    <xf numFmtId="167" fontId="3" fillId="0" borderId="32" xfId="5463" applyNumberFormat="1" applyFont="1" applyFill="1" applyBorder="1"/>
    <xf numFmtId="251" fontId="23" fillId="0" borderId="0" xfId="4690" applyNumberFormat="1" applyFill="1"/>
    <xf numFmtId="3" fontId="23" fillId="0" borderId="26" xfId="5463" applyNumberFormat="1" applyFill="1" applyBorder="1"/>
    <xf numFmtId="3" fontId="23" fillId="0" borderId="261" xfId="5463" applyNumberFormat="1" applyFill="1" applyBorder="1"/>
    <xf numFmtId="169" fontId="23" fillId="0" borderId="0" xfId="5463" applyNumberFormat="1" applyFill="1" applyBorder="1" applyAlignment="1">
      <alignment horizontal="right"/>
    </xf>
    <xf numFmtId="3" fontId="5" fillId="0" borderId="0" xfId="5463" applyNumberFormat="1" applyFont="1" applyFill="1" applyBorder="1" applyAlignment="1">
      <alignment horizontal="right"/>
    </xf>
    <xf numFmtId="3" fontId="23" fillId="0" borderId="0" xfId="5463" applyNumberFormat="1" applyFill="1" applyBorder="1"/>
    <xf numFmtId="49" fontId="3" fillId="118" borderId="18" xfId="5463" applyNumberFormat="1" applyFont="1" applyFill="1" applyBorder="1" applyAlignment="1">
      <alignment horizontal="left"/>
    </xf>
    <xf numFmtId="3" fontId="23" fillId="0" borderId="261" xfId="5463" applyNumberFormat="1" applyFill="1" applyBorder="1" applyAlignment="1">
      <alignment horizontal="right"/>
    </xf>
    <xf numFmtId="3" fontId="23" fillId="0" borderId="262" xfId="5463" applyNumberFormat="1" applyFill="1" applyBorder="1"/>
    <xf numFmtId="3" fontId="23" fillId="0" borderId="39" xfId="5463" applyNumberFormat="1" applyFill="1" applyBorder="1"/>
    <xf numFmtId="169" fontId="23" fillId="0" borderId="26" xfId="5463" applyNumberFormat="1" applyFill="1" applyBorder="1" applyAlignment="1">
      <alignment horizontal="right"/>
    </xf>
    <xf numFmtId="3" fontId="23" fillId="0" borderId="262" xfId="5463" applyNumberFormat="1" applyFont="1" applyFill="1" applyBorder="1" applyAlignment="1">
      <alignment horizontal="right"/>
    </xf>
    <xf numFmtId="17" fontId="3" fillId="118" borderId="18" xfId="5463" applyNumberFormat="1" applyFont="1" applyFill="1" applyBorder="1" applyAlignment="1">
      <alignment horizontal="left"/>
    </xf>
    <xf numFmtId="17" fontId="3" fillId="118" borderId="32" xfId="5463" applyNumberFormat="1" applyFont="1" applyFill="1" applyBorder="1" applyAlignment="1">
      <alignment horizontal="left"/>
    </xf>
    <xf numFmtId="3" fontId="23" fillId="0" borderId="18" xfId="5463" applyNumberFormat="1" applyFill="1" applyBorder="1" applyAlignment="1">
      <alignment horizontal="right"/>
    </xf>
    <xf numFmtId="3" fontId="23" fillId="0" borderId="19" xfId="5463" applyNumberFormat="1" applyFont="1" applyFill="1" applyBorder="1" applyAlignment="1">
      <alignment horizontal="right"/>
    </xf>
    <xf numFmtId="167" fontId="3" fillId="0" borderId="0" xfId="5463" applyNumberFormat="1" applyFont="1" applyFill="1" applyBorder="1"/>
    <xf numFmtId="3" fontId="23" fillId="0" borderId="0" xfId="5463" applyNumberFormat="1" applyFill="1" applyBorder="1" applyAlignment="1">
      <alignment horizontal="right"/>
    </xf>
    <xf numFmtId="272" fontId="23" fillId="0" borderId="0" xfId="4691" applyNumberFormat="1" applyFont="1"/>
    <xf numFmtId="3" fontId="23" fillId="0" borderId="0" xfId="5463" applyNumberFormat="1" applyFont="1" applyFill="1" applyBorder="1" applyAlignment="1">
      <alignment horizontal="right"/>
    </xf>
    <xf numFmtId="169" fontId="23" fillId="0" borderId="0" xfId="5463" applyNumberFormat="1"/>
    <xf numFmtId="17" fontId="3" fillId="118" borderId="32" xfId="5463" quotePrefix="1" applyNumberFormat="1" applyFont="1" applyFill="1" applyBorder="1" applyAlignment="1">
      <alignment horizontal="left"/>
    </xf>
    <xf numFmtId="17" fontId="3" fillId="100" borderId="32" xfId="5463" quotePrefix="1" applyNumberFormat="1" applyFont="1" applyFill="1" applyBorder="1" applyAlignment="1">
      <alignment horizontal="left"/>
    </xf>
    <xf numFmtId="3" fontId="318" fillId="0" borderId="0" xfId="5346" applyNumberFormat="1" applyFont="1" applyFill="1" applyBorder="1" applyAlignment="1">
      <alignment horizontal="right"/>
    </xf>
    <xf numFmtId="3" fontId="318" fillId="0" borderId="9" xfId="5346" applyNumberFormat="1" applyFont="1" applyFill="1" applyBorder="1"/>
    <xf numFmtId="3" fontId="23" fillId="0" borderId="262" xfId="5346" applyNumberFormat="1" applyFont="1" applyFill="1" applyBorder="1" applyAlignment="1">
      <alignment horizontal="right"/>
    </xf>
    <xf numFmtId="3" fontId="318" fillId="0" borderId="18" xfId="5346" applyNumberFormat="1" applyFont="1" applyFill="1" applyBorder="1"/>
    <xf numFmtId="169" fontId="318" fillId="0" borderId="262" xfId="5346" applyNumberFormat="1" applyFont="1" applyFill="1" applyBorder="1" applyAlignment="1">
      <alignment horizontal="right"/>
    </xf>
    <xf numFmtId="167" fontId="3" fillId="0" borderId="19" xfId="5346" applyNumberFormat="1" applyFont="1" applyFill="1" applyBorder="1"/>
    <xf numFmtId="3" fontId="23" fillId="0" borderId="0" xfId="5346" applyNumberFormat="1" applyFont="1" applyFill="1" applyBorder="1" applyAlignment="1">
      <alignment horizontal="right"/>
    </xf>
    <xf numFmtId="167" fontId="3" fillId="0" borderId="32" xfId="5346" applyNumberFormat="1" applyFont="1" applyFill="1" applyBorder="1"/>
    <xf numFmtId="17" fontId="3" fillId="100" borderId="48" xfId="5463" quotePrefix="1" applyNumberFormat="1" applyFont="1" applyFill="1" applyBorder="1" applyAlignment="1">
      <alignment horizontal="left"/>
    </xf>
    <xf numFmtId="3" fontId="318" fillId="0" borderId="22" xfId="5346" applyNumberFormat="1" applyFont="1" applyFill="1" applyBorder="1"/>
    <xf numFmtId="3" fontId="318" fillId="0" borderId="50" xfId="5346" applyNumberFormat="1" applyFont="1" applyFill="1" applyBorder="1"/>
    <xf numFmtId="3" fontId="23" fillId="0" borderId="24" xfId="5346" applyNumberFormat="1" applyFont="1" applyFill="1" applyBorder="1" applyAlignment="1">
      <alignment horizontal="right"/>
    </xf>
    <xf numFmtId="169" fontId="318" fillId="0" borderId="264" xfId="5346" applyNumberFormat="1" applyFont="1" applyFill="1" applyBorder="1" applyAlignment="1">
      <alignment horizontal="right"/>
    </xf>
    <xf numFmtId="167" fontId="3" fillId="0" borderId="48" xfId="5463" applyNumberFormat="1" applyFont="1" applyFill="1" applyBorder="1"/>
    <xf numFmtId="167" fontId="3" fillId="0" borderId="48" xfId="5346" applyNumberFormat="1" applyFont="1" applyFill="1" applyBorder="1"/>
    <xf numFmtId="0" fontId="26" fillId="0" borderId="0" xfId="5463" applyFont="1" applyFill="1"/>
    <xf numFmtId="167" fontId="23" fillId="0" borderId="0" xfId="5463" applyNumberFormat="1" applyFont="1"/>
    <xf numFmtId="3" fontId="23" fillId="0" borderId="0" xfId="5463" applyNumberFormat="1" applyFont="1"/>
    <xf numFmtId="0" fontId="319" fillId="0" borderId="0" xfId="5463" applyFont="1" applyFill="1"/>
    <xf numFmtId="0" fontId="23" fillId="0" borderId="0" xfId="5463" applyFont="1"/>
    <xf numFmtId="0" fontId="26" fillId="0" borderId="0" xfId="5463" applyFont="1"/>
    <xf numFmtId="3" fontId="23" fillId="0" borderId="0" xfId="5463" applyNumberFormat="1"/>
    <xf numFmtId="0" fontId="18" fillId="11" borderId="0" xfId="5463" applyFont="1" applyFill="1" applyBorder="1" applyAlignment="1">
      <alignment horizontal="left" vertical="center"/>
    </xf>
    <xf numFmtId="0" fontId="21" fillId="11" borderId="0" xfId="5463" applyFont="1" applyFill="1" applyBorder="1" applyAlignment="1">
      <alignment vertical="center"/>
    </xf>
    <xf numFmtId="0" fontId="18" fillId="11" borderId="0" xfId="5463" applyFont="1" applyFill="1" applyBorder="1" applyAlignment="1">
      <alignment vertical="center"/>
    </xf>
    <xf numFmtId="0" fontId="21" fillId="11" borderId="0" xfId="5463" applyFont="1" applyFill="1" applyAlignment="1">
      <alignment vertical="center"/>
    </xf>
    <xf numFmtId="0" fontId="320" fillId="11" borderId="0" xfId="5463" applyFont="1" applyFill="1" applyAlignment="1">
      <alignment vertical="center"/>
    </xf>
    <xf numFmtId="0" fontId="321" fillId="11" borderId="0" xfId="5463" applyFont="1" applyFill="1" applyAlignment="1">
      <alignment vertical="center"/>
    </xf>
    <xf numFmtId="0" fontId="19" fillId="11" borderId="0" xfId="5463" applyFont="1" applyFill="1" applyBorder="1" applyAlignment="1">
      <alignment vertical="center"/>
    </xf>
    <xf numFmtId="0" fontId="321" fillId="11" borderId="0" xfId="5463" applyFont="1" applyFill="1" applyBorder="1" applyAlignment="1">
      <alignment horizontal="center" vertical="center"/>
    </xf>
    <xf numFmtId="0" fontId="321" fillId="11" borderId="0" xfId="5463" applyFont="1" applyFill="1" applyBorder="1" applyAlignment="1">
      <alignment vertical="center"/>
    </xf>
    <xf numFmtId="0" fontId="34" fillId="105" borderId="27" xfId="5463" applyFont="1" applyFill="1" applyBorder="1" applyAlignment="1">
      <alignment horizontal="center" vertical="center"/>
    </xf>
    <xf numFmtId="0" fontId="322" fillId="105" borderId="118" xfId="5463" applyFont="1" applyFill="1" applyBorder="1" applyAlignment="1">
      <alignment horizontal="center" vertical="center"/>
    </xf>
    <xf numFmtId="0" fontId="322" fillId="105" borderId="30" xfId="5463" applyFont="1" applyFill="1" applyBorder="1" applyAlignment="1">
      <alignment horizontal="center" vertical="center"/>
    </xf>
    <xf numFmtId="0" fontId="322" fillId="105" borderId="184" xfId="5463" applyFont="1" applyFill="1" applyBorder="1" applyAlignment="1">
      <alignment horizontal="centerContinuous" vertical="center"/>
    </xf>
    <xf numFmtId="0" fontId="323" fillId="11" borderId="0" xfId="5463" applyFont="1" applyFill="1" applyAlignment="1">
      <alignment vertical="center"/>
    </xf>
    <xf numFmtId="0" fontId="34" fillId="105" borderId="32" xfId="5463" applyFont="1" applyFill="1" applyBorder="1" applyAlignment="1">
      <alignment horizontal="center" vertical="center"/>
    </xf>
    <xf numFmtId="0" fontId="322" fillId="105" borderId="59" xfId="5463" applyFont="1" applyFill="1" applyBorder="1" applyAlignment="1">
      <alignment horizontal="center" vertical="center"/>
    </xf>
    <xf numFmtId="0" fontId="322" fillId="105" borderId="37" xfId="5463" applyFont="1" applyFill="1" applyBorder="1" applyAlignment="1">
      <alignment horizontal="center" vertical="center"/>
    </xf>
    <xf numFmtId="0" fontId="322" fillId="105" borderId="59" xfId="5463" applyFont="1" applyFill="1" applyBorder="1" applyAlignment="1">
      <alignment vertical="center"/>
    </xf>
    <xf numFmtId="0" fontId="325" fillId="105" borderId="48" xfId="5463" applyFont="1" applyFill="1" applyBorder="1" applyAlignment="1">
      <alignment horizontal="center" vertical="center"/>
    </xf>
    <xf numFmtId="0" fontId="326" fillId="105" borderId="119" xfId="5463" applyFont="1" applyFill="1" applyBorder="1" applyAlignment="1">
      <alignment horizontal="center" vertical="center"/>
    </xf>
    <xf numFmtId="0" fontId="326" fillId="105" borderId="53" xfId="5463" applyFont="1" applyFill="1" applyBorder="1" applyAlignment="1">
      <alignment horizontal="center" vertical="center"/>
    </xf>
    <xf numFmtId="0" fontId="325" fillId="11" borderId="0" xfId="5463" applyFont="1" applyFill="1" applyAlignment="1">
      <alignment horizontal="center" vertical="center"/>
    </xf>
    <xf numFmtId="168" fontId="34" fillId="105" borderId="32" xfId="5463" applyNumberFormat="1" applyFont="1" applyFill="1" applyBorder="1" applyAlignment="1">
      <alignment horizontal="center" vertical="center"/>
    </xf>
    <xf numFmtId="0" fontId="34" fillId="11" borderId="118" xfId="5463" applyFont="1" applyFill="1" applyBorder="1" applyAlignment="1">
      <alignment horizontal="center" vertical="center"/>
    </xf>
    <xf numFmtId="2" fontId="27" fillId="11" borderId="30" xfId="5463" applyNumberFormat="1" applyFont="1" applyFill="1" applyBorder="1" applyAlignment="1">
      <alignment horizontal="center" vertical="center"/>
    </xf>
    <xf numFmtId="16" fontId="34" fillId="105" borderId="32" xfId="5463" applyNumberFormat="1" applyFont="1" applyFill="1" applyBorder="1" applyAlignment="1">
      <alignment horizontal="center" vertical="center"/>
    </xf>
    <xf numFmtId="2" fontId="27" fillId="11" borderId="59" xfId="5463" applyNumberFormat="1" applyFont="1" applyFill="1" applyBorder="1" applyAlignment="1">
      <alignment horizontal="center" vertical="center"/>
    </xf>
    <xf numFmtId="2" fontId="27" fillId="11" borderId="37" xfId="5463" applyNumberFormat="1" applyFont="1" applyFill="1" applyBorder="1" applyAlignment="1">
      <alignment horizontal="center" vertical="center"/>
    </xf>
    <xf numFmtId="4" fontId="27" fillId="11" borderId="37" xfId="5463" applyNumberFormat="1" applyFont="1" applyFill="1" applyBorder="1" applyAlignment="1">
      <alignment horizontal="center" vertical="center"/>
    </xf>
    <xf numFmtId="172" fontId="321" fillId="11" borderId="0" xfId="5463" applyNumberFormat="1" applyFont="1" applyFill="1" applyAlignment="1">
      <alignment vertical="center"/>
    </xf>
    <xf numFmtId="4" fontId="321" fillId="11" borderId="0" xfId="5463" applyNumberFormat="1" applyFont="1" applyFill="1" applyAlignment="1">
      <alignment vertical="center"/>
    </xf>
    <xf numFmtId="214" fontId="321" fillId="11" borderId="0" xfId="5463" applyNumberFormat="1" applyFont="1" applyFill="1" applyAlignment="1">
      <alignment vertical="center"/>
    </xf>
    <xf numFmtId="273" fontId="34" fillId="105" borderId="268" xfId="5463" applyNumberFormat="1" applyFont="1" applyFill="1" applyBorder="1" applyAlignment="1">
      <alignment horizontal="center" vertical="center"/>
    </xf>
    <xf numFmtId="2" fontId="27" fillId="11" borderId="269" xfId="5463" applyNumberFormat="1" applyFont="1" applyFill="1" applyBorder="1" applyAlignment="1">
      <alignment horizontal="center" vertical="center"/>
    </xf>
    <xf numFmtId="2" fontId="27" fillId="11" borderId="219" xfId="5463" applyNumberFormat="1" applyFont="1" applyFill="1" applyBorder="1" applyAlignment="1">
      <alignment horizontal="center" vertical="center"/>
    </xf>
    <xf numFmtId="4" fontId="327" fillId="11" borderId="0" xfId="5463" applyNumberFormat="1" applyFont="1" applyFill="1" applyAlignment="1">
      <alignment vertical="center"/>
    </xf>
    <xf numFmtId="214" fontId="328" fillId="11" borderId="0" xfId="5463" applyNumberFormat="1" applyFont="1" applyFill="1" applyAlignment="1">
      <alignment vertical="center"/>
    </xf>
    <xf numFmtId="2" fontId="321" fillId="11" borderId="0" xfId="5463" applyNumberFormat="1" applyFont="1" applyFill="1" applyAlignment="1">
      <alignment vertical="center"/>
    </xf>
    <xf numFmtId="17" fontId="34" fillId="105" borderId="32" xfId="5463" quotePrefix="1" applyNumberFormat="1" applyFont="1" applyFill="1" applyBorder="1" applyAlignment="1">
      <alignment horizontal="center" vertical="center"/>
    </xf>
    <xf numFmtId="17" fontId="34" fillId="105" borderId="225" xfId="5463" quotePrefix="1" applyNumberFormat="1" applyFont="1" applyFill="1" applyBorder="1" applyAlignment="1">
      <alignment horizontal="center" vertical="center"/>
    </xf>
    <xf numFmtId="274" fontId="321" fillId="11" borderId="0" xfId="5463" applyNumberFormat="1" applyFont="1" applyFill="1" applyAlignment="1">
      <alignment vertical="center"/>
    </xf>
    <xf numFmtId="17" fontId="34" fillId="105" borderId="48" xfId="5463" applyNumberFormat="1" applyFont="1" applyFill="1" applyBorder="1" applyAlignment="1">
      <alignment horizontal="center" vertical="center"/>
    </xf>
    <xf numFmtId="2" fontId="27" fillId="11" borderId="119" xfId="5463" applyNumberFormat="1" applyFont="1" applyFill="1" applyBorder="1" applyAlignment="1">
      <alignment horizontal="center" vertical="center"/>
    </xf>
    <xf numFmtId="2" fontId="27" fillId="11" borderId="53" xfId="5463" applyNumberFormat="1" applyFont="1" applyFill="1" applyBorder="1" applyAlignment="1">
      <alignment horizontal="center" vertical="center"/>
    </xf>
    <xf numFmtId="17" fontId="282" fillId="11" borderId="0" xfId="5463" applyNumberFormat="1" applyFont="1" applyFill="1" applyBorder="1" applyAlignment="1">
      <alignment horizontal="left" vertical="center"/>
    </xf>
    <xf numFmtId="2" fontId="321" fillId="11" borderId="0" xfId="5463" applyNumberFormat="1" applyFont="1" applyFill="1" applyBorder="1" applyAlignment="1">
      <alignment vertical="center"/>
    </xf>
    <xf numFmtId="0" fontId="321" fillId="11" borderId="0" xfId="5463" applyFont="1" applyFill="1" applyBorder="1" applyAlignment="1">
      <alignment horizontal="right" vertical="center"/>
    </xf>
    <xf numFmtId="17" fontId="35" fillId="11" borderId="0" xfId="5463" applyNumberFormat="1" applyFont="1" applyFill="1" applyBorder="1" applyAlignment="1">
      <alignment horizontal="left" vertical="center"/>
    </xf>
    <xf numFmtId="0" fontId="35" fillId="11" borderId="0" xfId="5463" applyFont="1" applyFill="1" applyAlignment="1">
      <alignment horizontal="left" vertical="center"/>
    </xf>
    <xf numFmtId="15" fontId="35" fillId="11" borderId="0" xfId="5463" applyNumberFormat="1" applyFont="1" applyFill="1" applyAlignment="1">
      <alignment horizontal="left" vertical="center"/>
    </xf>
    <xf numFmtId="0" fontId="329" fillId="11" borderId="0" xfId="5463" applyFont="1" applyFill="1" applyAlignment="1">
      <alignment vertical="center"/>
    </xf>
    <xf numFmtId="0" fontId="329" fillId="11" borderId="0" xfId="5463" applyFont="1" applyFill="1" applyAlignment="1">
      <alignment horizontal="right" vertical="center"/>
    </xf>
    <xf numFmtId="15" fontId="329" fillId="11" borderId="0" xfId="5463" applyNumberFormat="1" applyFont="1" applyFill="1" applyAlignment="1">
      <alignment horizontal="right" vertical="center"/>
    </xf>
    <xf numFmtId="2" fontId="329" fillId="11" borderId="0" xfId="5463" applyNumberFormat="1" applyFont="1" applyFill="1" applyBorder="1" applyAlignment="1">
      <alignment vertical="center"/>
    </xf>
    <xf numFmtId="0" fontId="41" fillId="11" borderId="0" xfId="5463" applyFont="1" applyFill="1" applyAlignment="1">
      <alignment horizontal="left" vertical="center"/>
    </xf>
    <xf numFmtId="15" fontId="227" fillId="11" borderId="0" xfId="5463" applyNumberFormat="1" applyFont="1" applyFill="1" applyAlignment="1">
      <alignment horizontal="left" vertical="center"/>
    </xf>
    <xf numFmtId="0" fontId="321" fillId="11" borderId="0" xfId="5463" applyFont="1" applyFill="1" applyAlignment="1">
      <alignment horizontal="left" vertical="center"/>
    </xf>
    <xf numFmtId="0" fontId="321" fillId="11" borderId="0" xfId="5463" applyFont="1" applyFill="1" applyAlignment="1">
      <alignment horizontal="center" vertical="center"/>
    </xf>
    <xf numFmtId="165" fontId="321" fillId="11" borderId="0" xfId="4847" applyNumberFormat="1" applyFont="1" applyFill="1" applyAlignment="1">
      <alignment vertical="center"/>
    </xf>
    <xf numFmtId="0" fontId="18" fillId="11" borderId="0" xfId="5613" applyFont="1" applyFill="1" applyAlignment="1">
      <alignment horizontal="left" vertical="center"/>
    </xf>
    <xf numFmtId="0" fontId="330" fillId="11" borderId="0" xfId="5613" applyFont="1" applyFill="1" applyAlignment="1">
      <alignment vertical="center"/>
    </xf>
    <xf numFmtId="0" fontId="331" fillId="11" borderId="0" xfId="5613" applyFont="1" applyFill="1" applyAlignment="1">
      <alignment vertical="center"/>
    </xf>
    <xf numFmtId="0" fontId="321" fillId="11" borderId="0" xfId="5613" applyFont="1" applyFill="1" applyAlignment="1">
      <alignment vertical="center"/>
    </xf>
    <xf numFmtId="0" fontId="321" fillId="11" borderId="0" xfId="5613" applyFont="1" applyFill="1" applyAlignment="1">
      <alignment horizontal="center" vertical="center"/>
    </xf>
    <xf numFmtId="0" fontId="320" fillId="11" borderId="0" xfId="5613" applyFont="1" applyFill="1" applyAlignment="1">
      <alignment vertical="center"/>
    </xf>
    <xf numFmtId="0" fontId="41" fillId="3" borderId="196" xfId="5613" applyFont="1" applyFill="1" applyBorder="1" applyAlignment="1">
      <alignment horizontal="center" vertical="center"/>
    </xf>
    <xf numFmtId="0" fontId="41" fillId="3" borderId="2" xfId="5613" applyFont="1" applyFill="1" applyBorder="1" applyAlignment="1">
      <alignment horizontal="center" vertical="center"/>
    </xf>
    <xf numFmtId="0" fontId="41" fillId="3" borderId="271" xfId="5613" applyFont="1" applyFill="1" applyBorder="1" applyAlignment="1">
      <alignment horizontal="center" vertical="center"/>
    </xf>
    <xf numFmtId="0" fontId="41" fillId="3" borderId="1" xfId="5613" applyFont="1" applyFill="1" applyBorder="1" applyAlignment="1">
      <alignment horizontal="center" vertical="center"/>
    </xf>
    <xf numFmtId="0" fontId="41" fillId="3" borderId="272" xfId="5613" applyFont="1" applyFill="1" applyBorder="1" applyAlignment="1">
      <alignment horizontal="center" vertical="center"/>
    </xf>
    <xf numFmtId="0" fontId="41" fillId="3" borderId="3" xfId="5613" applyFont="1" applyFill="1" applyBorder="1" applyAlignment="1">
      <alignment horizontal="center" vertical="center"/>
    </xf>
    <xf numFmtId="0" fontId="41" fillId="3" borderId="181" xfId="5613" applyFont="1" applyFill="1" applyBorder="1" applyAlignment="1">
      <alignment horizontal="center" vertical="center"/>
    </xf>
    <xf numFmtId="0" fontId="41" fillId="3" borderId="57" xfId="5613" applyFont="1" applyFill="1" applyBorder="1" applyAlignment="1">
      <alignment horizontal="center" vertical="center"/>
    </xf>
    <xf numFmtId="0" fontId="41" fillId="3" borderId="0" xfId="5613" applyFont="1" applyFill="1" applyBorder="1" applyAlignment="1">
      <alignment horizontal="center" vertical="center"/>
    </xf>
    <xf numFmtId="0" fontId="41" fillId="3" borderId="26" xfId="5613" applyFont="1" applyFill="1" applyBorder="1" applyAlignment="1">
      <alignment horizontal="center" vertical="center"/>
    </xf>
    <xf numFmtId="0" fontId="41" fillId="3" borderId="4" xfId="5613" applyFont="1" applyFill="1" applyBorder="1" applyAlignment="1">
      <alignment horizontal="center" vertical="center"/>
    </xf>
    <xf numFmtId="0" fontId="41" fillId="3" borderId="273" xfId="5613" applyFont="1" applyFill="1" applyBorder="1" applyAlignment="1">
      <alignment horizontal="center" vertical="center"/>
    </xf>
    <xf numFmtId="0" fontId="41" fillId="3" borderId="5" xfId="5613" applyFont="1" applyFill="1" applyBorder="1" applyAlignment="1">
      <alignment horizontal="center" vertical="center"/>
    </xf>
    <xf numFmtId="0" fontId="41" fillId="3" borderId="37" xfId="5613" applyFont="1" applyFill="1" applyBorder="1" applyAlignment="1">
      <alignment horizontal="center" vertical="center"/>
    </xf>
    <xf numFmtId="0" fontId="49" fillId="3" borderId="57" xfId="5613" applyFont="1" applyFill="1" applyBorder="1" applyAlignment="1">
      <alignment horizontal="center" vertical="center"/>
    </xf>
    <xf numFmtId="0" fontId="329" fillId="11" borderId="0" xfId="5613" applyFont="1" applyFill="1" applyAlignment="1">
      <alignment vertical="center"/>
    </xf>
    <xf numFmtId="0" fontId="49" fillId="3" borderId="60" xfId="5613" applyFont="1" applyFill="1" applyBorder="1" applyAlignment="1">
      <alignment horizontal="center" vertical="center"/>
    </xf>
    <xf numFmtId="0" fontId="332" fillId="11" borderId="0" xfId="5613" applyFont="1" applyFill="1" applyAlignment="1">
      <alignment vertical="center"/>
    </xf>
    <xf numFmtId="0" fontId="327" fillId="105" borderId="57" xfId="5613" applyFont="1" applyFill="1" applyBorder="1" applyAlignment="1">
      <alignment horizontal="center" vertical="center"/>
    </xf>
    <xf numFmtId="0" fontId="327" fillId="11" borderId="0" xfId="5613" applyFont="1" applyFill="1" applyBorder="1" applyAlignment="1">
      <alignment horizontal="center" vertical="center"/>
    </xf>
    <xf numFmtId="0" fontId="327" fillId="11" borderId="26" xfId="5613" applyFont="1" applyFill="1" applyBorder="1" applyAlignment="1">
      <alignment horizontal="center" vertical="center"/>
    </xf>
    <xf numFmtId="0" fontId="327" fillId="11" borderId="4" xfId="5613" applyFont="1" applyFill="1" applyBorder="1" applyAlignment="1">
      <alignment horizontal="center" vertical="center"/>
    </xf>
    <xf numFmtId="0" fontId="327" fillId="11" borderId="273" xfId="5613" applyFont="1" applyFill="1" applyBorder="1" applyAlignment="1">
      <alignment horizontal="center" vertical="center"/>
    </xf>
    <xf numFmtId="0" fontId="327" fillId="11" borderId="5" xfId="5613" applyFont="1" applyFill="1" applyBorder="1" applyAlignment="1">
      <alignment horizontal="center" vertical="center"/>
    </xf>
    <xf numFmtId="0" fontId="327" fillId="11" borderId="37" xfId="5613" applyFont="1" applyFill="1" applyBorder="1" applyAlignment="1">
      <alignment horizontal="center" vertical="center"/>
    </xf>
    <xf numFmtId="17" fontId="9" fillId="105" borderId="57" xfId="5613" applyNumberFormat="1" applyFont="1" applyFill="1" applyBorder="1" applyAlignment="1">
      <alignment horizontal="center" vertical="center"/>
    </xf>
    <xf numFmtId="169" fontId="5" fillId="11" borderId="0" xfId="5613" applyNumberFormat="1" applyFont="1" applyFill="1" applyBorder="1" applyAlignment="1">
      <alignment horizontal="right" vertical="center"/>
    </xf>
    <xf numFmtId="169" fontId="5" fillId="11" borderId="26" xfId="5613" applyNumberFormat="1" applyFont="1" applyFill="1" applyBorder="1" applyAlignment="1">
      <alignment horizontal="center" vertical="center"/>
    </xf>
    <xf numFmtId="169" fontId="5" fillId="11" borderId="4" xfId="5613" applyNumberFormat="1" applyFont="1" applyFill="1" applyBorder="1" applyAlignment="1">
      <alignment horizontal="center" vertical="center"/>
    </xf>
    <xf numFmtId="169" fontId="5" fillId="11" borderId="273" xfId="5613" applyNumberFormat="1" applyFont="1" applyFill="1" applyBorder="1" applyAlignment="1">
      <alignment horizontal="center" vertical="center"/>
    </xf>
    <xf numFmtId="169" fontId="5" fillId="11" borderId="5" xfId="5613" applyNumberFormat="1" applyFont="1" applyFill="1" applyBorder="1" applyAlignment="1">
      <alignment horizontal="center" vertical="center"/>
    </xf>
    <xf numFmtId="169" fontId="5" fillId="11" borderId="37" xfId="5613" applyNumberFormat="1" applyFont="1" applyFill="1" applyBorder="1" applyAlignment="1">
      <alignment horizontal="center" vertical="center"/>
    </xf>
    <xf numFmtId="2" fontId="5" fillId="11" borderId="26" xfId="5613" applyNumberFormat="1" applyFont="1" applyFill="1" applyBorder="1" applyAlignment="1">
      <alignment horizontal="center" vertical="center"/>
    </xf>
    <xf numFmtId="17" fontId="9" fillId="105" borderId="57" xfId="5613" quotePrefix="1" applyNumberFormat="1" applyFont="1" applyFill="1" applyBorder="1" applyAlignment="1">
      <alignment horizontal="center" vertical="center"/>
    </xf>
    <xf numFmtId="2" fontId="5" fillId="11" borderId="273" xfId="5613" applyNumberFormat="1" applyFont="1" applyFill="1" applyBorder="1" applyAlignment="1">
      <alignment horizontal="center" vertical="center"/>
    </xf>
    <xf numFmtId="2" fontId="5" fillId="11" borderId="37" xfId="5613" applyNumberFormat="1" applyFont="1" applyFill="1" applyBorder="1" applyAlignment="1">
      <alignment horizontal="center" vertical="center"/>
    </xf>
    <xf numFmtId="2" fontId="5" fillId="11" borderId="4" xfId="5613" applyNumberFormat="1" applyFont="1" applyFill="1" applyBorder="1" applyAlignment="1">
      <alignment horizontal="center" vertical="center"/>
    </xf>
    <xf numFmtId="169" fontId="5" fillId="11" borderId="18" xfId="5613" applyNumberFormat="1" applyFont="1" applyFill="1" applyBorder="1" applyAlignment="1">
      <alignment horizontal="right" vertical="center"/>
    </xf>
    <xf numFmtId="169" fontId="5" fillId="11" borderId="0" xfId="5613" applyNumberFormat="1" applyFont="1" applyFill="1" applyBorder="1" applyAlignment="1">
      <alignment horizontal="center" vertical="center"/>
    </xf>
    <xf numFmtId="169" fontId="5" fillId="11" borderId="18" xfId="5613" applyNumberFormat="1" applyFont="1" applyFill="1" applyBorder="1" applyAlignment="1">
      <alignment horizontal="center" vertical="center"/>
    </xf>
    <xf numFmtId="17" fontId="34" fillId="105" borderId="57" xfId="5613" quotePrefix="1" applyNumberFormat="1" applyFont="1" applyFill="1" applyBorder="1" applyAlignment="1">
      <alignment horizontal="center" vertical="center"/>
    </xf>
    <xf numFmtId="169" fontId="27" fillId="11" borderId="18" xfId="5613" applyNumberFormat="1" applyFont="1" applyFill="1" applyBorder="1" applyAlignment="1">
      <alignment horizontal="center" vertical="center"/>
    </xf>
    <xf numFmtId="2" fontId="27" fillId="11" borderId="26" xfId="5613" applyNumberFormat="1" applyFont="1" applyFill="1" applyBorder="1" applyAlignment="1">
      <alignment horizontal="center" vertical="center"/>
    </xf>
    <xf numFmtId="169" fontId="27" fillId="11" borderId="4" xfId="5613" applyNumberFormat="1" applyFont="1" applyFill="1" applyBorder="1" applyAlignment="1">
      <alignment horizontal="center" vertical="center"/>
    </xf>
    <xf numFmtId="2" fontId="27" fillId="11" borderId="273" xfId="5613" applyNumberFormat="1" applyFont="1" applyFill="1" applyBorder="1" applyAlignment="1">
      <alignment horizontal="center" vertical="center"/>
    </xf>
    <xf numFmtId="169" fontId="27" fillId="11" borderId="5" xfId="5613" applyNumberFormat="1" applyFont="1" applyFill="1" applyBorder="1" applyAlignment="1">
      <alignment horizontal="center" vertical="center"/>
    </xf>
    <xf numFmtId="2" fontId="27" fillId="11" borderId="37" xfId="5613" applyNumberFormat="1" applyFont="1" applyFill="1" applyBorder="1" applyAlignment="1">
      <alignment horizontal="center" vertical="center"/>
    </xf>
    <xf numFmtId="169" fontId="27" fillId="11" borderId="37" xfId="5613" applyNumberFormat="1" applyFont="1" applyFill="1" applyBorder="1" applyAlignment="1">
      <alignment horizontal="center" vertical="center"/>
    </xf>
    <xf numFmtId="2" fontId="27" fillId="11" borderId="4" xfId="5613" applyNumberFormat="1" applyFont="1" applyFill="1" applyBorder="1" applyAlignment="1">
      <alignment horizontal="center" vertical="center"/>
    </xf>
    <xf numFmtId="2" fontId="27" fillId="11" borderId="5" xfId="5613" applyNumberFormat="1" applyFont="1" applyFill="1" applyBorder="1" applyAlignment="1">
      <alignment horizontal="center" vertical="center"/>
    </xf>
    <xf numFmtId="214" fontId="27" fillId="11" borderId="4" xfId="5613" applyNumberFormat="1" applyFont="1" applyFill="1" applyBorder="1" applyAlignment="1">
      <alignment horizontal="center" vertical="center"/>
    </xf>
    <xf numFmtId="214" fontId="27" fillId="11" borderId="261" xfId="5613" applyNumberFormat="1" applyFont="1" applyFill="1" applyBorder="1" applyAlignment="1">
      <alignment horizontal="center" vertical="center"/>
    </xf>
    <xf numFmtId="214" fontId="27" fillId="11" borderId="5" xfId="5613" applyNumberFormat="1" applyFont="1" applyFill="1" applyBorder="1" applyAlignment="1">
      <alignment horizontal="center" vertical="center"/>
    </xf>
    <xf numFmtId="2" fontId="27" fillId="11" borderId="18" xfId="5613" applyNumberFormat="1" applyFont="1" applyFill="1" applyBorder="1" applyAlignment="1">
      <alignment horizontal="center" vertical="center"/>
    </xf>
    <xf numFmtId="17" fontId="34" fillId="105" borderId="57" xfId="5613" applyNumberFormat="1" applyFont="1" applyFill="1" applyBorder="1" applyAlignment="1">
      <alignment horizontal="center" vertical="center"/>
    </xf>
    <xf numFmtId="219" fontId="27" fillId="11" borderId="37" xfId="5613" applyNumberFormat="1" applyFont="1" applyFill="1" applyBorder="1" applyAlignment="1">
      <alignment horizontal="center" vertical="center"/>
    </xf>
    <xf numFmtId="2" fontId="27" fillId="11" borderId="40" xfId="5613" applyNumberFormat="1" applyFont="1" applyFill="1" applyBorder="1" applyAlignment="1">
      <alignment horizontal="center" vertical="center"/>
    </xf>
    <xf numFmtId="2" fontId="27" fillId="11" borderId="182" xfId="5613" applyNumberFormat="1" applyFont="1" applyFill="1" applyBorder="1" applyAlignment="1">
      <alignment horizontal="center" vertical="center"/>
    </xf>
    <xf numFmtId="214" fontId="27" fillId="11" borderId="18" xfId="5613" applyNumberFormat="1" applyFont="1" applyFill="1" applyBorder="1" applyAlignment="1">
      <alignment horizontal="center" vertical="center"/>
    </xf>
    <xf numFmtId="214" fontId="27" fillId="11" borderId="182" xfId="5613" applyNumberFormat="1" applyFont="1" applyFill="1" applyBorder="1" applyAlignment="1">
      <alignment horizontal="center" vertical="center"/>
    </xf>
    <xf numFmtId="17" fontId="41" fillId="3" borderId="57" xfId="5613" applyNumberFormat="1" applyFont="1" applyFill="1" applyBorder="1" applyAlignment="1">
      <alignment horizontal="center" vertical="center"/>
    </xf>
    <xf numFmtId="214" fontId="10" fillId="11" borderId="18" xfId="5613" applyNumberFormat="1" applyFont="1" applyFill="1" applyBorder="1" applyAlignment="1">
      <alignment horizontal="center" vertical="center"/>
    </xf>
    <xf numFmtId="2" fontId="10" fillId="11" borderId="26" xfId="5613" applyNumberFormat="1" applyFont="1" applyFill="1" applyBorder="1" applyAlignment="1">
      <alignment horizontal="center" vertical="center"/>
    </xf>
    <xf numFmtId="214" fontId="10" fillId="11" borderId="4" xfId="5613" applyNumberFormat="1" applyFont="1" applyFill="1" applyBorder="1" applyAlignment="1">
      <alignment horizontal="center" vertical="center"/>
    </xf>
    <xf numFmtId="214" fontId="10" fillId="11" borderId="182" xfId="5613" applyNumberFormat="1" applyFont="1" applyFill="1" applyBorder="1" applyAlignment="1">
      <alignment horizontal="center" vertical="center"/>
    </xf>
    <xf numFmtId="2" fontId="10" fillId="11" borderId="37" xfId="5613" applyNumberFormat="1" applyFont="1" applyFill="1" applyBorder="1" applyAlignment="1">
      <alignment horizontal="center" vertical="center"/>
    </xf>
    <xf numFmtId="2" fontId="10" fillId="11" borderId="4" xfId="5613" applyNumberFormat="1" applyFont="1" applyFill="1" applyBorder="1" applyAlignment="1">
      <alignment horizontal="center" vertical="center"/>
    </xf>
    <xf numFmtId="17" fontId="43" fillId="3" borderId="57" xfId="5613" applyNumberFormat="1" applyFont="1" applyFill="1" applyBorder="1" applyAlignment="1">
      <alignment horizontal="center" vertical="center"/>
    </xf>
    <xf numFmtId="214" fontId="19" fillId="11" borderId="18" xfId="5613" applyNumberFormat="1" applyFont="1" applyFill="1" applyBorder="1" applyAlignment="1">
      <alignment horizontal="center" vertical="center"/>
    </xf>
    <xf numFmtId="2" fontId="19" fillId="11" borderId="26" xfId="5613" applyNumberFormat="1" applyFont="1" applyFill="1" applyBorder="1" applyAlignment="1">
      <alignment horizontal="center" vertical="center"/>
    </xf>
    <xf numFmtId="214" fontId="19" fillId="11" borderId="4" xfId="5613" applyNumberFormat="1" applyFont="1" applyFill="1" applyBorder="1" applyAlignment="1">
      <alignment horizontal="center" vertical="center"/>
    </xf>
    <xf numFmtId="214" fontId="19" fillId="11" borderId="182" xfId="5613" applyNumberFormat="1" applyFont="1" applyFill="1" applyBorder="1" applyAlignment="1">
      <alignment horizontal="center" vertical="center"/>
    </xf>
    <xf numFmtId="2" fontId="19" fillId="11" borderId="4" xfId="5613" applyNumberFormat="1" applyFont="1" applyFill="1" applyBorder="1" applyAlignment="1">
      <alignment horizontal="center" vertical="center"/>
    </xf>
    <xf numFmtId="17" fontId="34" fillId="3" borderId="199" xfId="5613" applyNumberFormat="1" applyFont="1" applyFill="1" applyBorder="1" applyAlignment="1">
      <alignment horizontal="center" vertical="center"/>
    </xf>
    <xf numFmtId="2" fontId="27" fillId="11" borderId="190" xfId="5613" applyNumberFormat="1" applyFont="1" applyFill="1" applyBorder="1" applyAlignment="1">
      <alignment horizontal="center" vertical="center"/>
    </xf>
    <xf numFmtId="2" fontId="27" fillId="11" borderId="191" xfId="5613" applyNumberFormat="1" applyFont="1" applyFill="1" applyBorder="1" applyAlignment="1">
      <alignment horizontal="center" vertical="center"/>
    </xf>
    <xf numFmtId="2" fontId="27" fillId="11" borderId="12" xfId="5613" applyNumberFormat="1" applyFont="1" applyFill="1" applyBorder="1" applyAlignment="1">
      <alignment horizontal="center" vertical="center"/>
    </xf>
    <xf numFmtId="2" fontId="27" fillId="11" borderId="183" xfId="5613" applyNumberFormat="1" applyFont="1" applyFill="1" applyBorder="1" applyAlignment="1">
      <alignment horizontal="center" vertical="center"/>
    </xf>
    <xf numFmtId="219" fontId="27" fillId="11" borderId="87" xfId="5613" applyNumberFormat="1" applyFont="1" applyFill="1" applyBorder="1" applyAlignment="1">
      <alignment horizontal="center" vertical="center"/>
    </xf>
    <xf numFmtId="169" fontId="27" fillId="11" borderId="87" xfId="5613" applyNumberFormat="1" applyFont="1" applyFill="1" applyBorder="1" applyAlignment="1">
      <alignment horizontal="center" vertical="center"/>
    </xf>
    <xf numFmtId="2" fontId="27" fillId="11" borderId="87" xfId="5613" applyNumberFormat="1" applyFont="1" applyFill="1" applyBorder="1" applyAlignment="1">
      <alignment horizontal="center" vertical="center"/>
    </xf>
    <xf numFmtId="15" fontId="49" fillId="11" borderId="0" xfId="5613" applyNumberFormat="1" applyFont="1" applyFill="1" applyAlignment="1">
      <alignment horizontal="left" vertical="center"/>
    </xf>
    <xf numFmtId="0" fontId="333" fillId="11" borderId="0" xfId="5613" applyFont="1" applyFill="1" applyAlignment="1">
      <alignment vertical="center"/>
    </xf>
    <xf numFmtId="0" fontId="333" fillId="11" borderId="0" xfId="5613" applyFont="1" applyFill="1" applyAlignment="1">
      <alignment horizontal="right" vertical="center"/>
    </xf>
    <xf numFmtId="15" fontId="333" fillId="11" borderId="0" xfId="5613" applyNumberFormat="1" applyFont="1" applyFill="1" applyAlignment="1">
      <alignment horizontal="right" vertical="center"/>
    </xf>
    <xf numFmtId="0" fontId="18" fillId="0" borderId="0" xfId="5346" applyFont="1" applyAlignment="1">
      <alignment horizontal="left" vertical="center"/>
    </xf>
    <xf numFmtId="0" fontId="17" fillId="0" borderId="0" xfId="5346" applyFont="1" applyAlignment="1">
      <alignment horizontal="center" vertical="center"/>
    </xf>
    <xf numFmtId="0" fontId="6" fillId="0" borderId="0" xfId="5346" applyFont="1" applyAlignment="1">
      <alignment horizontal="center" vertical="center"/>
    </xf>
    <xf numFmtId="0" fontId="8" fillId="0" borderId="0" xfId="5346" applyFont="1" applyAlignment="1">
      <alignment vertical="center"/>
    </xf>
    <xf numFmtId="0" fontId="6" fillId="0" borderId="0" xfId="5346" applyFont="1" applyAlignment="1">
      <alignment vertical="center"/>
    </xf>
    <xf numFmtId="0" fontId="8" fillId="100" borderId="27" xfId="5346" applyFont="1" applyFill="1" applyBorder="1" applyAlignment="1">
      <alignment vertical="center"/>
    </xf>
    <xf numFmtId="0" fontId="6" fillId="100" borderId="16" xfId="5346" applyFont="1" applyFill="1" applyBorder="1" applyAlignment="1">
      <alignment horizontal="center" vertical="center"/>
    </xf>
    <xf numFmtId="0" fontId="6" fillId="100" borderId="276" xfId="5346" applyFont="1" applyFill="1" applyBorder="1" applyAlignment="1">
      <alignment horizontal="center" vertical="center"/>
    </xf>
    <xf numFmtId="0" fontId="6" fillId="100" borderId="277" xfId="5346" applyFont="1" applyFill="1" applyBorder="1" applyAlignment="1">
      <alignment horizontal="center" vertical="center"/>
    </xf>
    <xf numFmtId="0" fontId="6" fillId="100" borderId="278" xfId="5346" applyFont="1" applyFill="1" applyBorder="1" applyAlignment="1">
      <alignment horizontal="center" vertical="center"/>
    </xf>
    <xf numFmtId="0" fontId="6" fillId="100" borderId="17" xfId="5346" applyFont="1" applyFill="1" applyBorder="1" applyAlignment="1">
      <alignment horizontal="center" vertical="center"/>
    </xf>
    <xf numFmtId="0" fontId="41" fillId="100" borderId="32" xfId="5346" applyFont="1" applyFill="1" applyBorder="1" applyAlignment="1">
      <alignment vertical="center"/>
    </xf>
    <xf numFmtId="0" fontId="41" fillId="100" borderId="42" xfId="5346" applyFont="1" applyFill="1" applyBorder="1" applyAlignment="1">
      <alignment horizontal="center" vertical="center"/>
    </xf>
    <xf numFmtId="0" fontId="41" fillId="100" borderId="10" xfId="5346" applyFont="1" applyFill="1" applyBorder="1" applyAlignment="1">
      <alignment horizontal="center" vertical="center"/>
    </xf>
    <xf numFmtId="0" fontId="41" fillId="100" borderId="252" xfId="5346" applyFont="1" applyFill="1" applyBorder="1" applyAlignment="1">
      <alignment horizontal="center" vertical="center"/>
    </xf>
    <xf numFmtId="0" fontId="41" fillId="100" borderId="279" xfId="5346" applyFont="1" applyFill="1" applyBorder="1" applyAlignment="1">
      <alignment horizontal="center" vertical="center"/>
    </xf>
    <xf numFmtId="0" fontId="41" fillId="100" borderId="280" xfId="5346" applyFont="1" applyFill="1" applyBorder="1" applyAlignment="1">
      <alignment horizontal="center" vertical="center"/>
    </xf>
    <xf numFmtId="0" fontId="8" fillId="0" borderId="0" xfId="5346" applyFont="1" applyBorder="1" applyAlignment="1">
      <alignment vertical="center"/>
    </xf>
    <xf numFmtId="0" fontId="10" fillId="100" borderId="41" xfId="5346" applyFont="1" applyFill="1" applyBorder="1" applyAlignment="1">
      <alignment vertical="center"/>
    </xf>
    <xf numFmtId="17" fontId="41" fillId="100" borderId="32" xfId="5346" applyNumberFormat="1" applyFont="1" applyFill="1" applyBorder="1" applyAlignment="1">
      <alignment horizontal="left" vertical="center"/>
    </xf>
    <xf numFmtId="214" fontId="10" fillId="0" borderId="261" xfId="5346" applyNumberFormat="1" applyFont="1" applyFill="1" applyBorder="1" applyAlignment="1">
      <alignment horizontal="center" vertical="center"/>
    </xf>
    <xf numFmtId="214" fontId="10" fillId="0" borderId="9" xfId="5346" applyNumberFormat="1" applyFont="1" applyFill="1" applyBorder="1" applyAlignment="1">
      <alignment horizontal="center" vertical="center"/>
    </xf>
    <xf numFmtId="214" fontId="10" fillId="0" borderId="26" xfId="5346" applyNumberFormat="1" applyFont="1" applyFill="1" applyBorder="1" applyAlignment="1">
      <alignment horizontal="center" vertical="center"/>
    </xf>
    <xf numFmtId="214" fontId="10" fillId="0" borderId="213" xfId="5346" applyNumberFormat="1" applyFont="1" applyFill="1" applyBorder="1" applyAlignment="1">
      <alignment horizontal="center" vertical="center"/>
    </xf>
    <xf numFmtId="214" fontId="10" fillId="0" borderId="262" xfId="5346" applyNumberFormat="1" applyFont="1" applyFill="1" applyBorder="1" applyAlignment="1">
      <alignment horizontal="center" vertical="center"/>
    </xf>
    <xf numFmtId="0" fontId="8" fillId="0" borderId="0" xfId="5346" applyFont="1" applyFill="1" applyBorder="1" applyAlignment="1">
      <alignment vertical="center"/>
    </xf>
    <xf numFmtId="17" fontId="41" fillId="100" borderId="48" xfId="5346" applyNumberFormat="1" applyFont="1" applyFill="1" applyBorder="1" applyAlignment="1">
      <alignment horizontal="left" vertical="center"/>
    </xf>
    <xf numFmtId="214" fontId="10" fillId="0" borderId="263" xfId="5346" applyNumberFormat="1" applyFont="1" applyFill="1" applyBorder="1" applyAlignment="1">
      <alignment horizontal="center" vertical="center"/>
    </xf>
    <xf numFmtId="214" fontId="10" fillId="0" borderId="50" xfId="5346" applyNumberFormat="1" applyFont="1" applyFill="1" applyBorder="1" applyAlignment="1">
      <alignment horizontal="center" vertical="center"/>
    </xf>
    <xf numFmtId="214" fontId="10" fillId="0" borderId="283" xfId="5346" applyNumberFormat="1" applyFont="1" applyFill="1" applyBorder="1" applyAlignment="1">
      <alignment horizontal="center" vertical="center"/>
    </xf>
    <xf numFmtId="214" fontId="10" fillId="0" borderId="284" xfId="5346" applyNumberFormat="1" applyFont="1" applyFill="1" applyBorder="1" applyAlignment="1">
      <alignment horizontal="center" vertical="center"/>
    </xf>
    <xf numFmtId="214" fontId="10" fillId="0" borderId="264" xfId="5346" applyNumberFormat="1" applyFont="1" applyFill="1" applyBorder="1" applyAlignment="1">
      <alignment horizontal="center" vertical="center"/>
    </xf>
    <xf numFmtId="0" fontId="48" fillId="0" borderId="0" xfId="5346" applyFont="1" applyAlignment="1">
      <alignment horizontal="left" vertical="center"/>
    </xf>
    <xf numFmtId="0" fontId="49" fillId="0" borderId="0" xfId="5346" applyFont="1" applyAlignment="1">
      <alignment horizontal="left" vertical="center"/>
    </xf>
    <xf numFmtId="0" fontId="49" fillId="0" borderId="0" xfId="5346" applyFont="1" applyAlignment="1">
      <alignment vertical="center"/>
    </xf>
    <xf numFmtId="0" fontId="10" fillId="0" borderId="0" xfId="5346" applyFont="1" applyAlignment="1">
      <alignment vertical="center"/>
    </xf>
    <xf numFmtId="49" fontId="49" fillId="0" borderId="0" xfId="5346" applyNumberFormat="1" applyFont="1" applyAlignment="1">
      <alignment horizontal="left" vertical="center"/>
    </xf>
    <xf numFmtId="0" fontId="18" fillId="11" borderId="0" xfId="6381" applyFont="1" applyFill="1" applyAlignment="1">
      <alignment horizontal="left"/>
    </xf>
    <xf numFmtId="0" fontId="2" fillId="11" borderId="0" xfId="6381" applyFill="1" applyBorder="1"/>
    <xf numFmtId="0" fontId="2" fillId="11" borderId="0" xfId="6381" applyFill="1"/>
    <xf numFmtId="0" fontId="2" fillId="11" borderId="23" xfId="6381" applyFill="1" applyBorder="1"/>
    <xf numFmtId="0" fontId="3" fillId="100" borderId="181" xfId="6381" applyFont="1" applyFill="1" applyBorder="1" applyAlignment="1">
      <alignment horizontal="center"/>
    </xf>
    <xf numFmtId="17" fontId="3" fillId="3" borderId="3" xfId="6381" applyNumberFormat="1" applyFont="1" applyFill="1" applyBorder="1" applyAlignment="1">
      <alignment horizontal="center"/>
    </xf>
    <xf numFmtId="17" fontId="3" fillId="3" borderId="181" xfId="6381" applyNumberFormat="1" applyFont="1" applyFill="1" applyBorder="1" applyAlignment="1">
      <alignment horizontal="center"/>
    </xf>
    <xf numFmtId="17" fontId="3" fillId="100" borderId="181" xfId="6381" applyNumberFormat="1" applyFont="1" applyFill="1" applyBorder="1" applyAlignment="1">
      <alignment horizontal="center"/>
    </xf>
    <xf numFmtId="17" fontId="3" fillId="100" borderId="35" xfId="6381" applyNumberFormat="1" applyFont="1" applyFill="1" applyBorder="1" applyAlignment="1">
      <alignment horizontal="center"/>
    </xf>
    <xf numFmtId="17" fontId="3" fillId="100" borderId="34" xfId="6381" applyNumberFormat="1" applyFont="1" applyFill="1" applyBorder="1" applyAlignment="1">
      <alignment horizontal="center"/>
    </xf>
    <xf numFmtId="17" fontId="3" fillId="100" borderId="271" xfId="6381" applyNumberFormat="1" applyFont="1" applyFill="1" applyBorder="1" applyAlignment="1">
      <alignment horizontal="center"/>
    </xf>
    <xf numFmtId="17" fontId="3" fillId="100" borderId="2" xfId="6381" applyNumberFormat="1" applyFont="1" applyFill="1" applyBorder="1" applyAlignment="1">
      <alignment horizontal="center"/>
    </xf>
    <xf numFmtId="17" fontId="3" fillId="100" borderId="33" xfId="6381" applyNumberFormat="1" applyFont="1" applyFill="1" applyBorder="1" applyAlignment="1">
      <alignment horizontal="center"/>
    </xf>
    <xf numFmtId="17" fontId="3" fillId="100" borderId="3" xfId="6381" applyNumberFormat="1" applyFont="1" applyFill="1" applyBorder="1" applyAlignment="1">
      <alignment horizontal="center"/>
    </xf>
    <xf numFmtId="17" fontId="3" fillId="100" borderId="1" xfId="6381" applyNumberFormat="1" applyFont="1" applyFill="1" applyBorder="1" applyAlignment="1">
      <alignment horizontal="center"/>
    </xf>
    <xf numFmtId="0" fontId="3" fillId="100" borderId="87" xfId="6381" applyFont="1" applyFill="1" applyBorder="1" applyAlignment="1" applyProtection="1">
      <alignment horizontal="center"/>
    </xf>
    <xf numFmtId="0" fontId="3" fillId="3" borderId="14" xfId="6381" applyFont="1" applyFill="1" applyBorder="1" applyAlignment="1">
      <alignment horizontal="center"/>
    </xf>
    <xf numFmtId="0" fontId="3" fillId="3" borderId="87" xfId="6381" applyFont="1" applyFill="1" applyBorder="1" applyAlignment="1">
      <alignment horizontal="center"/>
    </xf>
    <xf numFmtId="0" fontId="3" fillId="100" borderId="87" xfId="6381" applyFont="1" applyFill="1" applyBorder="1" applyAlignment="1">
      <alignment horizontal="center"/>
    </xf>
    <xf numFmtId="0" fontId="3" fillId="100" borderId="222" xfId="6381" applyFont="1" applyFill="1" applyBorder="1" applyAlignment="1">
      <alignment horizontal="center"/>
    </xf>
    <xf numFmtId="0" fontId="3" fillId="100" borderId="159" xfId="6381" applyFont="1" applyFill="1" applyBorder="1" applyAlignment="1">
      <alignment horizontal="center"/>
    </xf>
    <xf numFmtId="0" fontId="3" fillId="100" borderId="191" xfId="6381" applyFont="1" applyFill="1" applyBorder="1" applyAlignment="1">
      <alignment horizontal="center"/>
    </xf>
    <xf numFmtId="0" fontId="3" fillId="100" borderId="13" xfId="6381" applyFont="1" applyFill="1" applyBorder="1" applyAlignment="1">
      <alignment horizontal="center"/>
    </xf>
    <xf numFmtId="0" fontId="3" fillId="100" borderId="158" xfId="6381" applyFont="1" applyFill="1" applyBorder="1" applyAlignment="1">
      <alignment horizontal="center"/>
    </xf>
    <xf numFmtId="0" fontId="3" fillId="100" borderId="14" xfId="6381" applyFont="1" applyFill="1" applyBorder="1" applyAlignment="1">
      <alignment horizontal="center"/>
    </xf>
    <xf numFmtId="0" fontId="3" fillId="100" borderId="12" xfId="6381" applyFont="1" applyFill="1" applyBorder="1" applyAlignment="1">
      <alignment horizontal="center"/>
    </xf>
    <xf numFmtId="0" fontId="3" fillId="100" borderId="37" xfId="6381" applyFont="1" applyFill="1" applyBorder="1" applyAlignment="1" applyProtection="1">
      <alignment horizontal="left"/>
    </xf>
    <xf numFmtId="214" fontId="23" fillId="11" borderId="5" xfId="6381" applyNumberFormat="1" applyFont="1" applyFill="1" applyBorder="1"/>
    <xf numFmtId="214" fontId="23" fillId="11" borderId="37" xfId="6381" applyNumberFormat="1" applyFont="1" applyFill="1" applyBorder="1"/>
    <xf numFmtId="214" fontId="23" fillId="11" borderId="35" xfId="6381" applyNumberFormat="1" applyFont="1" applyFill="1" applyBorder="1"/>
    <xf numFmtId="214" fontId="23" fillId="11" borderId="34" xfId="6381" applyNumberFormat="1" applyFont="1" applyFill="1" applyBorder="1"/>
    <xf numFmtId="214" fontId="23" fillId="11" borderId="26" xfId="6381" applyNumberFormat="1" applyFont="1" applyFill="1" applyBorder="1"/>
    <xf numFmtId="214" fontId="23" fillId="11" borderId="9" xfId="6381" applyNumberFormat="1" applyFont="1" applyFill="1" applyBorder="1"/>
    <xf numFmtId="214" fontId="23" fillId="11" borderId="2" xfId="6381" applyNumberFormat="1" applyFont="1" applyFill="1" applyBorder="1"/>
    <xf numFmtId="214" fontId="23" fillId="11" borderId="271" xfId="6381" applyNumberFormat="1" applyFont="1" applyFill="1" applyBorder="1"/>
    <xf numFmtId="214" fontId="23" fillId="11" borderId="33" xfId="6381" applyNumberFormat="1" applyFont="1" applyFill="1" applyBorder="1"/>
    <xf numFmtId="214" fontId="2" fillId="11" borderId="34" xfId="6381" applyNumberFormat="1" applyFill="1" applyBorder="1"/>
    <xf numFmtId="214" fontId="2" fillId="11" borderId="36" xfId="6381" applyNumberFormat="1" applyFill="1" applyBorder="1"/>
    <xf numFmtId="214" fontId="23" fillId="11" borderId="37" xfId="6381" applyNumberFormat="1" applyFont="1" applyFill="1" applyBorder="1" applyAlignment="1">
      <alignment horizontal="right"/>
    </xf>
    <xf numFmtId="214" fontId="23" fillId="11" borderId="37" xfId="6381" applyNumberFormat="1" applyFont="1" applyFill="1" applyBorder="1" applyAlignment="1"/>
    <xf numFmtId="214" fontId="23" fillId="11" borderId="40" xfId="6381" applyNumberFormat="1" applyFont="1" applyFill="1" applyBorder="1" applyAlignment="1">
      <alignment horizontal="right"/>
    </xf>
    <xf numFmtId="214" fontId="23" fillId="11" borderId="9" xfId="6381" applyNumberFormat="1" applyFont="1" applyFill="1" applyBorder="1" applyAlignment="1">
      <alignment horizontal="right"/>
    </xf>
    <xf numFmtId="214" fontId="23" fillId="11" borderId="26" xfId="6381" applyNumberFormat="1" applyFont="1" applyFill="1" applyBorder="1" applyAlignment="1">
      <alignment horizontal="right"/>
    </xf>
    <xf numFmtId="214" fontId="23" fillId="11" borderId="0" xfId="6381" applyNumberFormat="1" applyFont="1" applyFill="1" applyBorder="1" applyAlignment="1">
      <alignment horizontal="right"/>
    </xf>
    <xf numFmtId="214" fontId="23" fillId="11" borderId="39" xfId="6381" applyNumberFormat="1" applyFont="1" applyFill="1" applyBorder="1" applyAlignment="1">
      <alignment horizontal="right"/>
    </xf>
    <xf numFmtId="214" fontId="2" fillId="11" borderId="9" xfId="6381" applyNumberFormat="1" applyFill="1" applyBorder="1"/>
    <xf numFmtId="214" fontId="2" fillId="11" borderId="38" xfId="6381" applyNumberFormat="1" applyFill="1" applyBorder="1"/>
    <xf numFmtId="214" fontId="2" fillId="11" borderId="5" xfId="6381" applyNumberFormat="1" applyFill="1" applyBorder="1"/>
    <xf numFmtId="214" fontId="2" fillId="11" borderId="40" xfId="6381" applyNumberFormat="1" applyFill="1" applyBorder="1"/>
    <xf numFmtId="214" fontId="2" fillId="11" borderId="26" xfId="6381" applyNumberFormat="1" applyFill="1" applyBorder="1"/>
    <xf numFmtId="214" fontId="2" fillId="11" borderId="0" xfId="6381" applyNumberFormat="1" applyFill="1" applyBorder="1"/>
    <xf numFmtId="214" fontId="2" fillId="11" borderId="39" xfId="6381" applyNumberFormat="1" applyFill="1" applyBorder="1"/>
    <xf numFmtId="214" fontId="2" fillId="11" borderId="37" xfId="6381" applyNumberFormat="1" applyFill="1" applyBorder="1"/>
    <xf numFmtId="0" fontId="2" fillId="11" borderId="5" xfId="6381" applyFill="1" applyBorder="1"/>
    <xf numFmtId="0" fontId="2" fillId="11" borderId="37" xfId="6381" applyFill="1" applyBorder="1"/>
    <xf numFmtId="0" fontId="23" fillId="100" borderId="87" xfId="6381" applyFont="1" applyFill="1" applyBorder="1" applyAlignment="1" applyProtection="1">
      <alignment horizontal="left"/>
    </xf>
    <xf numFmtId="214" fontId="23" fillId="11" borderId="14" xfId="6381" applyNumberFormat="1" applyFont="1" applyFill="1" applyBorder="1"/>
    <xf numFmtId="214" fontId="23" fillId="11" borderId="87" xfId="6381" applyNumberFormat="1" applyFont="1" applyFill="1" applyBorder="1"/>
    <xf numFmtId="0" fontId="2" fillId="11" borderId="87" xfId="6381" applyFill="1" applyBorder="1"/>
    <xf numFmtId="0" fontId="2" fillId="11" borderId="222" xfId="6381" applyFill="1" applyBorder="1"/>
    <xf numFmtId="0" fontId="2" fillId="11" borderId="159" xfId="6381" applyFill="1" applyBorder="1"/>
    <xf numFmtId="0" fontId="2" fillId="11" borderId="191" xfId="6381" applyFill="1" applyBorder="1"/>
    <xf numFmtId="0" fontId="2" fillId="11" borderId="13" xfId="6381" applyFill="1" applyBorder="1"/>
    <xf numFmtId="214" fontId="2" fillId="11" borderId="191" xfId="6381" applyNumberFormat="1" applyFill="1" applyBorder="1"/>
    <xf numFmtId="214" fontId="2" fillId="11" borderId="159" xfId="6381" applyNumberFormat="1" applyFill="1" applyBorder="1"/>
    <xf numFmtId="214" fontId="2" fillId="11" borderId="158" xfId="6381" applyNumberFormat="1" applyFill="1" applyBorder="1"/>
    <xf numFmtId="214" fontId="2" fillId="11" borderId="13" xfId="6381" applyNumberFormat="1" applyFill="1" applyBorder="1"/>
    <xf numFmtId="219" fontId="2" fillId="11" borderId="160" xfId="6381" applyNumberFormat="1" applyFill="1" applyBorder="1"/>
    <xf numFmtId="0" fontId="334" fillId="11" borderId="0" xfId="6381" applyFont="1" applyFill="1" applyBorder="1" applyAlignment="1" applyProtection="1">
      <alignment horizontal="left"/>
    </xf>
    <xf numFmtId="0" fontId="259" fillId="11" borderId="0" xfId="6381" applyFont="1" applyFill="1" applyBorder="1"/>
    <xf numFmtId="0" fontId="259" fillId="11" borderId="0" xfId="6381" applyFont="1" applyFill="1"/>
    <xf numFmtId="0" fontId="259" fillId="11" borderId="0" xfId="6381" applyFont="1" applyFill="1" applyAlignment="1">
      <alignment horizontal="right"/>
    </xf>
    <xf numFmtId="0" fontId="21" fillId="11" borderId="0" xfId="6381" applyFont="1" applyFill="1"/>
    <xf numFmtId="0" fontId="27" fillId="11" borderId="0" xfId="6381" applyFont="1" applyFill="1"/>
    <xf numFmtId="219" fontId="27" fillId="11" borderId="0" xfId="6381" applyNumberFormat="1" applyFont="1" applyFill="1"/>
    <xf numFmtId="0" fontId="236" fillId="11" borderId="0" xfId="6381" applyFont="1" applyFill="1"/>
    <xf numFmtId="0" fontId="145" fillId="11" borderId="0" xfId="6381" applyFont="1" applyFill="1" applyAlignment="1">
      <alignment vertical="center"/>
    </xf>
    <xf numFmtId="0" fontId="145" fillId="11" borderId="0" xfId="6381" applyFont="1" applyFill="1" applyBorder="1"/>
    <xf numFmtId="0" fontId="145" fillId="11" borderId="0" xfId="6381" applyFont="1" applyFill="1"/>
    <xf numFmtId="0" fontId="227" fillId="11" borderId="0" xfId="6381" applyFont="1" applyFill="1"/>
    <xf numFmtId="0" fontId="236" fillId="11" borderId="0" xfId="6381" applyFont="1" applyFill="1" applyBorder="1"/>
    <xf numFmtId="0" fontId="11" fillId="11" borderId="0" xfId="6381" applyFont="1" applyFill="1"/>
    <xf numFmtId="0" fontId="41" fillId="100" borderId="181" xfId="6381" applyFont="1" applyFill="1" applyBorder="1" applyAlignment="1">
      <alignment horizontal="center"/>
    </xf>
    <xf numFmtId="17" fontId="41" fillId="3" borderId="236" xfId="6381" applyNumberFormat="1" applyFont="1" applyFill="1" applyBorder="1" applyAlignment="1">
      <alignment horizontal="center"/>
    </xf>
    <xf numFmtId="17" fontId="41" fillId="3" borderId="196" xfId="6381" applyNumberFormat="1" applyFont="1" applyFill="1" applyBorder="1" applyAlignment="1">
      <alignment horizontal="center"/>
    </xf>
    <xf numFmtId="17" fontId="41" fillId="100" borderId="1" xfId="6381" applyNumberFormat="1" applyFont="1" applyFill="1" applyBorder="1" applyAlignment="1">
      <alignment horizontal="center"/>
    </xf>
    <xf numFmtId="17" fontId="41" fillId="100" borderId="34" xfId="6381" applyNumberFormat="1" applyFont="1" applyFill="1" applyBorder="1" applyAlignment="1">
      <alignment horizontal="center"/>
    </xf>
    <xf numFmtId="17" fontId="41" fillId="100" borderId="2" xfId="6381" applyNumberFormat="1" applyFont="1" applyFill="1" applyBorder="1" applyAlignment="1">
      <alignment horizontal="center"/>
    </xf>
    <xf numFmtId="17" fontId="41" fillId="100" borderId="271" xfId="6381" applyNumberFormat="1" applyFont="1" applyFill="1" applyBorder="1" applyAlignment="1">
      <alignment horizontal="center"/>
    </xf>
    <xf numFmtId="17" fontId="41" fillId="100" borderId="36" xfId="6381" applyNumberFormat="1" applyFont="1" applyFill="1" applyBorder="1" applyAlignment="1">
      <alignment horizontal="center"/>
    </xf>
    <xf numFmtId="17" fontId="41" fillId="100" borderId="181" xfId="6381" applyNumberFormat="1" applyFont="1" applyFill="1" applyBorder="1" applyAlignment="1">
      <alignment horizontal="center"/>
    </xf>
    <xf numFmtId="17" fontId="41" fillId="100" borderId="3" xfId="6381" applyNumberFormat="1" applyFont="1" applyFill="1" applyBorder="1" applyAlignment="1">
      <alignment horizontal="center"/>
    </xf>
    <xf numFmtId="0" fontId="41" fillId="100" borderId="87" xfId="6381" applyFont="1" applyFill="1" applyBorder="1" applyAlignment="1">
      <alignment horizontal="center"/>
    </xf>
    <xf numFmtId="0" fontId="41" fillId="3" borderId="285" xfId="6381" applyFont="1" applyFill="1" applyBorder="1" applyAlignment="1">
      <alignment horizontal="center"/>
    </xf>
    <xf numFmtId="0" fontId="41" fillId="100" borderId="13" xfId="6381" applyFont="1" applyFill="1" applyBorder="1" applyAlignment="1">
      <alignment horizontal="center"/>
    </xf>
    <xf numFmtId="0" fontId="41" fillId="100" borderId="159" xfId="6381" applyFont="1" applyFill="1" applyBorder="1" applyAlignment="1">
      <alignment horizontal="center"/>
    </xf>
    <xf numFmtId="0" fontId="41" fillId="100" borderId="191" xfId="6381" applyFont="1" applyFill="1" applyBorder="1" applyAlignment="1">
      <alignment horizontal="center"/>
    </xf>
    <xf numFmtId="0" fontId="41" fillId="100" borderId="160" xfId="6381" applyFont="1" applyFill="1" applyBorder="1" applyAlignment="1">
      <alignment horizontal="center"/>
    </xf>
    <xf numFmtId="0" fontId="41" fillId="100" borderId="12" xfId="6381" applyFont="1" applyFill="1" applyBorder="1" applyAlignment="1">
      <alignment horizontal="center"/>
    </xf>
    <xf numFmtId="0" fontId="41" fillId="100" borderId="14" xfId="6381" applyFont="1" applyFill="1" applyBorder="1" applyAlignment="1">
      <alignment horizontal="center"/>
    </xf>
    <xf numFmtId="0" fontId="41" fillId="100" borderId="37" xfId="6381" applyFont="1" applyFill="1" applyBorder="1" applyAlignment="1" applyProtection="1">
      <alignment horizontal="left"/>
    </xf>
    <xf numFmtId="214" fontId="23" fillId="11" borderId="19" xfId="6381" applyNumberFormat="1" applyFont="1" applyFill="1" applyBorder="1"/>
    <xf numFmtId="214" fontId="23" fillId="11" borderId="0" xfId="6381" applyNumberFormat="1" applyFont="1" applyFill="1" applyBorder="1"/>
    <xf numFmtId="214" fontId="2" fillId="11" borderId="271" xfId="6381" applyNumberFormat="1" applyFill="1" applyBorder="1"/>
    <xf numFmtId="214" fontId="2" fillId="11" borderId="2" xfId="6381" applyNumberFormat="1" applyFill="1" applyBorder="1"/>
    <xf numFmtId="214" fontId="236" fillId="11" borderId="34" xfId="6381" applyNumberFormat="1" applyFont="1" applyFill="1" applyBorder="1"/>
    <xf numFmtId="214" fontId="236" fillId="11" borderId="36" xfId="6381" applyNumberFormat="1" applyFont="1" applyFill="1" applyBorder="1"/>
    <xf numFmtId="214" fontId="23" fillId="11" borderId="19" xfId="6381" applyNumberFormat="1" applyFont="1" applyFill="1" applyBorder="1" applyAlignment="1">
      <alignment horizontal="right"/>
    </xf>
    <xf numFmtId="214" fontId="2" fillId="11" borderId="32" xfId="6381" applyNumberFormat="1" applyFill="1" applyBorder="1"/>
    <xf numFmtId="214" fontId="2" fillId="11" borderId="18" xfId="6381" applyNumberFormat="1" applyFill="1" applyBorder="1"/>
    <xf numFmtId="214" fontId="236" fillId="11" borderId="9" xfId="6381" applyNumberFormat="1" applyFont="1" applyFill="1" applyBorder="1"/>
    <xf numFmtId="214" fontId="236" fillId="11" borderId="38" xfId="6381" applyNumberFormat="1" applyFont="1" applyFill="1" applyBorder="1"/>
    <xf numFmtId="214" fontId="23" fillId="11" borderId="32" xfId="6381" applyNumberFormat="1" applyFont="1" applyFill="1" applyBorder="1"/>
    <xf numFmtId="0" fontId="2" fillId="11" borderId="32" xfId="6381" applyFill="1" applyBorder="1"/>
    <xf numFmtId="0" fontId="27" fillId="100" borderId="87" xfId="6381" applyFont="1" applyFill="1" applyBorder="1" applyAlignment="1" applyProtection="1">
      <alignment horizontal="left"/>
    </xf>
    <xf numFmtId="214" fontId="23" fillId="11" borderId="285" xfId="6381" applyNumberFormat="1" applyFont="1" applyFill="1" applyBorder="1"/>
    <xf numFmtId="0" fontId="2" fillId="11" borderId="234" xfId="6381" applyFill="1" applyBorder="1"/>
    <xf numFmtId="214" fontId="2" fillId="11" borderId="234" xfId="6381" applyNumberFormat="1" applyFill="1" applyBorder="1"/>
    <xf numFmtId="0" fontId="2" fillId="11" borderId="190" xfId="6381" applyFill="1" applyBorder="1"/>
    <xf numFmtId="0" fontId="3" fillId="11" borderId="191" xfId="6381" applyFont="1" applyFill="1" applyBorder="1"/>
    <xf numFmtId="0" fontId="2" fillId="11" borderId="160" xfId="6381" applyFill="1" applyBorder="1"/>
    <xf numFmtId="0" fontId="335" fillId="11" borderId="0" xfId="6381" applyFont="1" applyFill="1"/>
    <xf numFmtId="0" fontId="335" fillId="11" borderId="0" xfId="6381" applyFont="1" applyFill="1" applyBorder="1"/>
    <xf numFmtId="0" fontId="336" fillId="11" borderId="0" xfId="6381" applyFont="1" applyFill="1" applyBorder="1"/>
    <xf numFmtId="0" fontId="19" fillId="11" borderId="0" xfId="6381" applyFont="1" applyFill="1"/>
    <xf numFmtId="0" fontId="19" fillId="11" borderId="0" xfId="6381" applyFont="1" applyFill="1" applyBorder="1"/>
    <xf numFmtId="0" fontId="10" fillId="11" borderId="0" xfId="6381" applyFont="1" applyFill="1" applyBorder="1"/>
    <xf numFmtId="0" fontId="2" fillId="11" borderId="0" xfId="6381" applyFont="1" applyFill="1" applyBorder="1"/>
    <xf numFmtId="0" fontId="18" fillId="11" borderId="0" xfId="5613" applyFont="1" applyFill="1" applyAlignment="1">
      <alignment horizontal="left"/>
    </xf>
    <xf numFmtId="219" fontId="41" fillId="11" borderId="5" xfId="5613" applyNumberFormat="1" applyFont="1" applyFill="1" applyBorder="1"/>
    <xf numFmtId="219" fontId="41" fillId="11" borderId="0" xfId="5613" applyNumberFormat="1" applyFont="1" applyFill="1"/>
    <xf numFmtId="0" fontId="23" fillId="11" borderId="0" xfId="5613" applyFill="1"/>
    <xf numFmtId="219" fontId="41" fillId="11" borderId="0" xfId="5613" applyNumberFormat="1" applyFont="1" applyFill="1" applyBorder="1"/>
    <xf numFmtId="219" fontId="23" fillId="11" borderId="0" xfId="5613" applyNumberFormat="1" applyFill="1" applyBorder="1"/>
    <xf numFmtId="219" fontId="23" fillId="11" borderId="0" xfId="5613" applyNumberFormat="1" applyFill="1"/>
    <xf numFmtId="0" fontId="34" fillId="100" borderId="27" xfId="5613" applyFont="1" applyFill="1" applyBorder="1" applyAlignment="1" applyProtection="1">
      <alignment horizontal="center"/>
    </xf>
    <xf numFmtId="0" fontId="34" fillId="100" borderId="32" xfId="5613" applyFont="1" applyFill="1" applyBorder="1" applyAlignment="1" applyProtection="1">
      <alignment horizontal="center"/>
    </xf>
    <xf numFmtId="0" fontId="24" fillId="100" borderId="32" xfId="5613" applyFont="1" applyFill="1" applyBorder="1" applyAlignment="1" applyProtection="1">
      <alignment horizontal="left"/>
    </xf>
    <xf numFmtId="0" fontId="34" fillId="100" borderId="118" xfId="5613" applyFont="1" applyFill="1" applyBorder="1" applyAlignment="1" applyProtection="1">
      <alignment horizontal="center"/>
    </xf>
    <xf numFmtId="0" fontId="34" fillId="100" borderId="30" xfId="5613" applyFont="1" applyFill="1" applyBorder="1" applyAlignment="1" applyProtection="1">
      <alignment horizontal="center"/>
    </xf>
    <xf numFmtId="0" fontId="34" fillId="100" borderId="17" xfId="5613" applyFont="1" applyFill="1" applyBorder="1" applyAlignment="1" applyProtection="1">
      <alignment horizontal="center"/>
    </xf>
    <xf numFmtId="4" fontId="337" fillId="11" borderId="0" xfId="5613" applyNumberFormat="1" applyFont="1" applyFill="1" applyAlignment="1">
      <alignment horizontal="center"/>
    </xf>
    <xf numFmtId="219" fontId="3" fillId="100" borderId="59" xfId="5613" applyNumberFormat="1" applyFont="1" applyFill="1" applyBorder="1" applyAlignment="1" applyProtection="1">
      <alignment horizontal="center"/>
    </xf>
    <xf numFmtId="219" fontId="3" fillId="100" borderId="37" xfId="5613" applyNumberFormat="1" applyFont="1" applyFill="1" applyBorder="1" applyAlignment="1" applyProtection="1">
      <alignment horizontal="center"/>
    </xf>
    <xf numFmtId="0" fontId="337" fillId="11" borderId="0" xfId="5613" applyFont="1" applyFill="1"/>
    <xf numFmtId="0" fontId="34" fillId="100" borderId="19" xfId="5613" applyFont="1" applyFill="1" applyBorder="1" applyAlignment="1" applyProtection="1">
      <alignment horizontal="center"/>
    </xf>
    <xf numFmtId="4" fontId="338" fillId="11" borderId="0" xfId="5613" applyNumberFormat="1" applyFont="1" applyFill="1" applyAlignment="1">
      <alignment horizontal="center"/>
    </xf>
    <xf numFmtId="0" fontId="3" fillId="100" borderId="48" xfId="5613" applyFont="1" applyFill="1" applyBorder="1"/>
    <xf numFmtId="219" fontId="3" fillId="100" borderId="119" xfId="5613" applyNumberFormat="1" applyFont="1" applyFill="1" applyBorder="1" applyAlignment="1" applyProtection="1">
      <alignment horizontal="center"/>
    </xf>
    <xf numFmtId="219" fontId="3" fillId="100" borderId="53" xfId="5613" applyNumberFormat="1" applyFont="1" applyFill="1" applyBorder="1" applyAlignment="1" applyProtection="1">
      <alignment horizontal="center"/>
    </xf>
    <xf numFmtId="0" fontId="3" fillId="100" borderId="24" xfId="5613" applyFont="1" applyFill="1" applyBorder="1" applyAlignment="1" applyProtection="1">
      <alignment horizontal="center"/>
    </xf>
    <xf numFmtId="274" fontId="23" fillId="11" borderId="0" xfId="5613" applyNumberFormat="1" applyFill="1"/>
    <xf numFmtId="0" fontId="34" fillId="100" borderId="32" xfId="5613" applyFont="1" applyFill="1" applyBorder="1" applyAlignment="1" applyProtection="1">
      <alignment horizontal="left"/>
    </xf>
    <xf numFmtId="241" fontId="27" fillId="11" borderId="118" xfId="5613" applyNumberFormat="1" applyFont="1" applyFill="1" applyBorder="1" applyAlignment="1">
      <alignment horizontal="center"/>
    </xf>
    <xf numFmtId="241" fontId="27" fillId="11" borderId="37" xfId="5613" applyNumberFormat="1" applyFont="1" applyFill="1" applyBorder="1" applyAlignment="1">
      <alignment horizontal="center"/>
    </xf>
    <xf numFmtId="235" fontId="27" fillId="11" borderId="19" xfId="6381" applyNumberFormat="1" applyFont="1" applyFill="1" applyBorder="1" applyAlignment="1" applyProtection="1">
      <alignment horizontal="center"/>
    </xf>
    <xf numFmtId="241" fontId="23" fillId="11" borderId="0" xfId="5613" applyNumberFormat="1" applyFill="1"/>
    <xf numFmtId="241" fontId="27" fillId="11" borderId="59" xfId="5613" applyNumberFormat="1" applyFont="1" applyFill="1" applyBorder="1" applyAlignment="1">
      <alignment horizontal="center"/>
    </xf>
    <xf numFmtId="0" fontId="23" fillId="0" borderId="0" xfId="5613" applyFill="1"/>
    <xf numFmtId="0" fontId="23" fillId="100" borderId="48" xfId="5613" applyFont="1" applyFill="1" applyBorder="1" applyAlignment="1" applyProtection="1">
      <alignment horizontal="left"/>
    </xf>
    <xf numFmtId="0" fontId="23" fillId="11" borderId="119" xfId="5613" applyFont="1" applyFill="1" applyBorder="1" applyAlignment="1" applyProtection="1">
      <alignment horizontal="left"/>
    </xf>
    <xf numFmtId="219" fontId="23" fillId="11" borderId="53" xfId="5613" applyNumberFormat="1" applyFill="1" applyBorder="1"/>
    <xf numFmtId="235" fontId="23" fillId="11" borderId="24" xfId="5613" applyNumberFormat="1" applyFont="1" applyFill="1" applyBorder="1" applyAlignment="1" applyProtection="1">
      <alignment horizontal="right"/>
    </xf>
    <xf numFmtId="241" fontId="337" fillId="11" borderId="0" xfId="5613" applyNumberFormat="1" applyFont="1" applyFill="1" applyAlignment="1">
      <alignment horizontal="center"/>
    </xf>
    <xf numFmtId="0" fontId="35" fillId="11" borderId="0" xfId="5613" applyFont="1" applyFill="1"/>
    <xf numFmtId="219" fontId="27" fillId="11" borderId="5" xfId="5613" applyNumberFormat="1" applyFont="1" applyFill="1" applyBorder="1"/>
    <xf numFmtId="219" fontId="27" fillId="11" borderId="0" xfId="5613" applyNumberFormat="1" applyFont="1" applyFill="1"/>
    <xf numFmtId="235" fontId="27" fillId="11" borderId="0" xfId="5613" applyNumberFormat="1" applyFont="1" applyFill="1" applyBorder="1" applyAlignment="1" applyProtection="1">
      <alignment horizontal="right"/>
    </xf>
    <xf numFmtId="0" fontId="27" fillId="11" borderId="0" xfId="5613" applyFont="1" applyFill="1"/>
    <xf numFmtId="219" fontId="27" fillId="11" borderId="0" xfId="5613" applyNumberFormat="1" applyFont="1" applyFill="1" applyBorder="1"/>
    <xf numFmtId="0" fontId="35" fillId="11" borderId="0" xfId="5613" applyFont="1" applyFill="1" applyAlignment="1">
      <alignment vertical="center"/>
    </xf>
    <xf numFmtId="0" fontId="21" fillId="11" borderId="0" xfId="5613" applyFont="1" applyFill="1"/>
    <xf numFmtId="0" fontId="3" fillId="11" borderId="0" xfId="5613" applyFont="1" applyFill="1"/>
    <xf numFmtId="0" fontId="23" fillId="11" borderId="0" xfId="5613" applyFont="1" applyFill="1"/>
    <xf numFmtId="0" fontId="3" fillId="100" borderId="27" xfId="5613" applyFont="1" applyFill="1" applyBorder="1"/>
    <xf numFmtId="17" fontId="34" fillId="100" borderId="118" xfId="5613" applyNumberFormat="1" applyFont="1" applyFill="1" applyBorder="1" applyAlignment="1">
      <alignment horizontal="center"/>
    </xf>
    <xf numFmtId="17" fontId="34" fillId="100" borderId="29" xfId="5613" applyNumberFormat="1" applyFont="1" applyFill="1" applyBorder="1" applyAlignment="1">
      <alignment horizontal="center"/>
    </xf>
    <xf numFmtId="0" fontId="34" fillId="100" borderId="17" xfId="5613" applyFont="1" applyFill="1" applyBorder="1" applyAlignment="1">
      <alignment horizontal="center"/>
    </xf>
    <xf numFmtId="0" fontId="3" fillId="100" borderId="32" xfId="5613" applyFont="1" applyFill="1" applyBorder="1" applyAlignment="1">
      <alignment horizontal="center"/>
    </xf>
    <xf numFmtId="17" fontId="34" fillId="100" borderId="5" xfId="5613" applyNumberFormat="1" applyFont="1" applyFill="1" applyBorder="1" applyAlignment="1">
      <alignment horizontal="center"/>
    </xf>
    <xf numFmtId="0" fontId="34" fillId="100" borderId="19" xfId="5613" applyFont="1" applyFill="1" applyBorder="1" applyAlignment="1">
      <alignment horizontal="center"/>
    </xf>
    <xf numFmtId="0" fontId="34" fillId="100" borderId="59" xfId="5613" applyFont="1" applyFill="1" applyBorder="1" applyAlignment="1">
      <alignment horizontal="center"/>
    </xf>
    <xf numFmtId="0" fontId="3" fillId="11" borderId="0" xfId="5613" applyFont="1" applyFill="1" applyBorder="1" applyAlignment="1">
      <alignment horizontal="center"/>
    </xf>
    <xf numFmtId="0" fontId="23" fillId="100" borderId="48" xfId="5613" applyFont="1" applyFill="1" applyBorder="1"/>
    <xf numFmtId="0" fontId="34" fillId="100" borderId="119" xfId="5613" applyFont="1" applyFill="1" applyBorder="1" applyAlignment="1">
      <alignment horizontal="center"/>
    </xf>
    <xf numFmtId="17" fontId="34" fillId="100" borderId="51" xfId="5613" applyNumberFormat="1" applyFont="1" applyFill="1" applyBorder="1" applyAlignment="1">
      <alignment horizontal="center"/>
    </xf>
    <xf numFmtId="0" fontId="34" fillId="100" borderId="24" xfId="5613" applyFont="1" applyFill="1" applyBorder="1" applyAlignment="1">
      <alignment horizontal="center"/>
    </xf>
    <xf numFmtId="0" fontId="34" fillId="100" borderId="32" xfId="5613" applyFont="1" applyFill="1" applyBorder="1" applyAlignment="1">
      <alignment horizontal="left"/>
    </xf>
    <xf numFmtId="219" fontId="27" fillId="11" borderId="59" xfId="5613" applyNumberFormat="1" applyFont="1" applyFill="1" applyBorder="1" applyAlignment="1">
      <alignment horizontal="center"/>
    </xf>
    <xf numFmtId="219" fontId="27" fillId="11" borderId="5" xfId="5613" applyNumberFormat="1" applyFont="1" applyFill="1" applyBorder="1" applyAlignment="1">
      <alignment horizontal="center"/>
    </xf>
    <xf numFmtId="275" fontId="27" fillId="11" borderId="19" xfId="6381" applyNumberFormat="1" applyFont="1" applyFill="1" applyBorder="1" applyAlignment="1">
      <alignment horizontal="center"/>
    </xf>
    <xf numFmtId="219" fontId="23" fillId="0" borderId="0" xfId="5613" applyNumberFormat="1" applyFill="1"/>
    <xf numFmtId="4" fontId="27" fillId="11" borderId="59" xfId="5613" applyNumberFormat="1" applyFont="1" applyFill="1" applyBorder="1" applyAlignment="1">
      <alignment horizontal="center"/>
    </xf>
    <xf numFmtId="4" fontId="27" fillId="11" borderId="5" xfId="5613" applyNumberFormat="1" applyFont="1" applyFill="1" applyBorder="1" applyAlignment="1">
      <alignment horizontal="center"/>
    </xf>
    <xf numFmtId="2" fontId="23" fillId="11" borderId="0" xfId="5613" applyNumberFormat="1" applyFill="1"/>
    <xf numFmtId="214" fontId="27" fillId="11" borderId="59" xfId="5613" applyNumberFormat="1" applyFont="1" applyFill="1" applyBorder="1" applyAlignment="1">
      <alignment horizontal="center"/>
    </xf>
    <xf numFmtId="214" fontId="27" fillId="11" borderId="5" xfId="5613" applyNumberFormat="1" applyFont="1" applyFill="1" applyBorder="1" applyAlignment="1">
      <alignment horizontal="center"/>
    </xf>
    <xf numFmtId="0" fontId="339" fillId="11" borderId="0" xfId="5613" applyFont="1" applyFill="1"/>
    <xf numFmtId="0" fontId="3" fillId="100" borderId="48" xfId="5613" applyFont="1" applyFill="1" applyBorder="1" applyAlignment="1">
      <alignment horizontal="left"/>
    </xf>
    <xf numFmtId="219" fontId="27" fillId="11" borderId="119" xfId="5613" applyNumberFormat="1" applyFont="1" applyFill="1" applyBorder="1" applyAlignment="1">
      <alignment horizontal="right"/>
    </xf>
    <xf numFmtId="219" fontId="27" fillId="11" borderId="51" xfId="5613" applyNumberFormat="1" applyFont="1" applyFill="1" applyBorder="1" applyAlignment="1">
      <alignment horizontal="right"/>
    </xf>
    <xf numFmtId="169" fontId="27" fillId="11" borderId="24" xfId="5613" applyNumberFormat="1" applyFont="1" applyFill="1" applyBorder="1" applyAlignment="1">
      <alignment horizontal="center"/>
    </xf>
    <xf numFmtId="219" fontId="34" fillId="11" borderId="0" xfId="5613" applyNumberFormat="1" applyFont="1" applyFill="1" applyBorder="1" applyAlignment="1">
      <alignment horizontal="right"/>
    </xf>
    <xf numFmtId="2" fontId="34" fillId="11" borderId="0" xfId="5613" applyNumberFormat="1" applyFont="1" applyFill="1" applyBorder="1"/>
    <xf numFmtId="0" fontId="340" fillId="11" borderId="0" xfId="5613" applyFont="1" applyFill="1"/>
    <xf numFmtId="0" fontId="23" fillId="100" borderId="27" xfId="5613" applyFont="1" applyFill="1" applyBorder="1"/>
    <xf numFmtId="17" fontId="34" fillId="100" borderId="30" xfId="5613" applyNumberFormat="1" applyFont="1" applyFill="1" applyBorder="1" applyAlignment="1">
      <alignment horizontal="center"/>
    </xf>
    <xf numFmtId="17" fontId="34" fillId="100" borderId="56" xfId="5613" applyNumberFormat="1" applyFont="1" applyFill="1" applyBorder="1" applyAlignment="1">
      <alignment horizontal="center"/>
    </xf>
    <xf numFmtId="0" fontId="23" fillId="100" borderId="32" xfId="5613" applyFont="1" applyFill="1" applyBorder="1"/>
    <xf numFmtId="0" fontId="34" fillId="100" borderId="37" xfId="5613" applyFont="1" applyFill="1" applyBorder="1" applyAlignment="1">
      <alignment horizontal="center"/>
    </xf>
    <xf numFmtId="0" fontId="34" fillId="100" borderId="57" xfId="5613" applyFont="1" applyFill="1" applyBorder="1" applyAlignment="1">
      <alignment horizontal="center"/>
    </xf>
    <xf numFmtId="0" fontId="34" fillId="100" borderId="53" xfId="5613" applyFont="1" applyFill="1" applyBorder="1" applyAlignment="1">
      <alignment horizontal="center"/>
    </xf>
    <xf numFmtId="0" fontId="34" fillId="100" borderId="60" xfId="5613" applyFont="1" applyFill="1" applyBorder="1" applyAlignment="1">
      <alignment horizontal="center"/>
    </xf>
    <xf numFmtId="0" fontId="34" fillId="100" borderId="32" xfId="5613" applyFont="1" applyFill="1" applyBorder="1"/>
    <xf numFmtId="0" fontId="27" fillId="11" borderId="18" xfId="5613" applyFont="1" applyFill="1" applyBorder="1" applyAlignment="1">
      <alignment horizontal="center"/>
    </xf>
    <xf numFmtId="0" fontId="27" fillId="11" borderId="37" xfId="5613" applyFont="1" applyFill="1" applyBorder="1" applyAlignment="1">
      <alignment horizontal="center"/>
    </xf>
    <xf numFmtId="0" fontId="27" fillId="11" borderId="57" xfId="5613" applyFont="1" applyFill="1" applyBorder="1" applyAlignment="1">
      <alignment horizontal="center"/>
    </xf>
    <xf numFmtId="0" fontId="27" fillId="11" borderId="5" xfId="5613" applyFont="1" applyFill="1" applyBorder="1" applyAlignment="1">
      <alignment horizontal="center"/>
    </xf>
    <xf numFmtId="0" fontId="27" fillId="11" borderId="4" xfId="5613" applyFont="1" applyFill="1" applyBorder="1" applyAlignment="1">
      <alignment horizontal="center"/>
    </xf>
    <xf numFmtId="0" fontId="27" fillId="11" borderId="119" xfId="5613" applyFont="1" applyFill="1" applyBorder="1" applyAlignment="1">
      <alignment horizontal="right"/>
    </xf>
    <xf numFmtId="0" fontId="27" fillId="11" borderId="53" xfId="5613" applyFont="1" applyFill="1" applyBorder="1" applyAlignment="1">
      <alignment horizontal="right"/>
    </xf>
    <xf numFmtId="0" fontId="27" fillId="11" borderId="60" xfId="5613" applyFont="1" applyFill="1" applyBorder="1" applyAlignment="1">
      <alignment horizontal="right"/>
    </xf>
    <xf numFmtId="0" fontId="227" fillId="11" borderId="0" xfId="5613" applyFont="1" applyFill="1"/>
    <xf numFmtId="0" fontId="11" fillId="11" borderId="0" xfId="5613" applyFont="1" applyFill="1"/>
    <xf numFmtId="0" fontId="39" fillId="11" borderId="0" xfId="5613" applyFont="1" applyFill="1"/>
    <xf numFmtId="0" fontId="23" fillId="11" borderId="0" xfId="5613" applyFont="1" applyFill="1" applyBorder="1" applyAlignment="1">
      <alignment horizontal="center"/>
    </xf>
    <xf numFmtId="0" fontId="23" fillId="11" borderId="0" xfId="5613" applyFill="1" applyBorder="1"/>
    <xf numFmtId="0" fontId="27" fillId="11" borderId="0" xfId="6381" applyFont="1" applyFill="1" applyBorder="1"/>
    <xf numFmtId="0" fontId="18" fillId="11" borderId="0" xfId="6381" applyFont="1" applyFill="1" applyBorder="1" applyAlignment="1">
      <alignment horizontal="left"/>
    </xf>
    <xf numFmtId="0" fontId="21" fillId="11" borderId="0" xfId="6381" applyFont="1" applyFill="1" applyBorder="1" applyAlignment="1">
      <alignment horizontal="centerContinuous"/>
    </xf>
    <xf numFmtId="0" fontId="341" fillId="11" borderId="0" xfId="6381" applyFont="1" applyFill="1" applyBorder="1"/>
    <xf numFmtId="0" fontId="34" fillId="4" borderId="1" xfId="6381" applyFont="1" applyFill="1" applyBorder="1" applyAlignment="1">
      <alignment horizontal="center"/>
    </xf>
    <xf numFmtId="0" fontId="34" fillId="4" borderId="44" xfId="6381" applyFont="1" applyFill="1" applyBorder="1" applyAlignment="1">
      <alignment horizontal="center"/>
    </xf>
    <xf numFmtId="0" fontId="41" fillId="4" borderId="64" xfId="6381" applyFont="1" applyFill="1" applyBorder="1" applyAlignment="1">
      <alignment horizontal="center"/>
    </xf>
    <xf numFmtId="0" fontId="41" fillId="4" borderId="288" xfId="6381" applyFont="1" applyFill="1" applyBorder="1" applyAlignment="1">
      <alignment horizontal="center"/>
    </xf>
    <xf numFmtId="0" fontId="41" fillId="4" borderId="113" xfId="6381" applyFont="1" applyFill="1" applyBorder="1" applyAlignment="1">
      <alignment horizontal="center"/>
    </xf>
    <xf numFmtId="0" fontId="41" fillId="4" borderId="231" xfId="6381" applyFont="1" applyFill="1" applyBorder="1" applyAlignment="1">
      <alignment horizontal="center"/>
    </xf>
    <xf numFmtId="0" fontId="41" fillId="4" borderId="4" xfId="6381" applyFont="1" applyFill="1" applyBorder="1"/>
    <xf numFmtId="0" fontId="10" fillId="11" borderId="9" xfId="6381" applyFont="1" applyFill="1" applyBorder="1" applyAlignment="1">
      <alignment horizontal="right"/>
    </xf>
    <xf numFmtId="0" fontId="10" fillId="11" borderId="26" xfId="6381" applyFont="1" applyFill="1" applyBorder="1" applyAlignment="1">
      <alignment horizontal="right"/>
    </xf>
    <xf numFmtId="0" fontId="10" fillId="11" borderId="289" xfId="6381" applyFont="1" applyFill="1" applyBorder="1" applyAlignment="1">
      <alignment horizontal="right"/>
    </xf>
    <xf numFmtId="0" fontId="10" fillId="11" borderId="39" xfId="6381" applyFont="1" applyFill="1" applyBorder="1" applyAlignment="1">
      <alignment horizontal="right"/>
    </xf>
    <xf numFmtId="0" fontId="10" fillId="11" borderId="5" xfId="6381" applyFont="1" applyFill="1" applyBorder="1" applyAlignment="1">
      <alignment horizontal="right"/>
    </xf>
    <xf numFmtId="0" fontId="41" fillId="4" borderId="290" xfId="6381" applyFont="1" applyFill="1" applyBorder="1"/>
    <xf numFmtId="0" fontId="10" fillId="11" borderId="291" xfId="6381" applyFont="1" applyFill="1" applyBorder="1" applyAlignment="1">
      <alignment horizontal="right"/>
    </xf>
    <xf numFmtId="0" fontId="10" fillId="11" borderId="292" xfId="6381" applyFont="1" applyFill="1" applyBorder="1" applyAlignment="1">
      <alignment horizontal="right"/>
    </xf>
    <xf numFmtId="0" fontId="10" fillId="11" borderId="293" xfId="6381" applyFont="1" applyFill="1" applyBorder="1" applyAlignment="1">
      <alignment horizontal="right"/>
    </xf>
    <xf numFmtId="0" fontId="10" fillId="11" borderId="294" xfId="6381" applyFont="1" applyFill="1" applyBorder="1" applyAlignment="1">
      <alignment horizontal="right"/>
    </xf>
    <xf numFmtId="0" fontId="10" fillId="11" borderId="295" xfId="6381" applyFont="1" applyFill="1" applyBorder="1" applyAlignment="1">
      <alignment horizontal="right"/>
    </xf>
    <xf numFmtId="0" fontId="41" fillId="4" borderId="12" xfId="6381" applyFont="1" applyFill="1" applyBorder="1"/>
    <xf numFmtId="0" fontId="10" fillId="11" borderId="159" xfId="6381" applyFont="1" applyFill="1" applyBorder="1" applyAlignment="1">
      <alignment horizontal="right"/>
    </xf>
    <xf numFmtId="214" fontId="10" fillId="11" borderId="296" xfId="6381" applyNumberFormat="1" applyFont="1" applyFill="1" applyBorder="1"/>
    <xf numFmtId="0" fontId="10" fillId="11" borderId="158" xfId="6381" applyFont="1" applyFill="1" applyBorder="1" applyAlignment="1">
      <alignment horizontal="right"/>
    </xf>
    <xf numFmtId="0" fontId="10" fillId="11" borderId="14" xfId="6381" applyFont="1" applyFill="1" applyBorder="1" applyAlignment="1">
      <alignment horizontal="right"/>
    </xf>
    <xf numFmtId="0" fontId="227" fillId="11" borderId="0" xfId="6381" applyFont="1" applyFill="1" applyBorder="1"/>
    <xf numFmtId="0" fontId="35" fillId="11" borderId="0" xfId="6381" applyFont="1" applyFill="1" applyAlignment="1">
      <alignment vertical="center"/>
    </xf>
    <xf numFmtId="0" fontId="18" fillId="11" borderId="0" xfId="6381" applyFont="1" applyFill="1" applyBorder="1"/>
    <xf numFmtId="0" fontId="34" fillId="4" borderId="35" xfId="6381" applyFont="1" applyFill="1" applyBorder="1" applyAlignment="1">
      <alignment horizontal="center"/>
    </xf>
    <xf numFmtId="0" fontId="34" fillId="11" borderId="0" xfId="6381" applyFont="1" applyFill="1" applyBorder="1" applyAlignment="1">
      <alignment horizontal="center"/>
    </xf>
    <xf numFmtId="0" fontId="41" fillId="4" borderId="44" xfId="6381" applyFont="1" applyFill="1" applyBorder="1" applyAlignment="1">
      <alignment horizontal="center"/>
    </xf>
    <xf numFmtId="0" fontId="41" fillId="4" borderId="301" xfId="6381" applyFont="1" applyFill="1" applyBorder="1" applyAlignment="1">
      <alignment horizontal="center"/>
    </xf>
    <xf numFmtId="276" fontId="41" fillId="4" borderId="40" xfId="6381" applyNumberFormat="1" applyFont="1" applyFill="1" applyBorder="1" applyAlignment="1">
      <alignment horizontal="left"/>
    </xf>
    <xf numFmtId="172" fontId="10" fillId="11" borderId="9" xfId="6381" applyNumberFormat="1" applyFont="1" applyFill="1" applyBorder="1"/>
    <xf numFmtId="172" fontId="10" fillId="11" borderId="273" xfId="6381" applyNumberFormat="1" applyFont="1" applyFill="1" applyBorder="1"/>
    <xf numFmtId="172" fontId="10" fillId="11" borderId="38" xfId="6381" applyNumberFormat="1" applyFont="1" applyFill="1" applyBorder="1"/>
    <xf numFmtId="276" fontId="41" fillId="4" borderId="302" xfId="6381" applyNumberFormat="1" applyFont="1" applyFill="1" applyBorder="1" applyAlignment="1">
      <alignment horizontal="left"/>
    </xf>
    <xf numFmtId="172" fontId="10" fillId="11" borderId="291" xfId="6381" applyNumberFormat="1" applyFont="1" applyFill="1" applyBorder="1"/>
    <xf numFmtId="172" fontId="10" fillId="11" borderId="303" xfId="6381" applyNumberFormat="1" applyFont="1" applyFill="1" applyBorder="1"/>
    <xf numFmtId="172" fontId="10" fillId="11" borderId="304" xfId="6381" applyNumberFormat="1" applyFont="1" applyFill="1" applyBorder="1"/>
    <xf numFmtId="214" fontId="10" fillId="11" borderId="303" xfId="6381" applyNumberFormat="1" applyFont="1" applyFill="1" applyBorder="1"/>
    <xf numFmtId="214" fontId="10" fillId="11" borderId="291" xfId="6381" applyNumberFormat="1" applyFont="1" applyFill="1" applyBorder="1"/>
    <xf numFmtId="276" fontId="41" fillId="4" borderId="222" xfId="6381" applyNumberFormat="1" applyFont="1" applyFill="1" applyBorder="1" applyAlignment="1">
      <alignment horizontal="left"/>
    </xf>
    <xf numFmtId="172" fontId="10" fillId="11" borderId="159" xfId="6381" applyNumberFormat="1" applyFont="1" applyFill="1" applyBorder="1"/>
    <xf numFmtId="172" fontId="10" fillId="11" borderId="160" xfId="6381" applyNumberFormat="1" applyFont="1" applyFill="1" applyBorder="1"/>
    <xf numFmtId="276" fontId="49" fillId="11" borderId="0" xfId="6381" applyNumberFormat="1" applyFont="1" applyFill="1" applyBorder="1" applyAlignment="1">
      <alignment horizontal="left"/>
    </xf>
    <xf numFmtId="211" fontId="10" fillId="11" borderId="0" xfId="6381" applyNumberFormat="1" applyFont="1" applyFill="1" applyBorder="1"/>
    <xf numFmtId="0" fontId="49" fillId="11" borderId="0" xfId="6381" applyFont="1" applyFill="1" applyAlignment="1">
      <alignment vertical="center"/>
    </xf>
    <xf numFmtId="0" fontId="342" fillId="11" borderId="0" xfId="2" applyFont="1" applyFill="1" applyAlignment="1">
      <alignment vertical="center"/>
    </xf>
    <xf numFmtId="0" fontId="342" fillId="11" borderId="0" xfId="5493" applyFont="1" applyFill="1" applyAlignment="1">
      <alignment vertical="center"/>
    </xf>
    <xf numFmtId="0" fontId="16" fillId="11" borderId="0" xfId="2" applyFont="1" applyFill="1" applyAlignment="1">
      <alignment horizontal="left" vertical="center"/>
    </xf>
    <xf numFmtId="0" fontId="342" fillId="11" borderId="0" xfId="2" applyFont="1" applyFill="1"/>
    <xf numFmtId="0" fontId="3" fillId="100" borderId="27" xfId="2" applyFont="1" applyFill="1" applyBorder="1" applyAlignment="1">
      <alignment horizontal="center"/>
    </xf>
    <xf numFmtId="0" fontId="343" fillId="11" borderId="0" xfId="5493" applyFont="1" applyFill="1" applyAlignment="1">
      <alignment vertical="center"/>
    </xf>
    <xf numFmtId="0" fontId="3" fillId="100" borderId="32" xfId="2" applyFont="1" applyFill="1" applyBorder="1" applyAlignment="1">
      <alignment horizontal="center"/>
    </xf>
    <xf numFmtId="0" fontId="3" fillId="100" borderId="236" xfId="2" applyFont="1" applyFill="1" applyBorder="1" applyAlignment="1">
      <alignment horizontal="center" vertical="center"/>
    </xf>
    <xf numFmtId="0" fontId="3" fillId="100" borderId="48" xfId="2" applyFont="1" applyFill="1" applyBorder="1" applyAlignment="1">
      <alignment horizontal="center"/>
    </xf>
    <xf numFmtId="0" fontId="3" fillId="100" borderId="24" xfId="2" applyFont="1" applyFill="1" applyBorder="1" applyAlignment="1">
      <alignment horizontal="center" vertical="top"/>
    </xf>
    <xf numFmtId="0" fontId="3" fillId="100" borderId="32" xfId="2" applyFont="1" applyFill="1" applyBorder="1" applyAlignment="1">
      <alignment vertical="center"/>
    </xf>
    <xf numFmtId="3" fontId="23" fillId="11" borderId="59" xfId="2" applyNumberFormat="1" applyFont="1" applyFill="1" applyBorder="1" applyAlignment="1">
      <alignment horizontal="center" vertical="center"/>
    </xf>
    <xf numFmtId="3" fontId="23" fillId="11" borderId="19" xfId="2" applyNumberFormat="1" applyFont="1" applyFill="1" applyBorder="1" applyAlignment="1">
      <alignment horizontal="center" vertical="center"/>
    </xf>
    <xf numFmtId="3" fontId="342" fillId="11" borderId="0" xfId="5493" applyNumberFormat="1" applyFont="1" applyFill="1" applyAlignment="1">
      <alignment vertical="center"/>
    </xf>
    <xf numFmtId="169" fontId="343" fillId="11" borderId="0" xfId="5493" applyNumberFormat="1" applyFont="1" applyFill="1" applyAlignment="1">
      <alignment vertical="center"/>
    </xf>
    <xf numFmtId="3" fontId="23" fillId="0" borderId="19" xfId="2" applyNumberFormat="1" applyFont="1" applyFill="1" applyBorder="1" applyAlignment="1">
      <alignment horizontal="center" vertical="center"/>
    </xf>
    <xf numFmtId="0" fontId="342" fillId="11" borderId="0" xfId="5493" applyFont="1" applyFill="1" applyAlignment="1">
      <alignment horizontal="right" vertical="center"/>
    </xf>
    <xf numFmtId="169" fontId="342" fillId="11" borderId="0" xfId="5493" applyNumberFormat="1" applyFont="1" applyFill="1" applyAlignment="1">
      <alignment vertical="center"/>
    </xf>
    <xf numFmtId="0" fontId="3" fillId="100" borderId="305" xfId="2" applyFont="1" applyFill="1" applyBorder="1" applyAlignment="1">
      <alignment horizontal="left" vertical="center"/>
    </xf>
    <xf numFmtId="3" fontId="88" fillId="16" borderId="306" xfId="2" applyNumberFormat="1" applyFont="1" applyFill="1" applyBorder="1" applyAlignment="1">
      <alignment horizontal="center" vertical="center"/>
    </xf>
    <xf numFmtId="3" fontId="88" fillId="13" borderId="306" xfId="2" applyNumberFormat="1" applyFont="1" applyFill="1" applyBorder="1" applyAlignment="1">
      <alignment horizontal="center" vertical="center"/>
    </xf>
    <xf numFmtId="3" fontId="88" fillId="13" borderId="307" xfId="2" applyNumberFormat="1" applyFont="1" applyFill="1" applyBorder="1" applyAlignment="1">
      <alignment horizontal="center" vertical="center"/>
    </xf>
    <xf numFmtId="248" fontId="342" fillId="11" borderId="0" xfId="5960" applyNumberFormat="1" applyFont="1" applyFill="1" applyAlignment="1">
      <alignment vertical="center"/>
    </xf>
    <xf numFmtId="3" fontId="342" fillId="11" borderId="0" xfId="2" applyNumberFormat="1" applyFont="1" applyFill="1"/>
    <xf numFmtId="0" fontId="11" fillId="11" borderId="0" xfId="6391" applyFont="1" applyFill="1"/>
    <xf numFmtId="3" fontId="342" fillId="11" borderId="0" xfId="2" applyNumberFormat="1" applyFont="1" applyFill="1" applyAlignment="1">
      <alignment vertical="center"/>
    </xf>
    <xf numFmtId="0" fontId="285" fillId="11" borderId="0" xfId="5342" applyFont="1" applyFill="1" applyAlignment="1">
      <alignment vertical="center"/>
    </xf>
    <xf numFmtId="0" fontId="286" fillId="11" borderId="0" xfId="5342" applyFont="1" applyFill="1" applyAlignment="1">
      <alignment vertical="center"/>
    </xf>
    <xf numFmtId="0" fontId="62" fillId="11" borderId="0" xfId="5342" applyFont="1" applyFill="1" applyAlignment="1">
      <alignment vertical="center"/>
    </xf>
    <xf numFmtId="0" fontId="62" fillId="11" borderId="0" xfId="5342" applyFont="1" applyFill="1" applyAlignment="1">
      <alignment horizontal="center" vertical="center"/>
    </xf>
    <xf numFmtId="0" fontId="289" fillId="11" borderId="0" xfId="5342" applyFont="1" applyFill="1" applyBorder="1" applyAlignment="1">
      <alignment horizontal="right" vertical="center"/>
    </xf>
    <xf numFmtId="0" fontId="11" fillId="11" borderId="6" xfId="5342" applyFont="1" applyFill="1" applyBorder="1" applyAlignment="1">
      <alignment horizontal="right" vertical="center"/>
    </xf>
    <xf numFmtId="0" fontId="9" fillId="11" borderId="0" xfId="5342" applyFont="1" applyFill="1" applyAlignment="1">
      <alignment vertical="center" wrapText="1"/>
    </xf>
    <xf numFmtId="0" fontId="5" fillId="11" borderId="0" xfId="5342" applyFont="1" applyFill="1" applyAlignment="1">
      <alignment vertical="center" wrapText="1"/>
    </xf>
    <xf numFmtId="0" fontId="3" fillId="4" borderId="99" xfId="5342" applyFont="1" applyFill="1" applyBorder="1" applyAlignment="1">
      <alignment horizontal="center" vertical="center" wrapText="1"/>
    </xf>
    <xf numFmtId="0" fontId="23" fillId="4" borderId="99" xfId="5342" applyFont="1" applyFill="1" applyBorder="1" applyAlignment="1">
      <alignment vertical="center" wrapText="1"/>
    </xf>
    <xf numFmtId="3" fontId="23" fillId="11" borderId="9" xfId="5342" applyNumberFormat="1" applyFont="1" applyFill="1" applyBorder="1" applyAlignment="1">
      <alignment horizontal="center" vertical="center"/>
    </xf>
    <xf numFmtId="37" fontId="23" fillId="11" borderId="9" xfId="5342" applyNumberFormat="1" applyFont="1" applyFill="1" applyBorder="1" applyAlignment="1">
      <alignment horizontal="center" vertical="center" wrapText="1"/>
    </xf>
    <xf numFmtId="37" fontId="5" fillId="11" borderId="0" xfId="5342" applyNumberFormat="1" applyFont="1" applyFill="1" applyAlignment="1">
      <alignment vertical="center" wrapText="1"/>
    </xf>
    <xf numFmtId="0" fontId="26" fillId="4" borderId="99" xfId="5342" applyFont="1" applyFill="1" applyBorder="1" applyAlignment="1">
      <alignment vertical="center" wrapText="1"/>
    </xf>
    <xf numFmtId="37" fontId="26" fillId="11" borderId="9" xfId="5342" applyNumberFormat="1" applyFont="1" applyFill="1" applyBorder="1" applyAlignment="1">
      <alignment horizontal="center" vertical="center" wrapText="1"/>
    </xf>
    <xf numFmtId="3" fontId="26" fillId="11" borderId="9" xfId="5342" applyNumberFormat="1" applyFont="1" applyFill="1" applyBorder="1" applyAlignment="1">
      <alignment horizontal="center" vertical="center"/>
    </xf>
    <xf numFmtId="277" fontId="9" fillId="11" borderId="0" xfId="4542" applyNumberFormat="1" applyFont="1" applyFill="1" applyAlignment="1">
      <alignment vertical="center" wrapText="1"/>
    </xf>
    <xf numFmtId="3" fontId="3" fillId="11" borderId="310" xfId="5342" applyNumberFormat="1" applyFont="1" applyFill="1" applyBorder="1" applyAlignment="1">
      <alignment horizontal="center" vertical="center"/>
    </xf>
    <xf numFmtId="0" fontId="39" fillId="11" borderId="105" xfId="5342" applyFont="1" applyFill="1" applyBorder="1" applyAlignment="1">
      <alignment vertical="center"/>
    </xf>
    <xf numFmtId="0" fontId="5" fillId="11" borderId="0" xfId="5342" applyFont="1" applyFill="1" applyAlignment="1">
      <alignment vertical="center"/>
    </xf>
    <xf numFmtId="0" fontId="11" fillId="11" borderId="0" xfId="5342" applyFont="1" applyFill="1" applyBorder="1" applyAlignment="1">
      <alignment vertical="center"/>
    </xf>
    <xf numFmtId="0" fontId="39" fillId="11" borderId="0" xfId="5342" applyFont="1" applyFill="1" applyBorder="1" applyAlignment="1">
      <alignment vertical="center"/>
    </xf>
    <xf numFmtId="0" fontId="26" fillId="11" borderId="0" xfId="5342" applyFont="1" applyFill="1"/>
    <xf numFmtId="0" fontId="289" fillId="11" borderId="0" xfId="5342" applyFont="1" applyFill="1" applyAlignment="1">
      <alignment vertical="center"/>
    </xf>
    <xf numFmtId="277" fontId="289" fillId="11" borderId="0" xfId="5342" applyNumberFormat="1" applyFont="1" applyFill="1" applyAlignment="1">
      <alignment horizontal="center" vertical="center"/>
    </xf>
    <xf numFmtId="0" fontId="286" fillId="11" borderId="0" xfId="5342" applyFont="1" applyFill="1" applyAlignment="1">
      <alignment horizontal="center" vertical="center"/>
    </xf>
    <xf numFmtId="3" fontId="286" fillId="11" borderId="0" xfId="5342" applyNumberFormat="1" applyFont="1" applyFill="1" applyAlignment="1">
      <alignment vertical="center"/>
    </xf>
    <xf numFmtId="3" fontId="286" fillId="11" borderId="0" xfId="5342" applyNumberFormat="1" applyFont="1" applyFill="1" applyAlignment="1">
      <alignment horizontal="center" vertical="center"/>
    </xf>
    <xf numFmtId="0" fontId="62" fillId="11" borderId="0" xfId="5342" applyNumberFormat="1" applyFont="1" applyFill="1" applyAlignment="1">
      <alignment vertical="center"/>
    </xf>
    <xf numFmtId="3" fontId="62" fillId="11" borderId="0" xfId="5342" applyNumberFormat="1" applyFont="1" applyFill="1" applyAlignment="1">
      <alignment vertical="center"/>
    </xf>
    <xf numFmtId="0" fontId="3" fillId="4" borderId="64" xfId="5342" applyNumberFormat="1" applyFont="1" applyFill="1" applyBorder="1" applyAlignment="1">
      <alignment horizontal="center" vertical="center"/>
    </xf>
    <xf numFmtId="49" fontId="3" fillId="4" borderId="64" xfId="5342" applyNumberFormat="1" applyFont="1" applyFill="1" applyBorder="1" applyAlignment="1">
      <alignment horizontal="center" vertical="center"/>
    </xf>
    <xf numFmtId="49" fontId="3" fillId="4" borderId="64" xfId="5342" applyNumberFormat="1" applyFont="1" applyFill="1" applyBorder="1" applyAlignment="1">
      <alignment horizontal="center" vertical="center" wrapText="1"/>
    </xf>
    <xf numFmtId="3" fontId="5" fillId="11" borderId="0" xfId="5342" applyNumberFormat="1" applyFont="1" applyFill="1" applyAlignment="1">
      <alignment vertical="center"/>
    </xf>
    <xf numFmtId="0" fontId="3" fillId="4" borderId="71" xfId="5342" applyFont="1" applyFill="1" applyBorder="1" applyAlignment="1">
      <alignment horizontal="left" vertical="center"/>
    </xf>
    <xf numFmtId="0" fontId="3" fillId="4" borderId="251" xfId="5342" applyFont="1" applyFill="1" applyBorder="1" applyAlignment="1">
      <alignment horizontal="left" vertical="center"/>
    </xf>
    <xf numFmtId="3" fontId="3" fillId="11" borderId="9" xfId="4542" applyNumberFormat="1" applyFont="1" applyFill="1" applyBorder="1" applyAlignment="1">
      <alignment horizontal="center" vertical="center"/>
    </xf>
    <xf numFmtId="3" fontId="9" fillId="11" borderId="0" xfId="5342" applyNumberFormat="1" applyFont="1" applyFill="1" applyAlignment="1">
      <alignment vertical="center"/>
    </xf>
    <xf numFmtId="0" fontId="9" fillId="11" borderId="0" xfId="5342" applyFont="1" applyFill="1" applyAlignment="1">
      <alignment vertical="center"/>
    </xf>
    <xf numFmtId="0" fontId="3" fillId="4" borderId="26" xfId="5342" applyFont="1" applyFill="1" applyBorder="1" applyAlignment="1">
      <alignment horizontal="left" vertical="center"/>
    </xf>
    <xf numFmtId="0" fontId="23" fillId="4" borderId="39" xfId="5342" applyFont="1" applyFill="1" applyBorder="1" applyAlignment="1">
      <alignment horizontal="left" vertical="center"/>
    </xf>
    <xf numFmtId="3" fontId="0" fillId="11" borderId="9" xfId="4542" applyNumberFormat="1" applyFont="1" applyFill="1" applyBorder="1" applyAlignment="1">
      <alignment horizontal="center" vertical="center"/>
    </xf>
    <xf numFmtId="0" fontId="23" fillId="4" borderId="26" xfId="5342" applyFont="1" applyFill="1" applyBorder="1" applyAlignment="1">
      <alignment horizontal="left" vertical="center"/>
    </xf>
    <xf numFmtId="43" fontId="0" fillId="11" borderId="9" xfId="6392" applyNumberFormat="1" applyFont="1" applyFill="1" applyBorder="1" applyAlignment="1">
      <alignment horizontal="center" vertical="center"/>
    </xf>
    <xf numFmtId="3" fontId="0" fillId="11" borderId="9" xfId="6392" applyNumberFormat="1" applyFont="1" applyFill="1" applyBorder="1" applyAlignment="1">
      <alignment horizontal="center" vertical="center"/>
    </xf>
    <xf numFmtId="0" fontId="23" fillId="4" borderId="26" xfId="5342" applyFont="1" applyFill="1" applyBorder="1" applyAlignment="1">
      <alignment horizontal="right" vertical="center"/>
    </xf>
    <xf numFmtId="3" fontId="3" fillId="11" borderId="10" xfId="4542" applyNumberFormat="1" applyFont="1" applyFill="1" applyBorder="1" applyAlignment="1">
      <alignment horizontal="center" vertical="center"/>
    </xf>
    <xf numFmtId="43" fontId="3" fillId="11" borderId="10" xfId="6392" applyNumberFormat="1" applyFont="1" applyFill="1" applyBorder="1" applyAlignment="1">
      <alignment horizontal="center" vertical="center"/>
    </xf>
    <xf numFmtId="0" fontId="11" fillId="11" borderId="0" xfId="5493" applyFont="1" applyFill="1" applyBorder="1" applyAlignment="1">
      <alignment vertical="center"/>
    </xf>
    <xf numFmtId="0" fontId="39" fillId="11" borderId="0" xfId="5342" applyFont="1" applyFill="1" applyAlignment="1">
      <alignment horizontal="right" vertical="top"/>
    </xf>
    <xf numFmtId="0" fontId="11" fillId="11" borderId="0" xfId="5493" applyFont="1" applyFill="1" applyBorder="1" applyAlignment="1">
      <alignment vertical="center" wrapText="1"/>
    </xf>
    <xf numFmtId="0" fontId="11" fillId="11" borderId="0" xfId="5342" applyFont="1" applyFill="1"/>
    <xf numFmtId="0" fontId="39" fillId="11" borderId="0" xfId="5342" applyFont="1" applyFill="1" applyAlignment="1">
      <alignment horizontal="right" vertical="center"/>
    </xf>
    <xf numFmtId="0" fontId="39" fillId="11" borderId="0" xfId="5342" applyFont="1" applyFill="1" applyAlignment="1">
      <alignment vertical="center"/>
    </xf>
    <xf numFmtId="0" fontId="5" fillId="11" borderId="0" xfId="5342" applyFont="1" applyFill="1" applyAlignment="1">
      <alignment horizontal="center" vertical="center"/>
    </xf>
    <xf numFmtId="1" fontId="5" fillId="11" borderId="0" xfId="5342" applyNumberFormat="1" applyFont="1" applyFill="1" applyAlignment="1">
      <alignment horizontal="center" vertical="center"/>
    </xf>
    <xf numFmtId="0" fontId="344" fillId="11" borderId="0" xfId="5342" applyFont="1" applyFill="1" applyAlignment="1">
      <alignment vertical="center"/>
    </xf>
    <xf numFmtId="0" fontId="285" fillId="0" borderId="0" xfId="5493" applyFont="1" applyFill="1" applyAlignment="1">
      <alignment vertical="center"/>
    </xf>
    <xf numFmtId="0" fontId="65" fillId="0" borderId="0" xfId="5493" applyFont="1" applyFill="1" applyAlignment="1">
      <alignment vertical="center"/>
    </xf>
    <xf numFmtId="0" fontId="62" fillId="0" borderId="0" xfId="5493" applyFont="1" applyFill="1" applyAlignment="1">
      <alignment vertical="center"/>
    </xf>
    <xf numFmtId="0" fontId="286" fillId="0" borderId="0" xfId="5493" applyFont="1" applyFill="1" applyAlignment="1">
      <alignment vertical="center"/>
    </xf>
    <xf numFmtId="0" fontId="62" fillId="0" borderId="0" xfId="5493" applyFont="1" applyAlignment="1">
      <alignment vertical="center"/>
    </xf>
    <xf numFmtId="0" fontId="289" fillId="0" borderId="6" xfId="5493" applyFont="1" applyBorder="1" applyAlignment="1">
      <alignment horizontal="right" vertical="center"/>
    </xf>
    <xf numFmtId="0" fontId="11" fillId="0" borderId="6" xfId="5493" applyFont="1" applyBorder="1" applyAlignment="1">
      <alignment horizontal="right" vertical="center"/>
    </xf>
    <xf numFmtId="0" fontId="5" fillId="0" borderId="0" xfId="5493" applyFont="1" applyAlignment="1">
      <alignment vertical="center"/>
    </xf>
    <xf numFmtId="0" fontId="3" fillId="4" borderId="104" xfId="5493" applyFont="1" applyFill="1" applyBorder="1" applyAlignment="1">
      <alignment horizontal="center" vertical="center"/>
    </xf>
    <xf numFmtId="0" fontId="23" fillId="4" borderId="103" xfId="5493" applyFont="1" applyFill="1" applyBorder="1" applyAlignment="1">
      <alignment vertical="center" wrapText="1"/>
    </xf>
    <xf numFmtId="3" fontId="23" fillId="0" borderId="98" xfId="5493" applyNumberFormat="1" applyFont="1" applyFill="1" applyBorder="1" applyAlignment="1">
      <alignment horizontal="center" vertical="center"/>
    </xf>
    <xf numFmtId="3" fontId="0" fillId="0" borderId="98" xfId="5493" applyNumberFormat="1" applyFont="1" applyFill="1" applyBorder="1" applyAlignment="1">
      <alignment horizontal="center" vertical="center"/>
    </xf>
    <xf numFmtId="0" fontId="3" fillId="4" borderId="99" xfId="5493" applyFont="1" applyFill="1" applyBorder="1" applyAlignment="1">
      <alignment horizontal="center" vertical="center"/>
    </xf>
    <xf numFmtId="0" fontId="23" fillId="4" borderId="99" xfId="5493" applyFont="1" applyFill="1" applyBorder="1" applyAlignment="1">
      <alignment vertical="center" wrapText="1"/>
    </xf>
    <xf numFmtId="37" fontId="23" fillId="0" borderId="9" xfId="5493" applyNumberFormat="1" applyFont="1" applyFill="1" applyBorder="1" applyAlignment="1">
      <alignment horizontal="center" vertical="center" wrapText="1"/>
    </xf>
    <xf numFmtId="37" fontId="5" fillId="0" borderId="0" xfId="5493" applyNumberFormat="1" applyFont="1" applyAlignment="1">
      <alignment vertical="center"/>
    </xf>
    <xf numFmtId="37" fontId="0" fillId="0" borderId="9" xfId="5493" applyNumberFormat="1" applyFont="1" applyFill="1" applyBorder="1" applyAlignment="1">
      <alignment horizontal="center" vertical="center" wrapText="1"/>
    </xf>
    <xf numFmtId="0" fontId="9" fillId="0" borderId="0" xfId="5493" applyFont="1" applyAlignment="1">
      <alignment horizontal="center" vertical="center"/>
    </xf>
    <xf numFmtId="3" fontId="3" fillId="0" borderId="95" xfId="5493" applyNumberFormat="1" applyFont="1" applyFill="1" applyBorder="1" applyAlignment="1">
      <alignment horizontal="center" vertical="center"/>
    </xf>
    <xf numFmtId="0" fontId="5" fillId="0" borderId="0" xfId="5493" applyFont="1" applyFill="1" applyAlignment="1">
      <alignment vertical="center"/>
    </xf>
    <xf numFmtId="0" fontId="11" fillId="0" borderId="0" xfId="5493" applyFont="1" applyFill="1" applyBorder="1" applyAlignment="1">
      <alignment horizontal="center" vertical="center" wrapText="1"/>
    </xf>
    <xf numFmtId="0" fontId="65" fillId="0" borderId="0" xfId="5493" applyNumberFormat="1" applyFont="1" applyFill="1" applyAlignment="1">
      <alignment horizontal="centerContinuous" vertical="center"/>
    </xf>
    <xf numFmtId="0" fontId="11" fillId="0" borderId="0" xfId="5493" applyFont="1" applyFill="1" applyAlignment="1">
      <alignment vertical="center"/>
    </xf>
    <xf numFmtId="3" fontId="62" fillId="0" borderId="0" xfId="5493" applyNumberFormat="1" applyFont="1" applyFill="1" applyAlignment="1">
      <alignment vertical="center"/>
    </xf>
    <xf numFmtId="0" fontId="62" fillId="0" borderId="0" xfId="5493" applyNumberFormat="1" applyFont="1" applyFill="1" applyAlignment="1">
      <alignment vertical="center"/>
    </xf>
    <xf numFmtId="0" fontId="5" fillId="0" borderId="0" xfId="5493" applyFont="1" applyFill="1" applyAlignment="1">
      <alignment horizontal="center" vertical="center"/>
    </xf>
    <xf numFmtId="0" fontId="11" fillId="0" borderId="6" xfId="5493" applyFont="1" applyFill="1" applyBorder="1" applyAlignment="1">
      <alignment horizontal="right" vertical="center"/>
    </xf>
    <xf numFmtId="0" fontId="3" fillId="4" borderId="64" xfId="5493" applyNumberFormat="1" applyFont="1" applyFill="1" applyBorder="1" applyAlignment="1">
      <alignment horizontal="center" vertical="center"/>
    </xf>
    <xf numFmtId="49" fontId="3" fillId="4" borderId="64" xfId="5493" applyNumberFormat="1" applyFont="1" applyFill="1" applyBorder="1" applyAlignment="1">
      <alignment horizontal="center" vertical="center"/>
    </xf>
    <xf numFmtId="49" fontId="3" fillId="4" borderId="64" xfId="5493" applyNumberFormat="1" applyFont="1" applyFill="1" applyBorder="1" applyAlignment="1">
      <alignment horizontal="center" vertical="center" wrapText="1"/>
    </xf>
    <xf numFmtId="0" fontId="9" fillId="0" borderId="0" xfId="5493" applyFont="1" applyFill="1" applyAlignment="1">
      <alignment vertical="center"/>
    </xf>
    <xf numFmtId="3" fontId="3" fillId="0" borderId="8" xfId="5493" applyNumberFormat="1" applyFont="1" applyFill="1" applyBorder="1" applyAlignment="1">
      <alignment horizontal="center" vertical="center"/>
    </xf>
    <xf numFmtId="3" fontId="5" fillId="0" borderId="0" xfId="5493" applyNumberFormat="1" applyFont="1" applyFill="1" applyAlignment="1">
      <alignment vertical="center"/>
    </xf>
    <xf numFmtId="3" fontId="3" fillId="0" borderId="9" xfId="5493" applyNumberFormat="1" applyFont="1" applyFill="1" applyBorder="1" applyAlignment="1">
      <alignment horizontal="center" vertical="center"/>
    </xf>
    <xf numFmtId="3" fontId="3" fillId="0" borderId="26" xfId="5493" applyNumberFormat="1" applyFont="1" applyFill="1" applyBorder="1" applyAlignment="1">
      <alignment horizontal="center" vertical="center"/>
    </xf>
    <xf numFmtId="0" fontId="23" fillId="4" borderId="26" xfId="5493" applyFont="1" applyFill="1" applyBorder="1" applyAlignment="1">
      <alignment horizontal="left" vertical="center"/>
    </xf>
    <xf numFmtId="0" fontId="23" fillId="4" borderId="39" xfId="5493" applyFont="1" applyFill="1" applyBorder="1" applyAlignment="1">
      <alignment vertical="center"/>
    </xf>
    <xf numFmtId="3" fontId="23" fillId="0" borderId="9" xfId="5493" applyNumberFormat="1" applyFont="1" applyFill="1" applyBorder="1" applyAlignment="1">
      <alignment horizontal="center" vertical="center"/>
    </xf>
    <xf numFmtId="3" fontId="23" fillId="0" borderId="26" xfId="5493" applyNumberFormat="1" applyFont="1" applyFill="1" applyBorder="1" applyAlignment="1">
      <alignment horizontal="center" vertical="center"/>
    </xf>
    <xf numFmtId="43" fontId="3" fillId="0" borderId="9" xfId="5493" applyNumberFormat="1" applyFont="1" applyFill="1" applyBorder="1" applyAlignment="1">
      <alignment horizontal="center" vertical="center"/>
    </xf>
    <xf numFmtId="3" fontId="23" fillId="0" borderId="311" xfId="5493" applyNumberFormat="1" applyFont="1" applyBorder="1" applyAlignment="1">
      <alignment horizontal="center" vertical="center"/>
    </xf>
    <xf numFmtId="3" fontId="0" fillId="0" borderId="9" xfId="5493" applyNumberFormat="1" applyFont="1" applyFill="1" applyBorder="1" applyAlignment="1">
      <alignment horizontal="center" vertical="center"/>
    </xf>
    <xf numFmtId="278" fontId="3" fillId="0" borderId="9" xfId="5493" applyNumberFormat="1" applyFont="1" applyFill="1" applyBorder="1" applyAlignment="1">
      <alignment horizontal="center" vertical="center"/>
    </xf>
    <xf numFmtId="3" fontId="23" fillId="0" borderId="98" xfId="5493" applyNumberFormat="1" applyFont="1" applyBorder="1" applyAlignment="1">
      <alignment horizontal="center" vertical="center"/>
    </xf>
    <xf numFmtId="0" fontId="3" fillId="4" borderId="26" xfId="5493" applyFont="1" applyFill="1" applyBorder="1" applyAlignment="1">
      <alignment horizontal="left" vertical="center"/>
    </xf>
    <xf numFmtId="43" fontId="23" fillId="0" borderId="9" xfId="5493" applyNumberFormat="1" applyFont="1" applyFill="1" applyBorder="1" applyAlignment="1">
      <alignment horizontal="center" vertical="center"/>
    </xf>
    <xf numFmtId="43" fontId="0" fillId="0" borderId="9" xfId="5493" applyNumberFormat="1" applyFont="1" applyFill="1" applyBorder="1" applyAlignment="1">
      <alignment horizontal="center" vertical="center"/>
    </xf>
    <xf numFmtId="0" fontId="23" fillId="4" borderId="26" xfId="5493" applyFont="1" applyFill="1" applyBorder="1" applyAlignment="1">
      <alignment horizontal="right" vertical="center"/>
    </xf>
    <xf numFmtId="0" fontId="23" fillId="4" borderId="39" xfId="5493" applyFont="1" applyFill="1" applyBorder="1" applyAlignment="1">
      <alignment horizontal="left" vertical="center"/>
    </xf>
    <xf numFmtId="43" fontId="3" fillId="0" borderId="26" xfId="5493" applyNumberFormat="1" applyFont="1" applyFill="1" applyBorder="1" applyAlignment="1">
      <alignment horizontal="center" vertical="center"/>
    </xf>
    <xf numFmtId="0" fontId="23" fillId="4" borderId="26" xfId="5493" applyFont="1" applyFill="1" applyBorder="1" applyAlignment="1">
      <alignment horizontal="center" vertical="center"/>
    </xf>
    <xf numFmtId="0" fontId="3" fillId="4" borderId="252" xfId="5493" applyFont="1" applyFill="1" applyBorder="1" applyAlignment="1">
      <alignment horizontal="left" vertical="center"/>
    </xf>
    <xf numFmtId="0" fontId="23" fillId="4" borderId="42" xfId="5493" applyFont="1" applyFill="1" applyBorder="1" applyAlignment="1">
      <alignment vertical="center"/>
    </xf>
    <xf numFmtId="3" fontId="3" fillId="0" borderId="252" xfId="5493" applyNumberFormat="1" applyFont="1" applyFill="1" applyBorder="1" applyAlignment="1">
      <alignment horizontal="center" vertical="center"/>
    </xf>
    <xf numFmtId="43" fontId="3" fillId="0" borderId="10" xfId="5493" applyNumberFormat="1" applyFont="1" applyFill="1" applyBorder="1" applyAlignment="1">
      <alignment horizontal="center" vertical="center"/>
    </xf>
    <xf numFmtId="0" fontId="5" fillId="11" borderId="0" xfId="5493" applyFont="1" applyFill="1" applyAlignment="1">
      <alignment vertical="center"/>
    </xf>
    <xf numFmtId="0" fontId="39" fillId="11" borderId="0" xfId="5493" applyFont="1" applyFill="1" applyAlignment="1">
      <alignment horizontal="right" vertical="top"/>
    </xf>
    <xf numFmtId="0" fontId="11" fillId="0" borderId="0" xfId="5493" applyFont="1"/>
    <xf numFmtId="0" fontId="39" fillId="0" borderId="0" xfId="5493" applyFont="1" applyFill="1" applyAlignment="1">
      <alignment horizontal="right" vertical="center"/>
    </xf>
    <xf numFmtId="0" fontId="39" fillId="0" borderId="0" xfId="5493" applyFont="1" applyAlignment="1">
      <alignment vertical="center"/>
    </xf>
    <xf numFmtId="43" fontId="62" fillId="0" borderId="0" xfId="5493" applyNumberFormat="1" applyFont="1" applyAlignment="1">
      <alignment vertical="center"/>
    </xf>
    <xf numFmtId="279" fontId="5" fillId="0" borderId="0" xfId="5493" applyNumberFormat="1" applyFont="1" applyFill="1" applyBorder="1" applyAlignment="1">
      <alignment horizontal="center" vertical="center"/>
    </xf>
    <xf numFmtId="0" fontId="347" fillId="0" borderId="0" xfId="5346" applyFont="1" applyBorder="1" applyAlignment="1">
      <alignment horizontal="left"/>
    </xf>
    <xf numFmtId="0" fontId="231" fillId="0" borderId="0" xfId="5346" applyFont="1" applyBorder="1" applyAlignment="1">
      <alignment horizontal="right"/>
    </xf>
    <xf numFmtId="0" fontId="348" fillId="120" borderId="312" xfId="5346" applyFont="1" applyFill="1" applyBorder="1" applyAlignment="1">
      <alignment vertical="center" wrapText="1"/>
    </xf>
    <xf numFmtId="3" fontId="348" fillId="120" borderId="209" xfId="5346" applyNumberFormat="1" applyFont="1" applyFill="1" applyBorder="1" applyAlignment="1">
      <alignment horizontal="center" vertical="center" wrapText="1"/>
    </xf>
    <xf numFmtId="3" fontId="348" fillId="120" borderId="157" xfId="5346" applyNumberFormat="1" applyFont="1" applyFill="1" applyBorder="1" applyAlignment="1">
      <alignment horizontal="center" vertical="center" wrapText="1"/>
    </xf>
    <xf numFmtId="0" fontId="280" fillId="0" borderId="35" xfId="5346" applyFont="1" applyBorder="1" applyAlignment="1">
      <alignment horizontal="right" wrapText="1"/>
    </xf>
    <xf numFmtId="3" fontId="280" fillId="0" borderId="271" xfId="5346" applyNumberFormat="1" applyFont="1" applyBorder="1" applyAlignment="1">
      <alignment horizontal="center" wrapText="1"/>
    </xf>
    <xf numFmtId="3" fontId="280" fillId="0" borderId="36" xfId="5346" applyNumberFormat="1" applyFont="1" applyBorder="1" applyAlignment="1">
      <alignment horizontal="center" wrapText="1"/>
    </xf>
    <xf numFmtId="0" fontId="2" fillId="0" borderId="0" xfId="5346" applyAlignment="1"/>
    <xf numFmtId="0" fontId="280" fillId="0" borderId="40" xfId="5346" applyFont="1" applyBorder="1" applyAlignment="1">
      <alignment horizontal="right" wrapText="1"/>
    </xf>
    <xf numFmtId="3" fontId="280" fillId="0" borderId="26" xfId="5346" applyNumberFormat="1" applyFont="1" applyBorder="1" applyAlignment="1">
      <alignment horizontal="center" wrapText="1"/>
    </xf>
    <xf numFmtId="3" fontId="280" fillId="0" borderId="38" xfId="5346" applyNumberFormat="1" applyFont="1" applyBorder="1" applyAlignment="1">
      <alignment horizontal="center" wrapText="1"/>
    </xf>
    <xf numFmtId="0" fontId="280" fillId="0" borderId="222" xfId="5346" applyFont="1" applyBorder="1" applyAlignment="1">
      <alignment horizontal="right" wrapText="1"/>
    </xf>
    <xf numFmtId="3" fontId="280" fillId="0" borderId="191" xfId="5346" applyNumberFormat="1" applyFont="1" applyBorder="1" applyAlignment="1">
      <alignment horizontal="center" wrapText="1"/>
    </xf>
    <xf numFmtId="3" fontId="280" fillId="0" borderId="160" xfId="5346" applyNumberFormat="1" applyFont="1" applyBorder="1" applyAlignment="1">
      <alignment horizontal="center" wrapText="1"/>
    </xf>
    <xf numFmtId="0" fontId="349" fillId="0" borderId="0" xfId="5346" applyFont="1"/>
    <xf numFmtId="0" fontId="352" fillId="0" borderId="0" xfId="5346" applyFont="1"/>
    <xf numFmtId="0" fontId="27" fillId="0" borderId="0" xfId="5342" applyFont="1"/>
    <xf numFmtId="0" fontId="354" fillId="0" borderId="0" xfId="6393" applyFont="1" applyAlignment="1">
      <alignment horizontal="right"/>
    </xf>
    <xf numFmtId="0" fontId="355" fillId="0" borderId="0" xfId="6393" applyFont="1" applyAlignment="1">
      <alignment horizontal="right"/>
    </xf>
    <xf numFmtId="3" fontId="356" fillId="0" borderId="0" xfId="5342" applyNumberFormat="1" applyFont="1" applyBorder="1" applyAlignment="1">
      <alignment horizontal="right"/>
    </xf>
    <xf numFmtId="0" fontId="124" fillId="121" borderId="313" xfId="6393" applyFont="1" applyFill="1" applyBorder="1" applyAlignment="1">
      <alignment horizontal="center" vertical="center" wrapText="1"/>
    </xf>
    <xf numFmtId="0" fontId="335" fillId="0" borderId="0" xfId="5342" applyFont="1"/>
    <xf numFmtId="0" fontId="124" fillId="121" borderId="45" xfId="6393" applyFont="1" applyFill="1" applyBorder="1" applyAlignment="1">
      <alignment horizontal="center" vertical="center" wrapText="1"/>
    </xf>
    <xf numFmtId="0" fontId="124" fillId="121" borderId="230" xfId="6393" applyFont="1" applyFill="1" applyBorder="1" applyAlignment="1">
      <alignment horizontal="center" vertical="center" wrapText="1"/>
    </xf>
    <xf numFmtId="0" fontId="18" fillId="121" borderId="40" xfId="6393" applyFont="1" applyFill="1" applyBorder="1"/>
    <xf numFmtId="0" fontId="256" fillId="121" borderId="26" xfId="6393" applyFont="1" applyFill="1" applyBorder="1" applyAlignment="1">
      <alignment horizontal="center" vertical="top" wrapText="1"/>
    </xf>
    <xf numFmtId="0" fontId="256" fillId="0" borderId="37" xfId="5342" applyFont="1" applyBorder="1"/>
    <xf numFmtId="167" fontId="256" fillId="0" borderId="226" xfId="5342" applyNumberFormat="1" applyFont="1" applyBorder="1"/>
    <xf numFmtId="3" fontId="124" fillId="0" borderId="226" xfId="6393" applyNumberFormat="1" applyFont="1" applyFill="1" applyBorder="1" applyAlignment="1"/>
    <xf numFmtId="0" fontId="256" fillId="0" borderId="0" xfId="5342" applyFont="1"/>
    <xf numFmtId="0" fontId="257" fillId="121" borderId="26" xfId="6393" applyFont="1" applyFill="1" applyBorder="1"/>
    <xf numFmtId="3" fontId="124" fillId="0" borderId="37" xfId="5342" applyNumberFormat="1" applyFont="1" applyBorder="1"/>
    <xf numFmtId="3" fontId="257" fillId="0" borderId="0" xfId="5342" applyNumberFormat="1" applyFont="1"/>
    <xf numFmtId="0" fontId="257" fillId="0" borderId="0" xfId="5342" applyFont="1"/>
    <xf numFmtId="0" fontId="256" fillId="121" borderId="26" xfId="6393" applyFont="1" applyFill="1" applyBorder="1"/>
    <xf numFmtId="3" fontId="142" fillId="0" borderId="37" xfId="5342" applyNumberFormat="1" applyFont="1" applyFill="1" applyBorder="1"/>
    <xf numFmtId="3" fontId="256" fillId="0" borderId="0" xfId="5342" applyNumberFormat="1" applyFont="1"/>
    <xf numFmtId="3" fontId="142" fillId="0" borderId="37" xfId="6393" applyNumberFormat="1" applyFont="1" applyFill="1" applyBorder="1" applyAlignment="1"/>
    <xf numFmtId="0" fontId="21" fillId="121" borderId="40" xfId="6393" applyFont="1" applyFill="1" applyBorder="1"/>
    <xf numFmtId="3" fontId="124" fillId="0" borderId="37" xfId="5342" applyNumberFormat="1" applyFont="1" applyFill="1" applyBorder="1"/>
    <xf numFmtId="0" fontId="259" fillId="121" borderId="40" xfId="6393" applyFont="1" applyFill="1" applyBorder="1"/>
    <xf numFmtId="0" fontId="355" fillId="121" borderId="26" xfId="6393" applyFont="1" applyFill="1" applyBorder="1"/>
    <xf numFmtId="3" fontId="356" fillId="0" borderId="37" xfId="6393" applyNumberFormat="1" applyFont="1" applyFill="1" applyBorder="1" applyAlignment="1"/>
    <xf numFmtId="3" fontId="355" fillId="0" borderId="0" xfId="5342" applyNumberFormat="1" applyFont="1"/>
    <xf numFmtId="0" fontId="355" fillId="0" borderId="0" xfId="5342" applyFont="1"/>
    <xf numFmtId="3" fontId="356" fillId="0" borderId="37" xfId="5342" applyNumberFormat="1" applyFont="1" applyFill="1" applyBorder="1"/>
    <xf numFmtId="0" fontId="354" fillId="121" borderId="40" xfId="6393" applyFont="1" applyFill="1" applyBorder="1"/>
    <xf numFmtId="3" fontId="142" fillId="0" borderId="37" xfId="4363" applyNumberFormat="1" applyFont="1" applyFill="1" applyBorder="1"/>
    <xf numFmtId="3" fontId="124" fillId="0" borderId="37" xfId="6393" applyNumberFormat="1" applyFont="1" applyFill="1" applyBorder="1" applyAlignment="1"/>
    <xf numFmtId="3" fontId="358" fillId="0" borderId="0" xfId="5342" applyNumberFormat="1" applyFont="1"/>
    <xf numFmtId="0" fontId="358" fillId="0" borderId="0" xfId="5342" applyFont="1"/>
    <xf numFmtId="0" fontId="359" fillId="0" borderId="0" xfId="5342" applyFont="1"/>
    <xf numFmtId="0" fontId="354" fillId="121" borderId="222" xfId="6393" applyFont="1" applyFill="1" applyBorder="1"/>
    <xf numFmtId="0" fontId="355" fillId="121" borderId="191" xfId="6393" applyFont="1" applyFill="1" applyBorder="1"/>
    <xf numFmtId="3" fontId="356" fillId="0" borderId="87" xfId="5342" applyNumberFormat="1" applyFont="1" applyFill="1" applyBorder="1"/>
    <xf numFmtId="1" fontId="360" fillId="0" borderId="0" xfId="5342" applyNumberFormat="1" applyFont="1"/>
    <xf numFmtId="0" fontId="27" fillId="0" borderId="0" xfId="5342" applyFont="1" applyBorder="1"/>
    <xf numFmtId="167" fontId="27" fillId="0" borderId="0" xfId="5342" applyNumberFormat="1" applyFont="1" applyBorder="1"/>
    <xf numFmtId="0" fontId="142" fillId="0" borderId="0" xfId="5342" applyFont="1" applyBorder="1"/>
    <xf numFmtId="0" fontId="259" fillId="0" borderId="0" xfId="5342" applyFont="1"/>
    <xf numFmtId="0" fontId="124" fillId="121" borderId="37" xfId="6393" applyFont="1" applyFill="1" applyBorder="1" applyAlignment="1">
      <alignment horizontal="center" vertical="center" wrapText="1"/>
    </xf>
    <xf numFmtId="0" fontId="124" fillId="121" borderId="226" xfId="6393" applyFont="1" applyFill="1" applyBorder="1" applyAlignment="1">
      <alignment horizontal="center" vertical="center" wrapText="1"/>
    </xf>
    <xf numFmtId="0" fontId="256" fillId="121" borderId="0" xfId="6393" applyFont="1" applyFill="1" applyBorder="1" applyAlignment="1">
      <alignment horizontal="center" vertical="top" wrapText="1"/>
    </xf>
    <xf numFmtId="0" fontId="256" fillId="0" borderId="226" xfId="5342" applyFont="1" applyBorder="1"/>
    <xf numFmtId="3" fontId="142" fillId="0" borderId="226" xfId="5342" applyNumberFormat="1" applyFont="1" applyBorder="1"/>
    <xf numFmtId="0" fontId="18" fillId="121" borderId="4" xfId="6393" applyFont="1" applyFill="1" applyBorder="1"/>
    <xf numFmtId="3" fontId="142" fillId="0" borderId="37" xfId="5342" applyNumberFormat="1" applyFont="1" applyBorder="1"/>
    <xf numFmtId="0" fontId="354" fillId="121" borderId="4" xfId="6393" applyFont="1" applyFill="1" applyBorder="1"/>
    <xf numFmtId="3" fontId="356" fillId="0" borderId="37" xfId="5342" applyNumberFormat="1" applyFont="1" applyBorder="1"/>
    <xf numFmtId="3" fontId="359" fillId="0" borderId="0" xfId="5342" applyNumberFormat="1" applyFont="1"/>
    <xf numFmtId="3" fontId="356" fillId="0" borderId="37" xfId="6393" applyNumberFormat="1" applyFont="1" applyBorder="1" applyAlignment="1"/>
    <xf numFmtId="3" fontId="142" fillId="0" borderId="37" xfId="6393" applyNumberFormat="1" applyFont="1" applyBorder="1" applyAlignment="1"/>
    <xf numFmtId="3" fontId="124" fillId="0" borderId="37" xfId="6393" applyNumberFormat="1" applyFont="1" applyBorder="1" applyAlignment="1"/>
    <xf numFmtId="0" fontId="361" fillId="0" borderId="0" xfId="5342" applyFont="1"/>
    <xf numFmtId="0" fontId="142" fillId="0" borderId="37" xfId="5342" applyFont="1" applyBorder="1"/>
    <xf numFmtId="0" fontId="18" fillId="121" borderId="222" xfId="6393" applyFont="1" applyFill="1" applyBorder="1"/>
    <xf numFmtId="0" fontId="257" fillId="121" borderId="191" xfId="6393" applyFont="1" applyFill="1" applyBorder="1"/>
    <xf numFmtId="0" fontId="256" fillId="0" borderId="12" xfId="5342" applyFont="1" applyBorder="1"/>
    <xf numFmtId="0" fontId="256" fillId="0" borderId="159" xfId="5342" applyFont="1" applyBorder="1"/>
    <xf numFmtId="0" fontId="256" fillId="0" borderId="14" xfId="5342" applyFont="1" applyBorder="1"/>
    <xf numFmtId="0" fontId="142" fillId="0" borderId="87" xfId="5342" applyFont="1" applyBorder="1"/>
    <xf numFmtId="0" fontId="334" fillId="0" borderId="0" xfId="6393" applyFont="1"/>
    <xf numFmtId="0" fontId="362" fillId="0" borderId="0" xfId="6393" applyFont="1" applyAlignment="1">
      <alignment horizontal="right"/>
    </xf>
    <xf numFmtId="167" fontId="335" fillId="0" borderId="0" xfId="5342" applyNumberFormat="1" applyFont="1"/>
    <xf numFmtId="0" fontId="362" fillId="0" borderId="0" xfId="5342" applyFont="1"/>
    <xf numFmtId="3" fontId="27" fillId="0" borderId="0" xfId="5342" applyNumberFormat="1" applyFont="1"/>
    <xf numFmtId="0" fontId="21" fillId="0" borderId="0" xfId="5342" applyFont="1"/>
    <xf numFmtId="219" fontId="142" fillId="0" borderId="0" xfId="5342" applyNumberFormat="1" applyFont="1"/>
    <xf numFmtId="167" fontId="27" fillId="0" borderId="0" xfId="5342" applyNumberFormat="1" applyFont="1"/>
    <xf numFmtId="0" fontId="18" fillId="11" borderId="0" xfId="5346" applyFont="1" applyFill="1" applyBorder="1" applyAlignment="1">
      <alignment horizontal="left" vertical="center"/>
    </xf>
    <xf numFmtId="0" fontId="186" fillId="11" borderId="0" xfId="5346" applyFont="1" applyFill="1" applyBorder="1" applyAlignment="1">
      <alignment vertical="center"/>
    </xf>
    <xf numFmtId="0" fontId="23" fillId="11" borderId="0" xfId="5346" applyFont="1" applyFill="1" applyBorder="1" applyAlignment="1">
      <alignment horizontal="left" vertical="center" indent="1"/>
    </xf>
    <xf numFmtId="0" fontId="23" fillId="11" borderId="0" xfId="5346" applyFont="1" applyFill="1" applyBorder="1" applyAlignment="1">
      <alignment vertical="center"/>
    </xf>
    <xf numFmtId="0" fontId="19" fillId="3" borderId="313" xfId="5346" applyFont="1" applyFill="1" applyBorder="1" applyAlignment="1">
      <alignment horizontal="center" vertical="center"/>
    </xf>
    <xf numFmtId="253" fontId="41" fillId="3" borderId="314" xfId="5346" applyNumberFormat="1" applyFont="1" applyFill="1" applyBorder="1" applyAlignment="1">
      <alignment horizontal="center" vertical="center"/>
    </xf>
    <xf numFmtId="253" fontId="41" fillId="3" borderId="300" xfId="5346" applyNumberFormat="1" applyFont="1" applyFill="1" applyBorder="1" applyAlignment="1">
      <alignment horizontal="center" vertical="center"/>
    </xf>
    <xf numFmtId="253" fontId="43" fillId="3" borderId="300" xfId="5346" applyNumberFormat="1" applyFont="1" applyFill="1" applyBorder="1" applyAlignment="1">
      <alignment horizontal="center" vertical="center"/>
    </xf>
    <xf numFmtId="0" fontId="3" fillId="11" borderId="0" xfId="5346" applyFont="1" applyFill="1" applyBorder="1" applyAlignment="1">
      <alignment horizontal="center" vertical="center"/>
    </xf>
    <xf numFmtId="0" fontId="19" fillId="3" borderId="37" xfId="5346" applyFont="1" applyFill="1" applyBorder="1" applyAlignment="1">
      <alignment vertical="center"/>
    </xf>
    <xf numFmtId="0" fontId="10" fillId="11" borderId="5" xfId="5346" applyFont="1" applyFill="1" applyBorder="1" applyAlignment="1">
      <alignment horizontal="center" vertical="center"/>
    </xf>
    <xf numFmtId="0" fontId="10" fillId="11" borderId="5" xfId="5346" applyFont="1" applyFill="1" applyBorder="1" applyAlignment="1">
      <alignment vertical="center"/>
    </xf>
    <xf numFmtId="0" fontId="19" fillId="11" borderId="5" xfId="5346" applyFont="1" applyFill="1" applyBorder="1" applyAlignment="1">
      <alignment vertical="center"/>
    </xf>
    <xf numFmtId="0" fontId="19" fillId="3" borderId="37" xfId="5346" applyFont="1" applyFill="1" applyBorder="1" applyAlignment="1">
      <alignment horizontal="left" vertical="center" indent="1"/>
    </xf>
    <xf numFmtId="0" fontId="19" fillId="3" borderId="37" xfId="5346" applyFont="1" applyFill="1" applyBorder="1" applyAlignment="1">
      <alignment horizontal="centerContinuous" vertical="center"/>
    </xf>
    <xf numFmtId="0" fontId="10" fillId="122" borderId="76" xfId="5346" applyFont="1" applyFill="1" applyBorder="1" applyAlignment="1">
      <alignment vertical="center"/>
    </xf>
    <xf numFmtId="0" fontId="10" fillId="122" borderId="178" xfId="5346" applyFont="1" applyFill="1" applyBorder="1" applyAlignment="1">
      <alignment vertical="center"/>
    </xf>
    <xf numFmtId="0" fontId="19" fillId="122" borderId="74" xfId="5346" applyFont="1" applyFill="1" applyBorder="1" applyAlignment="1">
      <alignment vertical="center"/>
    </xf>
    <xf numFmtId="277" fontId="10" fillId="11" borderId="5" xfId="4691" applyNumberFormat="1" applyFont="1" applyFill="1" applyBorder="1" applyAlignment="1">
      <alignment vertical="center"/>
    </xf>
    <xf numFmtId="277" fontId="19" fillId="11" borderId="5" xfId="4691" applyNumberFormat="1" applyFont="1" applyFill="1" applyBorder="1" applyAlignment="1">
      <alignment vertical="center"/>
    </xf>
    <xf numFmtId="277" fontId="23" fillId="11" borderId="0" xfId="4691" applyNumberFormat="1" applyFont="1" applyFill="1" applyBorder="1" applyAlignment="1">
      <alignment vertical="center"/>
    </xf>
    <xf numFmtId="165" fontId="10" fillId="11" borderId="5" xfId="4691" applyNumberFormat="1" applyFont="1" applyFill="1" applyBorder="1" applyAlignment="1">
      <alignment horizontal="center" vertical="center"/>
    </xf>
    <xf numFmtId="165" fontId="19" fillId="11" borderId="5" xfId="4691" applyNumberFormat="1" applyFont="1" applyFill="1" applyBorder="1" applyAlignment="1">
      <alignment horizontal="center" vertical="center"/>
    </xf>
    <xf numFmtId="0" fontId="23" fillId="11" borderId="0" xfId="5346" applyFont="1" applyFill="1" applyBorder="1" applyAlignment="1">
      <alignment horizontal="center" vertical="center"/>
    </xf>
    <xf numFmtId="277" fontId="19" fillId="3" borderId="37" xfId="4691" applyNumberFormat="1" applyFont="1" applyFill="1" applyBorder="1" applyAlignment="1">
      <alignment vertical="center"/>
    </xf>
    <xf numFmtId="277" fontId="19" fillId="3" borderId="37" xfId="4691" applyNumberFormat="1" applyFont="1" applyFill="1" applyBorder="1" applyAlignment="1">
      <alignment horizontal="left" vertical="center" indent="2"/>
    </xf>
    <xf numFmtId="167" fontId="10" fillId="11" borderId="5" xfId="5346" applyNumberFormat="1" applyFont="1" applyFill="1" applyBorder="1" applyAlignment="1">
      <alignment vertical="center"/>
    </xf>
    <xf numFmtId="167" fontId="19" fillId="11" borderId="5" xfId="5346" applyNumberFormat="1" applyFont="1" applyFill="1" applyBorder="1" applyAlignment="1">
      <alignment vertical="center"/>
    </xf>
    <xf numFmtId="0" fontId="145" fillId="3" borderId="37" xfId="5346" applyFont="1" applyFill="1" applyBorder="1" applyAlignment="1">
      <alignment vertical="center"/>
    </xf>
    <xf numFmtId="0" fontId="145" fillId="3" borderId="37" xfId="5346" applyFont="1" applyFill="1" applyBorder="1" applyAlignment="1">
      <alignment vertical="center" wrapText="1"/>
    </xf>
    <xf numFmtId="167" fontId="49" fillId="11" borderId="5" xfId="5346" applyNumberFormat="1" applyFont="1" applyFill="1" applyBorder="1" applyAlignment="1">
      <alignment vertical="center"/>
    </xf>
    <xf numFmtId="167" fontId="145" fillId="11" borderId="5" xfId="5346" applyNumberFormat="1" applyFont="1" applyFill="1" applyBorder="1" applyAlignment="1">
      <alignment vertical="center"/>
    </xf>
    <xf numFmtId="169" fontId="10" fillId="11" borderId="5" xfId="5346" applyNumberFormat="1" applyFont="1" applyFill="1" applyBorder="1" applyAlignment="1">
      <alignment vertical="center"/>
    </xf>
    <xf numFmtId="43" fontId="19" fillId="11" borderId="5" xfId="4691" applyFont="1" applyFill="1" applyBorder="1" applyAlignment="1">
      <alignment vertical="center"/>
    </xf>
    <xf numFmtId="169" fontId="19" fillId="11" borderId="5" xfId="5346" applyNumberFormat="1" applyFont="1" applyFill="1" applyBorder="1" applyAlignment="1">
      <alignment vertical="center"/>
    </xf>
    <xf numFmtId="0" fontId="267" fillId="3" borderId="87" xfId="5346" applyFont="1" applyFill="1" applyBorder="1" applyAlignment="1">
      <alignment horizontal="left" vertical="center" indent="1"/>
    </xf>
    <xf numFmtId="0" fontId="23" fillId="11" borderId="14" xfId="5346" applyFont="1" applyFill="1" applyBorder="1" applyAlignment="1">
      <alignment vertical="center"/>
    </xf>
    <xf numFmtId="0" fontId="27" fillId="11" borderId="14" xfId="5346" applyFont="1" applyFill="1" applyBorder="1" applyAlignment="1">
      <alignment vertical="center"/>
    </xf>
    <xf numFmtId="0" fontId="10" fillId="11" borderId="0" xfId="5346" applyFont="1" applyFill="1" applyBorder="1" applyAlignment="1">
      <alignment vertical="center"/>
    </xf>
    <xf numFmtId="0" fontId="49" fillId="11" borderId="0" xfId="5346" applyFont="1" applyFill="1" applyBorder="1" applyAlignment="1">
      <alignment horizontal="left" vertical="center" indent="1"/>
    </xf>
    <xf numFmtId="0" fontId="18" fillId="11" borderId="0" xfId="5346" applyFont="1" applyFill="1" applyBorder="1" applyAlignment="1">
      <alignment vertical="center"/>
    </xf>
    <xf numFmtId="0" fontId="2" fillId="11" borderId="0" xfId="5346" applyFill="1" applyBorder="1"/>
    <xf numFmtId="0" fontId="19" fillId="3" borderId="181" xfId="5346" applyFont="1" applyFill="1" applyBorder="1" applyAlignment="1">
      <alignment horizontal="center" vertical="center"/>
    </xf>
    <xf numFmtId="253" fontId="3" fillId="105" borderId="3" xfId="5346" applyNumberFormat="1" applyFont="1" applyFill="1" applyBorder="1" applyAlignment="1">
      <alignment horizontal="center" vertical="center"/>
    </xf>
    <xf numFmtId="253" fontId="3" fillId="105" borderId="36" xfId="5346" applyNumberFormat="1" applyFont="1" applyFill="1" applyBorder="1" applyAlignment="1">
      <alignment horizontal="center" vertical="center"/>
    </xf>
    <xf numFmtId="253" fontId="41" fillId="105" borderId="36" xfId="5346" applyNumberFormat="1" applyFont="1" applyFill="1" applyBorder="1" applyAlignment="1">
      <alignment horizontal="center" vertical="center"/>
    </xf>
    <xf numFmtId="253" fontId="41" fillId="3" borderId="36" xfId="5346" applyNumberFormat="1" applyFont="1" applyFill="1" applyBorder="1" applyAlignment="1">
      <alignment horizontal="center" vertical="center"/>
    </xf>
    <xf numFmtId="0" fontId="55" fillId="11" borderId="0" xfId="5346" applyFont="1" applyFill="1" applyAlignment="1">
      <alignment horizontal="center" vertical="center"/>
    </xf>
    <xf numFmtId="0" fontId="19" fillId="3" borderId="37" xfId="5346" applyFont="1" applyFill="1" applyBorder="1" applyAlignment="1">
      <alignment horizontal="center" vertical="center"/>
    </xf>
    <xf numFmtId="17" fontId="3" fillId="122" borderId="221" xfId="5346" applyNumberFormat="1" applyFont="1" applyFill="1" applyBorder="1" applyAlignment="1">
      <alignment vertical="center"/>
    </xf>
    <xf numFmtId="0" fontId="19" fillId="3" borderId="37" xfId="5346" applyFont="1" applyFill="1" applyBorder="1" applyAlignment="1">
      <alignment horizontal="left" vertical="center"/>
    </xf>
    <xf numFmtId="165" fontId="55" fillId="11" borderId="5" xfId="4691" applyNumberFormat="1" applyFont="1" applyFill="1" applyBorder="1" applyAlignment="1">
      <alignment horizontal="center" vertical="center"/>
    </xf>
    <xf numFmtId="165" fontId="363" fillId="11" borderId="5" xfId="4691" applyNumberFormat="1" applyFont="1" applyFill="1" applyBorder="1" applyAlignment="1">
      <alignment horizontal="center" vertical="center"/>
    </xf>
    <xf numFmtId="165" fontId="55" fillId="11" borderId="14" xfId="4691" applyNumberFormat="1" applyFont="1" applyFill="1" applyBorder="1" applyAlignment="1">
      <alignment horizontal="center" vertical="center"/>
    </xf>
    <xf numFmtId="0" fontId="55" fillId="122" borderId="5" xfId="5346" applyFont="1" applyFill="1" applyBorder="1" applyAlignment="1">
      <alignment horizontal="center" vertical="center"/>
    </xf>
    <xf numFmtId="165" fontId="55" fillId="11" borderId="3" xfId="4691" applyNumberFormat="1" applyFont="1" applyFill="1" applyBorder="1" applyAlignment="1">
      <alignment horizontal="center" vertical="center"/>
    </xf>
    <xf numFmtId="165" fontId="363" fillId="11" borderId="3" xfId="4691" applyNumberFormat="1" applyFont="1" applyFill="1" applyBorder="1" applyAlignment="1">
      <alignment horizontal="center" vertical="center"/>
    </xf>
    <xf numFmtId="0" fontId="19" fillId="3" borderId="87" xfId="5346" applyFont="1" applyFill="1" applyBorder="1" applyAlignment="1">
      <alignment horizontal="left" vertical="center"/>
    </xf>
    <xf numFmtId="212" fontId="23" fillId="11" borderId="14" xfId="5346" applyNumberFormat="1" applyFont="1" applyFill="1" applyBorder="1" applyAlignment="1">
      <alignment horizontal="center" vertical="center"/>
    </xf>
    <xf numFmtId="212" fontId="364" fillId="11" borderId="14" xfId="5346" applyNumberFormat="1" applyFont="1" applyFill="1" applyBorder="1" applyAlignment="1">
      <alignment horizontal="center" vertical="center"/>
    </xf>
    <xf numFmtId="0" fontId="236" fillId="11" borderId="0" xfId="5346" applyFont="1" applyFill="1" applyBorder="1"/>
    <xf numFmtId="0" fontId="27" fillId="11" borderId="0" xfId="5346" applyFont="1" applyFill="1" applyBorder="1" applyAlignment="1">
      <alignment vertical="center"/>
    </xf>
    <xf numFmtId="0" fontId="8" fillId="11" borderId="0" xfId="5463" applyFont="1" applyFill="1"/>
    <xf numFmtId="0" fontId="2" fillId="11" borderId="0" xfId="5346" applyFont="1" applyFill="1"/>
    <xf numFmtId="0" fontId="18" fillId="11" borderId="0" xfId="5463" applyFont="1" applyFill="1" applyAlignment="1">
      <alignment vertical="center" textRotation="135"/>
    </xf>
    <xf numFmtId="0" fontId="23" fillId="11" borderId="0" xfId="5463" applyFill="1"/>
    <xf numFmtId="0" fontId="365" fillId="3" borderId="27" xfId="5463" applyFont="1" applyFill="1" applyBorder="1" applyAlignment="1">
      <alignment vertical="center"/>
    </xf>
    <xf numFmtId="0" fontId="41" fillId="3" borderId="118" xfId="5463" applyFont="1" applyFill="1" applyBorder="1" applyAlignment="1">
      <alignment vertical="center"/>
    </xf>
    <xf numFmtId="0" fontId="41" fillId="3" borderId="30" xfId="5463" applyFont="1" applyFill="1" applyBorder="1" applyAlignment="1">
      <alignment vertical="center"/>
    </xf>
    <xf numFmtId="0" fontId="3" fillId="11" borderId="0" xfId="5463" applyFont="1" applyFill="1" applyAlignment="1">
      <alignment horizontal="center" vertical="center"/>
    </xf>
    <xf numFmtId="0" fontId="366" fillId="3" borderId="48" xfId="5463" applyFont="1" applyFill="1" applyBorder="1" applyAlignment="1">
      <alignment horizontal="center" vertical="center" wrapText="1"/>
    </xf>
    <xf numFmtId="0" fontId="43" fillId="3" borderId="119" xfId="5463" applyFont="1" applyFill="1" applyBorder="1" applyAlignment="1">
      <alignment horizontal="center" vertical="center" wrapText="1"/>
    </xf>
    <xf numFmtId="0" fontId="43" fillId="3" borderId="53" xfId="5463" applyFont="1" applyFill="1" applyBorder="1" applyAlignment="1">
      <alignment horizontal="center" vertical="center" wrapText="1"/>
    </xf>
    <xf numFmtId="0" fontId="43" fillId="3" borderId="60" xfId="5463" applyFont="1" applyFill="1" applyBorder="1" applyAlignment="1">
      <alignment horizontal="center" vertical="center" wrapText="1"/>
    </xf>
    <xf numFmtId="0" fontId="3" fillId="11" borderId="0" xfId="5463" applyFont="1" applyFill="1" applyAlignment="1">
      <alignment horizontal="center" vertical="center" wrapText="1"/>
    </xf>
    <xf numFmtId="17" fontId="43" fillId="105" borderId="32" xfId="5463" applyNumberFormat="1" applyFont="1" applyFill="1" applyBorder="1" applyAlignment="1">
      <alignment horizontal="left" vertical="center"/>
    </xf>
    <xf numFmtId="3" fontId="19" fillId="11" borderId="18" xfId="5463" applyNumberFormat="1" applyFont="1" applyFill="1" applyBorder="1" applyAlignment="1">
      <alignment horizontal="center" vertical="center"/>
    </xf>
    <xf numFmtId="3" fontId="19" fillId="11" borderId="37" xfId="5463" applyNumberFormat="1" applyFont="1" applyFill="1" applyBorder="1" applyAlignment="1">
      <alignment horizontal="center" vertical="center"/>
    </xf>
    <xf numFmtId="3" fontId="19" fillId="11" borderId="19" xfId="5463" applyNumberFormat="1" applyFont="1" applyFill="1" applyBorder="1" applyAlignment="1">
      <alignment horizontal="center" vertical="center"/>
    </xf>
    <xf numFmtId="3" fontId="19" fillId="11" borderId="59" xfId="5463" applyNumberFormat="1" applyFont="1" applyFill="1" applyBorder="1" applyAlignment="1">
      <alignment horizontal="center" vertical="center"/>
    </xf>
    <xf numFmtId="3" fontId="19" fillId="11" borderId="57" xfId="5463" applyNumberFormat="1" applyFont="1" applyFill="1" applyBorder="1" applyAlignment="1">
      <alignment horizontal="center" vertical="center"/>
    </xf>
    <xf numFmtId="17" fontId="43" fillId="3" borderId="32" xfId="5463" applyNumberFormat="1" applyFont="1" applyFill="1" applyBorder="1" applyAlignment="1">
      <alignment horizontal="left" vertical="center"/>
    </xf>
    <xf numFmtId="3" fontId="19" fillId="11" borderId="0" xfId="5463" applyNumberFormat="1" applyFont="1" applyFill="1" applyBorder="1" applyAlignment="1">
      <alignment horizontal="center" vertical="center"/>
    </xf>
    <xf numFmtId="17" fontId="43" fillId="3" borderId="18" xfId="5463" applyNumberFormat="1" applyFont="1" applyFill="1" applyBorder="1" applyAlignment="1">
      <alignment horizontal="left" vertical="center"/>
    </xf>
    <xf numFmtId="17" fontId="43" fillId="3" borderId="48" xfId="5463" applyNumberFormat="1" applyFont="1" applyFill="1" applyBorder="1" applyAlignment="1">
      <alignment horizontal="left" vertical="center"/>
    </xf>
    <xf numFmtId="3" fontId="19" fillId="11" borderId="51" xfId="5463" applyNumberFormat="1" applyFont="1" applyFill="1" applyBorder="1" applyAlignment="1">
      <alignment horizontal="center" vertical="center"/>
    </xf>
    <xf numFmtId="3" fontId="19" fillId="11" borderId="53" xfId="5463" applyNumberFormat="1" applyFont="1" applyFill="1" applyBorder="1" applyAlignment="1">
      <alignment horizontal="center" vertical="center"/>
    </xf>
    <xf numFmtId="3" fontId="19" fillId="11" borderId="60" xfId="5463" applyNumberFormat="1" applyFont="1" applyFill="1" applyBorder="1" applyAlignment="1">
      <alignment horizontal="center" vertical="center"/>
    </xf>
    <xf numFmtId="3" fontId="23" fillId="11" borderId="0" xfId="5463" applyNumberFormat="1" applyFill="1" applyBorder="1" applyAlignment="1">
      <alignment horizontal="right" vertical="center"/>
    </xf>
    <xf numFmtId="0" fontId="145" fillId="11" borderId="0" xfId="5463" applyFont="1" applyFill="1" applyAlignment="1">
      <alignment vertical="center"/>
    </xf>
    <xf numFmtId="0" fontId="236" fillId="11" borderId="0" xfId="5346" applyFont="1" applyFill="1"/>
    <xf numFmtId="0" fontId="18" fillId="11" borderId="0" xfId="6381" applyFont="1" applyFill="1" applyAlignment="1">
      <alignment vertical="center"/>
    </xf>
    <xf numFmtId="0" fontId="367" fillId="11" borderId="0" xfId="6381" applyFont="1" applyFill="1" applyAlignment="1">
      <alignment vertical="center"/>
    </xf>
    <xf numFmtId="0" fontId="55" fillId="11" borderId="0" xfId="6381" applyFont="1" applyFill="1" applyAlignment="1">
      <alignment vertical="center"/>
    </xf>
    <xf numFmtId="0" fontId="2" fillId="11" borderId="0" xfId="6381" applyFill="1" applyAlignment="1">
      <alignment vertical="center"/>
    </xf>
    <xf numFmtId="0" fontId="368" fillId="11" borderId="0" xfId="6381" applyFont="1" applyFill="1" applyAlignment="1">
      <alignment horizontal="right" vertical="center"/>
    </xf>
    <xf numFmtId="0" fontId="88" fillId="4" borderId="315" xfId="6381" applyFont="1" applyFill="1" applyBorder="1" applyAlignment="1">
      <alignment horizontal="center" vertical="center" wrapText="1"/>
    </xf>
    <xf numFmtId="0" fontId="369" fillId="4" borderId="316" xfId="6381" applyFont="1" applyFill="1" applyBorder="1" applyAlignment="1">
      <alignment horizontal="center" vertical="center" wrapText="1"/>
    </xf>
    <xf numFmtId="0" fontId="369" fillId="4" borderId="317" xfId="6381" applyFont="1" applyFill="1" applyBorder="1" applyAlignment="1">
      <alignment horizontal="center" vertical="center" wrapText="1"/>
    </xf>
    <xf numFmtId="0" fontId="88" fillId="11" borderId="0" xfId="6381" applyFont="1" applyFill="1" applyAlignment="1">
      <alignment horizontal="center" vertical="center"/>
    </xf>
    <xf numFmtId="0" fontId="213" fillId="11" borderId="0" xfId="6381" applyFont="1" applyFill="1" applyAlignment="1">
      <alignment horizontal="center" vertical="center"/>
    </xf>
    <xf numFmtId="17" fontId="88" fillId="11" borderId="318" xfId="6381" applyNumberFormat="1" applyFont="1" applyFill="1" applyBorder="1" applyAlignment="1">
      <alignment horizontal="center" vertical="center" wrapText="1"/>
    </xf>
    <xf numFmtId="165" fontId="55" fillId="11" borderId="319" xfId="4900" applyNumberFormat="1" applyFont="1" applyFill="1" applyBorder="1" applyAlignment="1">
      <alignment horizontal="right" vertical="center" wrapText="1"/>
    </xf>
    <xf numFmtId="165" fontId="55" fillId="11" borderId="320" xfId="4900" applyNumberFormat="1" applyFont="1" applyFill="1" applyBorder="1" applyAlignment="1">
      <alignment horizontal="right" vertical="center" wrapText="1"/>
    </xf>
    <xf numFmtId="165" fontId="55" fillId="11" borderId="321" xfId="4900" applyNumberFormat="1" applyFont="1" applyFill="1" applyBorder="1" applyAlignment="1">
      <alignment horizontal="right" vertical="center" wrapText="1"/>
    </xf>
    <xf numFmtId="17" fontId="88" fillId="11" borderId="322" xfId="6381" applyNumberFormat="1" applyFont="1" applyFill="1" applyBorder="1" applyAlignment="1">
      <alignment horizontal="center" vertical="center" wrapText="1"/>
    </xf>
    <xf numFmtId="165" fontId="55" fillId="11" borderId="323" xfId="4900" applyNumberFormat="1" applyFont="1" applyFill="1" applyBorder="1" applyAlignment="1">
      <alignment horizontal="right" vertical="center" wrapText="1"/>
    </xf>
    <xf numFmtId="165" fontId="55" fillId="11" borderId="324" xfId="4900" applyNumberFormat="1" applyFont="1" applyFill="1" applyBorder="1" applyAlignment="1">
      <alignment horizontal="right" vertical="center" wrapText="1"/>
    </xf>
    <xf numFmtId="165" fontId="55" fillId="11" borderId="325" xfId="4900" applyNumberFormat="1" applyFont="1" applyFill="1" applyBorder="1" applyAlignment="1">
      <alignment horizontal="right" vertical="center" wrapText="1"/>
    </xf>
    <xf numFmtId="17" fontId="88" fillId="11" borderId="326" xfId="6381" applyNumberFormat="1" applyFont="1" applyFill="1" applyBorder="1" applyAlignment="1">
      <alignment horizontal="center" vertical="center" wrapText="1"/>
    </xf>
    <xf numFmtId="165" fontId="55" fillId="11" borderId="327" xfId="4900" applyNumberFormat="1" applyFont="1" applyFill="1" applyBorder="1" applyAlignment="1">
      <alignment horizontal="right" vertical="center" wrapText="1"/>
    </xf>
    <xf numFmtId="165" fontId="55" fillId="11" borderId="328" xfId="4900" applyNumberFormat="1" applyFont="1" applyFill="1" applyBorder="1" applyAlignment="1">
      <alignment horizontal="right" vertical="center" wrapText="1"/>
    </xf>
    <xf numFmtId="17" fontId="88" fillId="11" borderId="329" xfId="6381" applyNumberFormat="1" applyFont="1" applyFill="1" applyBorder="1" applyAlignment="1">
      <alignment horizontal="center" vertical="center" wrapText="1"/>
    </xf>
    <xf numFmtId="165" fontId="55" fillId="11" borderId="330" xfId="4900" applyNumberFormat="1" applyFont="1" applyFill="1" applyBorder="1" applyAlignment="1">
      <alignment horizontal="right" vertical="center" wrapText="1"/>
    </xf>
    <xf numFmtId="165" fontId="55" fillId="11" borderId="331" xfId="4900" applyNumberFormat="1" applyFont="1" applyFill="1" applyBorder="1" applyAlignment="1">
      <alignment horizontal="right" vertical="center" wrapText="1"/>
    </xf>
    <xf numFmtId="0" fontId="2" fillId="11" borderId="0" xfId="6381" applyFill="1" applyBorder="1" applyAlignment="1">
      <alignment vertical="center"/>
    </xf>
    <xf numFmtId="0" fontId="26" fillId="11" borderId="0" xfId="6381" applyFont="1" applyFill="1" applyAlignment="1">
      <alignment vertical="center"/>
    </xf>
    <xf numFmtId="0" fontId="368" fillId="11" borderId="0" xfId="6381" applyFont="1" applyFill="1" applyAlignment="1">
      <alignment vertical="center"/>
    </xf>
    <xf numFmtId="0" fontId="55" fillId="11" borderId="0" xfId="6381" applyFont="1" applyFill="1" applyBorder="1" applyAlignment="1">
      <alignment vertical="center"/>
    </xf>
    <xf numFmtId="0" fontId="18" fillId="11" borderId="0" xfId="6391" applyFont="1" applyFill="1"/>
    <xf numFmtId="0" fontId="10" fillId="11" borderId="0" xfId="6391" applyFont="1" applyFill="1"/>
    <xf numFmtId="0" fontId="10" fillId="11" borderId="0" xfId="5537" applyFont="1" applyFill="1"/>
    <xf numFmtId="0" fontId="41" fillId="4" borderId="74" xfId="6391" applyFont="1" applyFill="1" applyBorder="1" applyAlignment="1">
      <alignment horizontal="center"/>
    </xf>
    <xf numFmtId="0" fontId="43" fillId="4" borderId="76" xfId="6391" applyFont="1" applyFill="1" applyBorder="1" applyAlignment="1">
      <alignment horizontal="center"/>
    </xf>
    <xf numFmtId="0" fontId="43" fillId="4" borderId="156" xfId="6391" applyFont="1" applyFill="1" applyBorder="1" applyAlignment="1">
      <alignment horizontal="center"/>
    </xf>
    <xf numFmtId="0" fontId="43" fillId="4" borderId="209" xfId="6391" applyFont="1" applyFill="1" applyBorder="1" applyAlignment="1">
      <alignment horizontal="center"/>
    </xf>
    <xf numFmtId="0" fontId="43" fillId="4" borderId="157" xfId="6391" applyFont="1" applyFill="1" applyBorder="1" applyAlignment="1">
      <alignment horizontal="center"/>
    </xf>
    <xf numFmtId="0" fontId="43" fillId="4" borderId="4" xfId="6391" applyFont="1" applyFill="1" applyBorder="1" applyAlignment="1">
      <alignment horizontal="left"/>
    </xf>
    <xf numFmtId="0" fontId="10" fillId="11" borderId="35" xfId="6391" applyFont="1" applyFill="1" applyBorder="1" applyAlignment="1">
      <alignment horizontal="left"/>
    </xf>
    <xf numFmtId="0" fontId="10" fillId="11" borderId="34" xfId="6391" applyFont="1" applyFill="1" applyBorder="1" applyAlignment="1">
      <alignment horizontal="left"/>
    </xf>
    <xf numFmtId="3" fontId="10" fillId="11" borderId="0" xfId="6401" applyNumberFormat="1" applyFont="1" applyFill="1" applyBorder="1" applyAlignment="1">
      <alignment horizontal="right"/>
    </xf>
    <xf numFmtId="3" fontId="10" fillId="11" borderId="34" xfId="6401" applyNumberFormat="1" applyFont="1" applyFill="1" applyBorder="1" applyAlignment="1">
      <alignment horizontal="right"/>
    </xf>
    <xf numFmtId="3" fontId="10" fillId="11" borderId="33" xfId="6401" applyNumberFormat="1" applyFont="1" applyFill="1" applyBorder="1" applyAlignment="1">
      <alignment horizontal="right"/>
    </xf>
    <xf numFmtId="3" fontId="10" fillId="11" borderId="26" xfId="6401" applyNumberFormat="1" applyFont="1" applyFill="1" applyBorder="1" applyAlignment="1">
      <alignment horizontal="right"/>
    </xf>
    <xf numFmtId="3" fontId="10" fillId="11" borderId="271" xfId="6401" applyNumberFormat="1" applyFont="1" applyFill="1" applyBorder="1" applyAlignment="1">
      <alignment horizontal="right"/>
    </xf>
    <xf numFmtId="3" fontId="10" fillId="11" borderId="9" xfId="6401" applyNumberFormat="1" applyFont="1" applyFill="1" applyBorder="1" applyAlignment="1">
      <alignment horizontal="right"/>
    </xf>
    <xf numFmtId="3" fontId="10" fillId="11" borderId="34" xfId="5537" applyNumberFormat="1" applyFont="1" applyFill="1" applyBorder="1" applyAlignment="1">
      <alignment horizontal="right"/>
    </xf>
    <xf numFmtId="0" fontId="10" fillId="11" borderId="271" xfId="5537" applyFont="1" applyFill="1" applyBorder="1" applyAlignment="1">
      <alignment horizontal="right"/>
    </xf>
    <xf numFmtId="0" fontId="10" fillId="11" borderId="36" xfId="5537" applyFont="1" applyFill="1" applyBorder="1" applyAlignment="1">
      <alignment horizontal="right"/>
    </xf>
    <xf numFmtId="0" fontId="10" fillId="11" borderId="40" xfId="6391" applyFont="1" applyFill="1" applyBorder="1" applyAlignment="1">
      <alignment horizontal="left"/>
    </xf>
    <xf numFmtId="0" fontId="10" fillId="11" borderId="9" xfId="6391" applyFont="1" applyFill="1" applyBorder="1" applyAlignment="1">
      <alignment horizontal="left"/>
    </xf>
    <xf numFmtId="3" fontId="10" fillId="11" borderId="39" xfId="6391" applyNumberFormat="1" applyFont="1" applyFill="1" applyBorder="1" applyAlignment="1">
      <alignment horizontal="right"/>
    </xf>
    <xf numFmtId="3" fontId="10" fillId="11" borderId="9" xfId="6391" applyNumberFormat="1" applyFont="1" applyFill="1" applyBorder="1" applyAlignment="1">
      <alignment horizontal="right"/>
    </xf>
    <xf numFmtId="3" fontId="10" fillId="11" borderId="39" xfId="6401" applyNumberFormat="1" applyFont="1" applyFill="1" applyBorder="1" applyAlignment="1">
      <alignment horizontal="right"/>
    </xf>
    <xf numFmtId="3" fontId="10" fillId="11" borderId="9" xfId="5537" applyNumberFormat="1" applyFont="1" applyFill="1" applyBorder="1" applyAlignment="1">
      <alignment horizontal="right"/>
    </xf>
    <xf numFmtId="3" fontId="10" fillId="11" borderId="9" xfId="5537" quotePrefix="1" applyNumberFormat="1" applyFont="1" applyFill="1" applyBorder="1" applyAlignment="1">
      <alignment horizontal="right"/>
    </xf>
    <xf numFmtId="3" fontId="10" fillId="11" borderId="26" xfId="5537" quotePrefix="1" applyNumberFormat="1" applyFont="1" applyFill="1" applyBorder="1" applyAlignment="1">
      <alignment horizontal="right"/>
    </xf>
    <xf numFmtId="3" fontId="10" fillId="11" borderId="38" xfId="5537" quotePrefix="1" applyNumberFormat="1" applyFont="1" applyFill="1" applyBorder="1" applyAlignment="1">
      <alignment horizontal="right"/>
    </xf>
    <xf numFmtId="3" fontId="10" fillId="11" borderId="9" xfId="6401" quotePrefix="1" applyNumberFormat="1" applyFont="1" applyFill="1" applyBorder="1" applyAlignment="1">
      <alignment horizontal="right"/>
    </xf>
    <xf numFmtId="3" fontId="10" fillId="11" borderId="26" xfId="6401" quotePrefix="1" applyNumberFormat="1" applyFont="1" applyFill="1" applyBorder="1" applyAlignment="1">
      <alignment horizontal="right"/>
    </xf>
    <xf numFmtId="3" fontId="10" fillId="11" borderId="38" xfId="6401" quotePrefix="1" applyNumberFormat="1" applyFont="1" applyFill="1" applyBorder="1" applyAlignment="1">
      <alignment horizontal="right"/>
    </xf>
    <xf numFmtId="0" fontId="10" fillId="0" borderId="40" xfId="6391" applyFont="1" applyFill="1" applyBorder="1" applyAlignment="1">
      <alignment horizontal="left"/>
    </xf>
    <xf numFmtId="0" fontId="10" fillId="0" borderId="9" xfId="6391" applyFont="1" applyFill="1" applyBorder="1" applyAlignment="1">
      <alignment horizontal="left"/>
    </xf>
    <xf numFmtId="169" fontId="10" fillId="0" borderId="39" xfId="6401" applyNumberFormat="1" applyFont="1" applyFill="1" applyBorder="1" applyAlignment="1">
      <alignment horizontal="right"/>
    </xf>
    <xf numFmtId="169" fontId="10" fillId="0" borderId="9" xfId="6401" applyNumberFormat="1" applyFont="1" applyFill="1" applyBorder="1" applyAlignment="1">
      <alignment horizontal="right"/>
    </xf>
    <xf numFmtId="169" fontId="10" fillId="0" borderId="26" xfId="6401" applyNumberFormat="1" applyFont="1" applyFill="1" applyBorder="1" applyAlignment="1">
      <alignment horizontal="right"/>
    </xf>
    <xf numFmtId="169" fontId="10" fillId="0" borderId="0" xfId="6401" applyNumberFormat="1" applyFont="1" applyFill="1" applyBorder="1" applyAlignment="1">
      <alignment horizontal="right"/>
    </xf>
    <xf numFmtId="280" fontId="10" fillId="0" borderId="26" xfId="4852" applyNumberFormat="1" applyFont="1" applyFill="1" applyBorder="1" applyAlignment="1">
      <alignment horizontal="right" wrapText="1" indent="1"/>
    </xf>
    <xf numFmtId="280" fontId="10" fillId="0" borderId="38" xfId="4852" applyNumberFormat="1" applyFont="1" applyFill="1" applyBorder="1" applyAlignment="1">
      <alignment horizontal="right" wrapText="1" indent="1"/>
    </xf>
    <xf numFmtId="3" fontId="10" fillId="0" borderId="9" xfId="6401" applyNumberFormat="1" applyFont="1" applyFill="1" applyBorder="1" applyAlignment="1">
      <alignment horizontal="right"/>
    </xf>
    <xf numFmtId="3" fontId="10" fillId="0" borderId="26" xfId="6401" applyNumberFormat="1" applyFont="1" applyFill="1" applyBorder="1" applyAlignment="1">
      <alignment horizontal="right"/>
    </xf>
    <xf numFmtId="3" fontId="10" fillId="0" borderId="0" xfId="6401" applyNumberFormat="1" applyFont="1" applyFill="1" applyBorder="1" applyAlignment="1">
      <alignment horizontal="right"/>
    </xf>
    <xf numFmtId="3" fontId="10" fillId="0" borderId="9" xfId="6401" quotePrefix="1" applyNumberFormat="1" applyFont="1" applyFill="1" applyBorder="1" applyAlignment="1">
      <alignment horizontal="right"/>
    </xf>
    <xf numFmtId="3" fontId="10" fillId="0" borderId="26" xfId="6401" quotePrefix="1" applyNumberFormat="1" applyFont="1" applyFill="1" applyBorder="1" applyAlignment="1">
      <alignment horizontal="right"/>
    </xf>
    <xf numFmtId="3" fontId="10" fillId="0" borderId="38" xfId="6401" quotePrefix="1" applyNumberFormat="1" applyFont="1" applyFill="1" applyBorder="1" applyAlignment="1">
      <alignment horizontal="right"/>
    </xf>
    <xf numFmtId="3" fontId="10" fillId="0" borderId="39" xfId="6391" applyNumberFormat="1" applyFont="1" applyFill="1" applyBorder="1" applyAlignment="1">
      <alignment horizontal="right"/>
    </xf>
    <xf numFmtId="3" fontId="10" fillId="0" borderId="9" xfId="6402" quotePrefix="1" applyNumberFormat="1" applyFont="1" applyFill="1" applyBorder="1" applyAlignment="1">
      <alignment horizontal="right"/>
    </xf>
    <xf numFmtId="0" fontId="43" fillId="4" borderId="4" xfId="6391" applyFont="1" applyFill="1" applyBorder="1" applyAlignment="1"/>
    <xf numFmtId="281" fontId="10" fillId="11" borderId="0" xfId="6401" applyNumberFormat="1" applyFont="1" applyFill="1" applyBorder="1"/>
    <xf numFmtId="281" fontId="10" fillId="11" borderId="9" xfId="6401" applyNumberFormat="1" applyFont="1" applyFill="1" applyBorder="1"/>
    <xf numFmtId="281" fontId="10" fillId="11" borderId="39" xfId="6401" applyNumberFormat="1" applyFont="1" applyFill="1" applyBorder="1"/>
    <xf numFmtId="281" fontId="10" fillId="11" borderId="26" xfId="6401" applyNumberFormat="1" applyFont="1" applyFill="1" applyBorder="1" applyAlignment="1">
      <alignment horizontal="right"/>
    </xf>
    <xf numFmtId="169" fontId="10" fillId="11" borderId="9" xfId="6401" applyNumberFormat="1" applyFont="1" applyFill="1" applyBorder="1" applyAlignment="1">
      <alignment horizontal="right"/>
    </xf>
    <xf numFmtId="169" fontId="10" fillId="11" borderId="26" xfId="6401" applyNumberFormat="1" applyFont="1" applyFill="1" applyBorder="1" applyAlignment="1">
      <alignment horizontal="right"/>
    </xf>
    <xf numFmtId="280" fontId="10" fillId="11" borderId="26" xfId="4852" applyNumberFormat="1" applyFont="1" applyFill="1" applyBorder="1" applyAlignment="1">
      <alignment horizontal="right" wrapText="1" indent="1"/>
    </xf>
    <xf numFmtId="280" fontId="10" fillId="11" borderId="38" xfId="4852" applyNumberFormat="1" applyFont="1" applyFill="1" applyBorder="1" applyAlignment="1">
      <alignment horizontal="right" wrapText="1" indent="1"/>
    </xf>
    <xf numFmtId="281" fontId="10" fillId="11" borderId="26" xfId="6401" applyNumberFormat="1" applyFont="1" applyFill="1" applyBorder="1"/>
    <xf numFmtId="281" fontId="10" fillId="11" borderId="26" xfId="4852" applyNumberFormat="1" applyFont="1" applyFill="1" applyBorder="1" applyAlignment="1">
      <alignment horizontal="right" wrapText="1" indent="1"/>
    </xf>
    <xf numFmtId="281" fontId="10" fillId="11" borderId="38" xfId="4852" applyNumberFormat="1" applyFont="1" applyFill="1" applyBorder="1" applyAlignment="1">
      <alignment horizontal="right" wrapText="1" indent="1"/>
    </xf>
    <xf numFmtId="169" fontId="10" fillId="11" borderId="0" xfId="6401" applyNumberFormat="1" applyFont="1" applyFill="1" applyBorder="1" applyAlignment="1">
      <alignment horizontal="right"/>
    </xf>
    <xf numFmtId="3" fontId="10" fillId="11" borderId="0" xfId="6391" applyNumberFormat="1" applyFont="1" applyFill="1" applyBorder="1" applyAlignment="1">
      <alignment horizontal="right"/>
    </xf>
    <xf numFmtId="282" fontId="10" fillId="11" borderId="39" xfId="6391" applyNumberFormat="1" applyFont="1" applyFill="1" applyBorder="1" applyAlignment="1">
      <alignment horizontal="right"/>
    </xf>
    <xf numFmtId="282" fontId="10" fillId="11" borderId="9" xfId="6391" quotePrefix="1" applyNumberFormat="1" applyFont="1" applyFill="1" applyBorder="1" applyAlignment="1">
      <alignment horizontal="right"/>
    </xf>
    <xf numFmtId="1" fontId="10" fillId="11" borderId="9" xfId="6391" quotePrefix="1" applyNumberFormat="1" applyFont="1" applyFill="1" applyBorder="1" applyAlignment="1">
      <alignment horizontal="right"/>
    </xf>
    <xf numFmtId="1" fontId="10" fillId="11" borderId="26" xfId="6391" quotePrefix="1" applyNumberFormat="1" applyFont="1" applyFill="1" applyBorder="1" applyAlignment="1">
      <alignment horizontal="right"/>
    </xf>
    <xf numFmtId="3" fontId="10" fillId="11" borderId="9" xfId="6402" quotePrefix="1" applyNumberFormat="1" applyFont="1" applyFill="1" applyBorder="1" applyAlignment="1">
      <alignment horizontal="right"/>
    </xf>
    <xf numFmtId="3" fontId="10" fillId="11" borderId="26" xfId="6402" quotePrefix="1" applyNumberFormat="1" applyFont="1" applyFill="1" applyBorder="1" applyAlignment="1">
      <alignment horizontal="right"/>
    </xf>
    <xf numFmtId="3" fontId="10" fillId="11" borderId="38" xfId="6402" quotePrefix="1" applyNumberFormat="1" applyFont="1" applyFill="1" applyBorder="1" applyAlignment="1">
      <alignment horizontal="right"/>
    </xf>
    <xf numFmtId="3" fontId="10" fillId="11" borderId="9" xfId="6391" quotePrefix="1" applyNumberFormat="1" applyFont="1" applyFill="1" applyBorder="1" applyAlignment="1">
      <alignment horizontal="right"/>
    </xf>
    <xf numFmtId="3" fontId="10" fillId="11" borderId="26" xfId="6391" quotePrefix="1" applyNumberFormat="1" applyFont="1" applyFill="1" applyBorder="1" applyAlignment="1">
      <alignment horizontal="right"/>
    </xf>
    <xf numFmtId="282" fontId="10" fillId="11" borderId="0" xfId="6391" applyNumberFormat="1" applyFont="1" applyFill="1" applyBorder="1" applyAlignment="1">
      <alignment horizontal="right"/>
    </xf>
    <xf numFmtId="282" fontId="10" fillId="11" borderId="9" xfId="6391" applyNumberFormat="1" applyFont="1" applyFill="1" applyBorder="1" applyAlignment="1">
      <alignment horizontal="right"/>
    </xf>
    <xf numFmtId="282" fontId="10" fillId="11" borderId="26" xfId="6391" quotePrefix="1" applyNumberFormat="1" applyFont="1" applyFill="1" applyBorder="1" applyAlignment="1">
      <alignment horizontal="right"/>
    </xf>
    <xf numFmtId="277" fontId="10" fillId="11" borderId="0" xfId="6401" applyNumberFormat="1" applyFont="1" applyFill="1" applyBorder="1" applyAlignment="1">
      <alignment horizontal="right"/>
    </xf>
    <xf numFmtId="277" fontId="10" fillId="11" borderId="9" xfId="6401" applyNumberFormat="1" applyFont="1" applyFill="1" applyBorder="1" applyAlignment="1">
      <alignment horizontal="right"/>
    </xf>
    <xf numFmtId="277" fontId="10" fillId="11" borderId="39" xfId="6401" applyNumberFormat="1" applyFont="1" applyFill="1" applyBorder="1" applyAlignment="1">
      <alignment horizontal="right"/>
    </xf>
    <xf numFmtId="3" fontId="10" fillId="11" borderId="9" xfId="5537" applyNumberFormat="1" applyFont="1" applyFill="1" applyBorder="1"/>
    <xf numFmtId="3" fontId="10" fillId="11" borderId="26" xfId="5537" applyNumberFormat="1" applyFont="1" applyFill="1" applyBorder="1" applyAlignment="1">
      <alignment horizontal="right"/>
    </xf>
    <xf numFmtId="3" fontId="10" fillId="11" borderId="38" xfId="5537" applyNumberFormat="1" applyFont="1" applyFill="1" applyBorder="1" applyAlignment="1">
      <alignment horizontal="right"/>
    </xf>
    <xf numFmtId="167" fontId="10" fillId="11" borderId="9" xfId="6401" applyNumberFormat="1" applyFont="1" applyFill="1" applyBorder="1" applyAlignment="1">
      <alignment horizontal="right"/>
    </xf>
    <xf numFmtId="167" fontId="10" fillId="11" borderId="26" xfId="6401" applyNumberFormat="1" applyFont="1" applyFill="1" applyBorder="1" applyAlignment="1">
      <alignment horizontal="right"/>
    </xf>
    <xf numFmtId="169" fontId="10" fillId="11" borderId="26" xfId="6401" quotePrefix="1" applyNumberFormat="1" applyFont="1" applyFill="1" applyBorder="1" applyAlignment="1">
      <alignment horizontal="right"/>
    </xf>
    <xf numFmtId="169" fontId="10" fillId="11" borderId="9" xfId="6401" quotePrefix="1" applyNumberFormat="1" applyFont="1" applyFill="1" applyBorder="1" applyAlignment="1">
      <alignment horizontal="right"/>
    </xf>
    <xf numFmtId="169" fontId="10" fillId="0" borderId="9" xfId="6401" quotePrefix="1" applyNumberFormat="1" applyFont="1" applyFill="1" applyBorder="1" applyAlignment="1">
      <alignment horizontal="right"/>
    </xf>
    <xf numFmtId="169" fontId="10" fillId="0" borderId="26" xfId="6401" quotePrefix="1" applyNumberFormat="1" applyFont="1" applyFill="1" applyBorder="1" applyAlignment="1">
      <alignment horizontal="right"/>
    </xf>
    <xf numFmtId="3" fontId="10" fillId="0" borderId="26" xfId="5537" quotePrefix="1" applyNumberFormat="1" applyFont="1" applyFill="1" applyBorder="1" applyAlignment="1">
      <alignment horizontal="right"/>
    </xf>
    <xf numFmtId="3" fontId="10" fillId="0" borderId="38" xfId="5537" quotePrefix="1" applyNumberFormat="1" applyFont="1" applyFill="1" applyBorder="1" applyAlignment="1">
      <alignment horizontal="right"/>
    </xf>
    <xf numFmtId="0" fontId="43" fillId="4" borderId="26" xfId="6391" applyFont="1" applyFill="1" applyBorder="1" applyAlignment="1">
      <alignment horizontal="left"/>
    </xf>
    <xf numFmtId="0" fontId="10" fillId="11" borderId="40" xfId="6403" applyFont="1" applyFill="1" applyBorder="1" applyAlignment="1">
      <alignment horizontal="left"/>
    </xf>
    <xf numFmtId="3" fontId="10" fillId="11" borderId="9" xfId="6404" applyNumberFormat="1" applyFont="1" applyFill="1" applyBorder="1" applyAlignment="1">
      <alignment horizontal="right"/>
    </xf>
    <xf numFmtId="3" fontId="10" fillId="11" borderId="0" xfId="6404" applyNumberFormat="1" applyFont="1" applyFill="1" applyBorder="1" applyAlignment="1">
      <alignment horizontal="right"/>
    </xf>
    <xf numFmtId="3" fontId="10" fillId="11" borderId="9" xfId="6405" applyNumberFormat="1" applyFont="1" applyFill="1" applyBorder="1"/>
    <xf numFmtId="3" fontId="10" fillId="11" borderId="26" xfId="6405" applyNumberFormat="1" applyFont="1" applyFill="1" applyBorder="1"/>
    <xf numFmtId="3" fontId="10" fillId="11" borderId="38" xfId="6405" applyNumberFormat="1" applyFont="1" applyFill="1" applyBorder="1"/>
    <xf numFmtId="281" fontId="10" fillId="11" borderId="0" xfId="6401" applyNumberFormat="1" applyFont="1" applyFill="1" applyBorder="1" applyAlignment="1">
      <alignment horizontal="right"/>
    </xf>
    <xf numFmtId="281" fontId="10" fillId="11" borderId="9" xfId="6401" applyNumberFormat="1" applyFont="1" applyFill="1" applyBorder="1" applyAlignment="1">
      <alignment horizontal="right"/>
    </xf>
    <xf numFmtId="281" fontId="10" fillId="11" borderId="39" xfId="6401" applyNumberFormat="1" applyFont="1" applyFill="1" applyBorder="1" applyAlignment="1">
      <alignment horizontal="right"/>
    </xf>
    <xf numFmtId="169" fontId="10" fillId="11" borderId="26" xfId="6404" applyNumberFormat="1" applyFont="1" applyFill="1" applyBorder="1" applyAlignment="1">
      <alignment horizontal="right"/>
    </xf>
    <xf numFmtId="0" fontId="10" fillId="11" borderId="9" xfId="6405" applyFont="1" applyFill="1" applyBorder="1"/>
    <xf numFmtId="0" fontId="10" fillId="11" borderId="26" xfId="6405" applyFont="1" applyFill="1" applyBorder="1"/>
    <xf numFmtId="169" fontId="10" fillId="11" borderId="26" xfId="6405" applyNumberFormat="1" applyFont="1" applyFill="1" applyBorder="1"/>
    <xf numFmtId="169" fontId="10" fillId="11" borderId="38" xfId="6405" applyNumberFormat="1" applyFont="1" applyFill="1" applyBorder="1"/>
    <xf numFmtId="169" fontId="10" fillId="11" borderId="0" xfId="5537" applyNumberFormat="1" applyFont="1" applyFill="1"/>
    <xf numFmtId="3" fontId="27" fillId="11" borderId="38" xfId="6406" applyNumberFormat="1" applyFont="1" applyFill="1" applyBorder="1" applyAlignment="1">
      <alignment vertical="center"/>
    </xf>
    <xf numFmtId="167" fontId="10" fillId="11" borderId="0" xfId="6401" applyNumberFormat="1" applyFont="1" applyFill="1" applyBorder="1" applyAlignment="1">
      <alignment horizontal="right"/>
    </xf>
    <xf numFmtId="167" fontId="10" fillId="11" borderId="26" xfId="6404" applyNumberFormat="1" applyFont="1" applyFill="1" applyBorder="1" applyAlignment="1">
      <alignment horizontal="right"/>
    </xf>
    <xf numFmtId="169" fontId="10" fillId="11" borderId="9" xfId="6405" applyNumberFormat="1" applyFont="1" applyFill="1" applyBorder="1"/>
    <xf numFmtId="167" fontId="10" fillId="11" borderId="26" xfId="6405" applyNumberFormat="1" applyFont="1" applyFill="1" applyBorder="1"/>
    <xf numFmtId="167" fontId="10" fillId="11" borderId="38" xfId="6405" applyNumberFormat="1" applyFont="1" applyFill="1" applyBorder="1"/>
    <xf numFmtId="0" fontId="41" fillId="4" borderId="26" xfId="6391" applyFont="1" applyFill="1" applyBorder="1" applyAlignment="1">
      <alignment horizontal="left"/>
    </xf>
    <xf numFmtId="0" fontId="10" fillId="11" borderId="9" xfId="5537" applyFont="1" applyFill="1" applyBorder="1"/>
    <xf numFmtId="0" fontId="10" fillId="11" borderId="26" xfId="5537" applyFont="1" applyFill="1" applyBorder="1"/>
    <xf numFmtId="169" fontId="10" fillId="11" borderId="26" xfId="5537" applyNumberFormat="1" applyFont="1" applyFill="1" applyBorder="1"/>
    <xf numFmtId="169" fontId="10" fillId="11" borderId="38" xfId="5537" applyNumberFormat="1" applyFont="1" applyFill="1" applyBorder="1"/>
    <xf numFmtId="0" fontId="41" fillId="4" borderId="191" xfId="6391" applyFont="1" applyFill="1" applyBorder="1" applyAlignment="1">
      <alignment horizontal="left"/>
    </xf>
    <xf numFmtId="0" fontId="10" fillId="11" borderId="222" xfId="6391" applyFont="1" applyFill="1" applyBorder="1" applyAlignment="1">
      <alignment horizontal="left"/>
    </xf>
    <xf numFmtId="0" fontId="48" fillId="11" borderId="159" xfId="6391" applyFont="1" applyFill="1" applyBorder="1" applyAlignment="1">
      <alignment horizontal="left"/>
    </xf>
    <xf numFmtId="0" fontId="10" fillId="11" borderId="159" xfId="6391" applyFont="1" applyFill="1" applyBorder="1"/>
    <xf numFmtId="0" fontId="10" fillId="11" borderId="159" xfId="5537" applyFont="1" applyFill="1" applyBorder="1"/>
    <xf numFmtId="0" fontId="10" fillId="11" borderId="191" xfId="5537" applyFont="1" applyFill="1" applyBorder="1"/>
    <xf numFmtId="0" fontId="10" fillId="11" borderId="160" xfId="5537" applyFont="1" applyFill="1" applyBorder="1"/>
    <xf numFmtId="0" fontId="48" fillId="11" borderId="0" xfId="6391" applyFont="1" applyFill="1"/>
    <xf numFmtId="0" fontId="49" fillId="11" borderId="0" xfId="6391" applyFont="1" applyFill="1"/>
    <xf numFmtId="0" fontId="48" fillId="11" borderId="0" xfId="6391" applyFont="1" applyFill="1" applyAlignment="1"/>
    <xf numFmtId="248" fontId="10" fillId="11" borderId="0" xfId="5537" applyNumberFormat="1" applyFont="1" applyFill="1"/>
    <xf numFmtId="0" fontId="48" fillId="11" borderId="0" xfId="5493" applyFont="1" applyFill="1"/>
    <xf numFmtId="0" fontId="49" fillId="11" borderId="0" xfId="5493" quotePrefix="1" applyFont="1" applyFill="1" applyAlignment="1">
      <alignment horizontal="left"/>
    </xf>
    <xf numFmtId="0" fontId="49" fillId="11" borderId="0" xfId="5493" quotePrefix="1" applyFont="1" applyFill="1" applyAlignment="1">
      <alignment horizontal="left" wrapText="1"/>
    </xf>
    <xf numFmtId="0" fontId="49" fillId="11" borderId="0" xfId="5493" quotePrefix="1" applyFont="1" applyFill="1" applyBorder="1" applyAlignment="1">
      <alignment horizontal="left"/>
    </xf>
    <xf numFmtId="0" fontId="49" fillId="11" borderId="0" xfId="5493" quotePrefix="1" applyFont="1" applyFill="1" applyBorder="1" applyAlignment="1">
      <alignment horizontal="left" wrapText="1"/>
    </xf>
    <xf numFmtId="0" fontId="10" fillId="11" borderId="0" xfId="6407" applyFont="1" applyFill="1"/>
    <xf numFmtId="0" fontId="41" fillId="11" borderId="0" xfId="6391" applyFont="1" applyFill="1"/>
    <xf numFmtId="0" fontId="49" fillId="11" borderId="0" xfId="5493" quotePrefix="1" applyFont="1" applyFill="1" applyAlignment="1">
      <alignment horizontal="left" wrapText="1"/>
    </xf>
    <xf numFmtId="0" fontId="48" fillId="11" borderId="0" xfId="6393" applyFont="1" applyFill="1" applyBorder="1" applyAlignment="1">
      <alignment wrapText="1"/>
    </xf>
    <xf numFmtId="0" fontId="49" fillId="11" borderId="2" xfId="6407" applyFont="1" applyFill="1" applyBorder="1" applyAlignment="1">
      <alignment vertical="top" wrapText="1"/>
    </xf>
    <xf numFmtId="0" fontId="49" fillId="11" borderId="0" xfId="6407" applyFont="1" applyFill="1" applyBorder="1" applyAlignment="1">
      <alignment vertical="top" wrapText="1"/>
    </xf>
    <xf numFmtId="0" fontId="18" fillId="11" borderId="0" xfId="5" applyFont="1" applyFill="1" applyAlignment="1">
      <alignment horizontal="left"/>
    </xf>
    <xf numFmtId="0" fontId="41" fillId="3" borderId="55" xfId="5" applyFont="1" applyFill="1" applyBorder="1" applyAlignment="1">
      <alignment horizontal="center"/>
    </xf>
    <xf numFmtId="0" fontId="41" fillId="3" borderId="28" xfId="5" applyFont="1" applyFill="1" applyBorder="1" applyAlignment="1">
      <alignment horizontal="center"/>
    </xf>
    <xf numFmtId="0" fontId="49" fillId="11" borderId="79" xfId="5463" applyFont="1" applyFill="1" applyBorder="1" applyAlignment="1">
      <alignment horizontal="center"/>
    </xf>
    <xf numFmtId="0" fontId="227" fillId="11" borderId="79" xfId="5463" applyFont="1" applyFill="1" applyBorder="1" applyAlignment="1">
      <alignment horizontal="center" vertical="center"/>
    </xf>
    <xf numFmtId="0" fontId="143" fillId="11" borderId="0" xfId="5463" applyFont="1" applyFill="1" applyBorder="1" applyAlignment="1">
      <alignment horizontal="left" vertical="center" wrapText="1"/>
    </xf>
    <xf numFmtId="0" fontId="49" fillId="11" borderId="2" xfId="5463" applyFont="1" applyFill="1" applyBorder="1" applyAlignment="1">
      <alignment horizontal="center" vertical="top" wrapText="1"/>
    </xf>
    <xf numFmtId="0" fontId="49" fillId="11" borderId="23" xfId="5463" applyFont="1" applyFill="1" applyBorder="1" applyAlignment="1" applyProtection="1">
      <alignment horizontal="right"/>
    </xf>
    <xf numFmtId="4" fontId="41" fillId="3" borderId="175" xfId="5463" applyNumberFormat="1" applyFont="1" applyFill="1" applyBorder="1" applyAlignment="1" applyProtection="1">
      <alignment horizontal="center" vertical="center"/>
    </xf>
    <xf numFmtId="4" fontId="41" fillId="3" borderId="28" xfId="5463" applyNumberFormat="1" applyFont="1" applyFill="1" applyBorder="1" applyAlignment="1" applyProtection="1">
      <alignment horizontal="center" vertical="center"/>
    </xf>
    <xf numFmtId="0" fontId="41" fillId="3" borderId="55" xfId="5463" applyFont="1" applyFill="1" applyBorder="1" applyAlignment="1" applyProtection="1">
      <alignment horizontal="center" vertical="center"/>
    </xf>
    <xf numFmtId="0" fontId="41" fillId="3" borderId="28" xfId="5463" applyFont="1" applyFill="1" applyBorder="1" applyAlignment="1" applyProtection="1">
      <alignment horizontal="center" vertical="center"/>
    </xf>
    <xf numFmtId="0" fontId="274" fillId="11" borderId="13" xfId="5615" applyFont="1" applyFill="1" applyBorder="1" applyAlignment="1">
      <alignment horizontal="center" vertical="center"/>
    </xf>
    <xf numFmtId="0" fontId="274" fillId="11" borderId="0" xfId="5615" applyFont="1" applyFill="1" applyBorder="1" applyAlignment="1">
      <alignment horizontal="center" vertical="center"/>
    </xf>
    <xf numFmtId="0" fontId="41" fillId="15" borderId="1" xfId="5615" applyFont="1" applyFill="1" applyBorder="1" applyAlignment="1">
      <alignment horizontal="center" vertical="center"/>
    </xf>
    <xf numFmtId="0" fontId="41" fillId="15" borderId="3" xfId="5615" applyFont="1" applyFill="1" applyBorder="1" applyAlignment="1">
      <alignment horizontal="center" vertical="center"/>
    </xf>
    <xf numFmtId="0" fontId="34" fillId="15" borderId="178" xfId="5615" applyFont="1" applyFill="1" applyBorder="1" applyAlignment="1">
      <alignment horizontal="center" vertical="center"/>
    </xf>
    <xf numFmtId="0" fontId="34" fillId="15" borderId="76" xfId="5615" applyFont="1" applyFill="1" applyBorder="1" applyAlignment="1">
      <alignment horizontal="center" vertical="center"/>
    </xf>
    <xf numFmtId="0" fontId="41" fillId="105" borderId="186" xfId="5615" applyFont="1" applyFill="1" applyBorder="1" applyAlignment="1">
      <alignment horizontal="center" vertical="center"/>
    </xf>
    <xf numFmtId="0" fontId="41" fillId="105" borderId="187" xfId="5615" applyFont="1" applyFill="1" applyBorder="1" applyAlignment="1">
      <alignment horizontal="center" vertical="center"/>
    </xf>
    <xf numFmtId="0" fontId="144" fillId="105" borderId="76" xfId="5615" applyFont="1" applyFill="1" applyBorder="1" applyAlignment="1">
      <alignment horizontal="center" vertical="center"/>
    </xf>
    <xf numFmtId="0" fontId="144" fillId="105" borderId="189" xfId="5615" applyFont="1" applyFill="1" applyBorder="1" applyAlignment="1">
      <alignment horizontal="center" vertical="center"/>
    </xf>
    <xf numFmtId="38" fontId="41" fillId="11" borderId="12" xfId="5613" applyNumberFormat="1" applyFont="1" applyFill="1" applyBorder="1" applyAlignment="1">
      <alignment horizontal="center" vertical="center"/>
    </xf>
    <xf numFmtId="38" fontId="41" fillId="11" borderId="13" xfId="5613" applyNumberFormat="1" applyFont="1" applyFill="1" applyBorder="1" applyAlignment="1">
      <alignment horizontal="center" vertical="center"/>
    </xf>
    <xf numFmtId="0" fontId="18" fillId="11" borderId="0" xfId="5613" applyFont="1" applyFill="1" applyAlignment="1">
      <alignment horizontal="left" vertical="center"/>
    </xf>
    <xf numFmtId="0" fontId="43" fillId="106" borderId="178" xfId="5613" applyFont="1" applyFill="1" applyBorder="1" applyAlignment="1">
      <alignment horizontal="center" vertical="center"/>
    </xf>
    <xf numFmtId="0" fontId="43" fillId="106" borderId="76" xfId="5613" applyFont="1" applyFill="1" applyBorder="1" applyAlignment="1">
      <alignment horizontal="center" vertical="center"/>
    </xf>
    <xf numFmtId="0" fontId="43" fillId="106" borderId="189" xfId="5613" applyFont="1" applyFill="1" applyBorder="1" applyAlignment="1">
      <alignment horizontal="center" vertical="center"/>
    </xf>
    <xf numFmtId="2" fontId="43" fillId="11" borderId="4" xfId="5019" applyNumberFormat="1" applyFont="1" applyFill="1" applyBorder="1" applyAlignment="1">
      <alignment horizontal="center" vertical="center"/>
    </xf>
    <xf numFmtId="2" fontId="43" fillId="11" borderId="0" xfId="5019" applyNumberFormat="1" applyFont="1" applyFill="1" applyBorder="1" applyAlignment="1">
      <alignment horizontal="center" vertical="center"/>
    </xf>
    <xf numFmtId="40" fontId="43" fillId="11" borderId="4" xfId="5019" applyNumberFormat="1" applyFont="1" applyFill="1" applyBorder="1" applyAlignment="1">
      <alignment horizontal="center" vertical="center"/>
    </xf>
    <xf numFmtId="40" fontId="43" fillId="11" borderId="0" xfId="5019" applyNumberFormat="1" applyFont="1" applyFill="1" applyBorder="1" applyAlignment="1">
      <alignment horizontal="center" vertical="center"/>
    </xf>
    <xf numFmtId="49" fontId="43" fillId="11" borderId="4" xfId="5019" applyNumberFormat="1" applyFont="1" applyFill="1" applyBorder="1" applyAlignment="1">
      <alignment horizontal="center" vertical="center"/>
    </xf>
    <xf numFmtId="49" fontId="43" fillId="11" borderId="0" xfId="5019" applyNumberFormat="1" applyFont="1" applyFill="1" applyBorder="1" applyAlignment="1">
      <alignment horizontal="center" vertical="center"/>
    </xf>
    <xf numFmtId="258" fontId="43" fillId="11" borderId="1" xfId="5019" applyNumberFormat="1" applyFont="1" applyFill="1" applyBorder="1" applyAlignment="1">
      <alignment horizontal="center" vertical="center"/>
    </xf>
    <xf numFmtId="258" fontId="43" fillId="11" borderId="2" xfId="5019" applyNumberFormat="1" applyFont="1" applyFill="1" applyBorder="1" applyAlignment="1">
      <alignment horizontal="center" vertical="center"/>
    </xf>
    <xf numFmtId="258" fontId="43" fillId="11" borderId="4" xfId="5019" applyNumberFormat="1" applyFont="1" applyFill="1" applyBorder="1" applyAlignment="1">
      <alignment horizontal="center" vertical="center"/>
    </xf>
    <xf numFmtId="258" fontId="43" fillId="11" borderId="0" xfId="5019" applyNumberFormat="1" applyFont="1" applyFill="1" applyBorder="1" applyAlignment="1">
      <alignment horizontal="center" vertical="center"/>
    </xf>
    <xf numFmtId="15" fontId="43" fillId="99" borderId="178" xfId="5613" applyNumberFormat="1" applyFont="1" applyFill="1" applyBorder="1" applyAlignment="1">
      <alignment horizontal="center" vertical="center"/>
    </xf>
    <xf numFmtId="15" fontId="43" fillId="99" borderId="189" xfId="5613" applyNumberFormat="1" applyFont="1" applyFill="1" applyBorder="1" applyAlignment="1">
      <alignment horizontal="center" vertical="center"/>
    </xf>
    <xf numFmtId="0" fontId="145" fillId="11" borderId="13" xfId="5613" applyFont="1" applyFill="1" applyBorder="1" applyAlignment="1">
      <alignment horizontal="right" vertical="center"/>
    </xf>
    <xf numFmtId="167" fontId="41" fillId="106" borderId="178" xfId="5613" applyNumberFormat="1" applyFont="1" applyFill="1" applyBorder="1" applyAlignment="1">
      <alignment horizontal="center" vertical="center"/>
    </xf>
    <xf numFmtId="167" fontId="41" fillId="106" borderId="76" xfId="5613" applyNumberFormat="1" applyFont="1" applyFill="1" applyBorder="1" applyAlignment="1">
      <alignment horizontal="center" vertical="center"/>
    </xf>
    <xf numFmtId="0" fontId="19" fillId="11" borderId="12" xfId="5615" applyFont="1" applyFill="1" applyBorder="1" applyAlignment="1">
      <alignment horizontal="center" vertical="center"/>
    </xf>
    <xf numFmtId="0" fontId="19" fillId="11" borderId="14" xfId="5615" applyFont="1" applyFill="1" applyBorder="1" applyAlignment="1">
      <alignment horizontal="center" vertical="center"/>
    </xf>
    <xf numFmtId="0" fontId="43" fillId="103" borderId="0" xfId="5615" applyFont="1" applyFill="1" applyBorder="1" applyAlignment="1">
      <alignment horizontal="left" vertical="center"/>
    </xf>
    <xf numFmtId="0" fontId="43" fillId="103" borderId="5" xfId="5615" applyFont="1" applyFill="1" applyBorder="1" applyAlignment="1">
      <alignment horizontal="left" vertical="center"/>
    </xf>
    <xf numFmtId="40" fontId="43" fillId="11" borderId="4" xfId="4908" applyNumberFormat="1" applyFont="1" applyFill="1" applyBorder="1" applyAlignment="1">
      <alignment horizontal="center" vertical="center"/>
    </xf>
    <xf numFmtId="40" fontId="43" fillId="11" borderId="5" xfId="4908" applyNumberFormat="1" applyFont="1" applyFill="1" applyBorder="1" applyAlignment="1">
      <alignment horizontal="center" vertical="center"/>
    </xf>
    <xf numFmtId="258" fontId="43" fillId="11" borderId="4" xfId="4908" applyNumberFormat="1" applyFont="1" applyFill="1" applyBorder="1" applyAlignment="1">
      <alignment horizontal="center" vertical="center"/>
    </xf>
    <xf numFmtId="258" fontId="43" fillId="11" borderId="5" xfId="4908" applyNumberFormat="1" applyFont="1" applyFill="1" applyBorder="1" applyAlignment="1">
      <alignment horizontal="center" vertical="center"/>
    </xf>
    <xf numFmtId="0" fontId="43" fillId="103" borderId="2" xfId="5615" applyFont="1" applyFill="1" applyBorder="1" applyAlignment="1">
      <alignment horizontal="left" vertical="center"/>
    </xf>
    <xf numFmtId="0" fontId="43" fillId="103" borderId="3" xfId="5615" applyFont="1" applyFill="1" applyBorder="1" applyAlignment="1">
      <alignment horizontal="left" vertical="center"/>
    </xf>
    <xf numFmtId="15" fontId="43" fillId="106" borderId="12" xfId="5615" applyNumberFormat="1" applyFont="1" applyFill="1" applyBorder="1" applyAlignment="1">
      <alignment horizontal="center" vertical="center"/>
    </xf>
    <xf numFmtId="15" fontId="43" fillId="106" borderId="14" xfId="5615" applyNumberFormat="1" applyFont="1" applyFill="1" applyBorder="1" applyAlignment="1">
      <alignment horizontal="center" vertical="center"/>
    </xf>
    <xf numFmtId="259" fontId="43" fillId="11" borderId="4" xfId="4908" applyNumberFormat="1" applyFont="1" applyFill="1" applyBorder="1" applyAlignment="1">
      <alignment horizontal="center" vertical="center"/>
    </xf>
    <xf numFmtId="259" fontId="43" fillId="11" borderId="5" xfId="4908" applyNumberFormat="1" applyFont="1" applyFill="1" applyBorder="1" applyAlignment="1">
      <alignment horizontal="center" vertical="center"/>
    </xf>
    <xf numFmtId="0" fontId="43" fillId="11" borderId="0" xfId="5615" applyFont="1" applyFill="1" applyAlignment="1">
      <alignment horizontal="left" vertical="center" wrapText="1"/>
    </xf>
    <xf numFmtId="0" fontId="43" fillId="106" borderId="1" xfId="5615" applyFont="1" applyFill="1" applyBorder="1" applyAlignment="1">
      <alignment horizontal="center" vertical="center"/>
    </xf>
    <xf numFmtId="0" fontId="43" fillId="106" borderId="3" xfId="5615" applyFont="1" applyFill="1" applyBorder="1" applyAlignment="1">
      <alignment horizontal="center" vertical="center"/>
    </xf>
    <xf numFmtId="0" fontId="145" fillId="11" borderId="0" xfId="5615" applyFont="1" applyFill="1" applyAlignment="1">
      <alignment horizontal="left" vertical="center"/>
    </xf>
    <xf numFmtId="0" fontId="276" fillId="11" borderId="0" xfId="5615" applyFont="1" applyFill="1" applyBorder="1" applyAlignment="1">
      <alignment horizontal="left" vertical="center"/>
    </xf>
    <xf numFmtId="0" fontId="145" fillId="11" borderId="0" xfId="5615" applyFont="1" applyFill="1" applyBorder="1" applyAlignment="1">
      <alignment horizontal="left" vertical="center"/>
    </xf>
    <xf numFmtId="0" fontId="43" fillId="11" borderId="0" xfId="5615" applyFont="1" applyFill="1" applyAlignment="1">
      <alignment horizontal="left" vertical="center"/>
    </xf>
    <xf numFmtId="0" fontId="43" fillId="14" borderId="1" xfId="5615" applyFont="1" applyFill="1" applyBorder="1" applyAlignment="1">
      <alignment horizontal="center" vertical="center" wrapText="1"/>
    </xf>
    <xf numFmtId="0" fontId="19" fillId="14" borderId="3" xfId="5615" applyFont="1" applyFill="1" applyBorder="1" applyAlignment="1">
      <alignment horizontal="center" vertical="center" wrapText="1"/>
    </xf>
    <xf numFmtId="0" fontId="19" fillId="14" borderId="12" xfId="5615" applyFont="1" applyFill="1" applyBorder="1" applyAlignment="1">
      <alignment horizontal="center" vertical="center" wrapText="1"/>
    </xf>
    <xf numFmtId="0" fontId="19" fillId="14" borderId="14" xfId="5615" applyFont="1" applyFill="1" applyBorder="1" applyAlignment="1">
      <alignment horizontal="center" vertical="center" wrapText="1"/>
    </xf>
    <xf numFmtId="167" fontId="43" fillId="14" borderId="76" xfId="5615" applyNumberFormat="1" applyFont="1" applyFill="1" applyBorder="1" applyAlignment="1">
      <alignment horizontal="center" vertical="center"/>
    </xf>
    <xf numFmtId="167" fontId="43" fillId="14" borderId="189" xfId="5615" applyNumberFormat="1" applyFont="1" applyFill="1" applyBorder="1" applyAlignment="1">
      <alignment horizontal="center" vertical="center"/>
    </xf>
    <xf numFmtId="260" fontId="43" fillId="11" borderId="4" xfId="4908" applyNumberFormat="1" applyFont="1" applyFill="1" applyBorder="1" applyAlignment="1">
      <alignment horizontal="center" vertical="center"/>
    </xf>
    <xf numFmtId="260" fontId="43" fillId="11" borderId="5" xfId="4908" applyNumberFormat="1" applyFont="1" applyFill="1" applyBorder="1" applyAlignment="1">
      <alignment horizontal="center" vertical="center"/>
    </xf>
    <xf numFmtId="260" fontId="43" fillId="11" borderId="1" xfId="4908" applyNumberFormat="1" applyFont="1" applyFill="1" applyBorder="1" applyAlignment="1">
      <alignment horizontal="center" vertical="center"/>
    </xf>
    <xf numFmtId="260" fontId="43" fillId="11" borderId="3" xfId="4908" applyNumberFormat="1" applyFont="1" applyFill="1" applyBorder="1" applyAlignment="1">
      <alignment horizontal="center" vertical="center"/>
    </xf>
    <xf numFmtId="40" fontId="43" fillId="11" borderId="1" xfId="1" applyFont="1" applyFill="1" applyBorder="1" applyAlignment="1">
      <alignment horizontal="center" vertical="center"/>
    </xf>
    <xf numFmtId="40" fontId="43" fillId="11" borderId="3" xfId="1" applyFont="1" applyFill="1" applyBorder="1" applyAlignment="1">
      <alignment horizontal="center" vertical="center"/>
    </xf>
    <xf numFmtId="168" fontId="43" fillId="106" borderId="208" xfId="5451" applyNumberFormat="1" applyFont="1" applyFill="1" applyBorder="1" applyAlignment="1">
      <alignment horizontal="center" vertical="center"/>
    </xf>
    <xf numFmtId="168" fontId="43" fillId="106" borderId="76" xfId="5451" applyNumberFormat="1" applyFont="1" applyFill="1" applyBorder="1" applyAlignment="1">
      <alignment horizontal="center" vertical="center"/>
    </xf>
    <xf numFmtId="168" fontId="43" fillId="106" borderId="189" xfId="5451" applyNumberFormat="1" applyFont="1" applyFill="1" applyBorder="1" applyAlignment="1">
      <alignment horizontal="center" vertical="center"/>
    </xf>
    <xf numFmtId="211" fontId="43" fillId="4" borderId="4" xfId="5451" applyNumberFormat="1" applyFont="1" applyFill="1" applyBorder="1" applyAlignment="1">
      <alignment horizontal="center" vertical="center"/>
    </xf>
    <xf numFmtId="0" fontId="280" fillId="4" borderId="39" xfId="5451" applyFont="1" applyFill="1" applyBorder="1" applyAlignment="1">
      <alignment horizontal="center"/>
    </xf>
    <xf numFmtId="261" fontId="43" fillId="4" borderId="4" xfId="5451" applyNumberFormat="1" applyFont="1" applyFill="1" applyBorder="1" applyAlignment="1">
      <alignment horizontal="center" vertical="center"/>
    </xf>
    <xf numFmtId="261" fontId="43" fillId="4" borderId="39" xfId="5451" applyNumberFormat="1" applyFont="1" applyFill="1" applyBorder="1" applyAlignment="1">
      <alignment horizontal="center" vertical="center"/>
    </xf>
    <xf numFmtId="211" fontId="43" fillId="4" borderId="12" xfId="5451" applyNumberFormat="1" applyFont="1" applyFill="1" applyBorder="1" applyAlignment="1">
      <alignment horizontal="center"/>
    </xf>
    <xf numFmtId="0" fontId="280" fillId="4" borderId="158" xfId="5451" applyFont="1" applyFill="1" applyBorder="1" applyAlignment="1">
      <alignment horizontal="center"/>
    </xf>
    <xf numFmtId="0" fontId="43" fillId="11" borderId="0" xfId="5451" applyFont="1" applyFill="1" applyAlignment="1">
      <alignment horizontal="left" vertical="center"/>
    </xf>
    <xf numFmtId="0" fontId="145" fillId="108" borderId="202" xfId="5493" applyFont="1" applyFill="1" applyBorder="1" applyAlignment="1">
      <alignment horizontal="center" vertical="center"/>
    </xf>
    <xf numFmtId="0" fontId="145" fillId="108" borderId="186" xfId="5493" applyFont="1" applyFill="1" applyBorder="1" applyAlignment="1">
      <alignment horizontal="center" vertical="center"/>
    </xf>
    <xf numFmtId="0" fontId="145" fillId="108" borderId="203" xfId="5493" applyFont="1" applyFill="1" applyBorder="1" applyAlignment="1">
      <alignment horizontal="center" vertical="center"/>
    </xf>
    <xf numFmtId="0" fontId="145" fillId="108" borderId="205" xfId="5493" applyFont="1" applyFill="1" applyBorder="1" applyAlignment="1">
      <alignment horizontal="center" vertical="center"/>
    </xf>
    <xf numFmtId="0" fontId="43" fillId="4" borderId="1" xfId="5451" applyFont="1" applyFill="1" applyBorder="1" applyAlignment="1">
      <alignment horizontal="center" vertical="center" wrapText="1"/>
    </xf>
    <xf numFmtId="0" fontId="43" fillId="4" borderId="33" xfId="5451" applyFont="1" applyFill="1" applyBorder="1" applyAlignment="1">
      <alignment horizontal="center" vertical="center" wrapText="1"/>
    </xf>
    <xf numFmtId="0" fontId="43" fillId="4" borderId="12" xfId="5451" applyFont="1" applyFill="1" applyBorder="1" applyAlignment="1">
      <alignment horizontal="center" vertical="center" wrapText="1"/>
    </xf>
    <xf numFmtId="0" fontId="43" fillId="4" borderId="158" xfId="5451" applyFont="1" applyFill="1" applyBorder="1" applyAlignment="1">
      <alignment horizontal="center" vertical="center" wrapText="1"/>
    </xf>
    <xf numFmtId="211" fontId="43" fillId="11" borderId="1" xfId="5451" applyNumberFormat="1" applyFont="1" applyFill="1" applyBorder="1" applyAlignment="1">
      <alignment horizontal="center" vertical="center"/>
    </xf>
    <xf numFmtId="0" fontId="280" fillId="11" borderId="33" xfId="5451" applyFont="1" applyFill="1" applyBorder="1"/>
    <xf numFmtId="211" fontId="43" fillId="11" borderId="4" xfId="5451" applyNumberFormat="1" applyFont="1" applyFill="1" applyBorder="1" applyAlignment="1">
      <alignment horizontal="center" vertical="center"/>
    </xf>
    <xf numFmtId="0" fontId="280" fillId="11" borderId="39" xfId="5451" applyFont="1" applyFill="1" applyBorder="1"/>
    <xf numFmtId="0" fontId="282" fillId="11" borderId="0" xfId="5451" applyFont="1" applyFill="1" applyBorder="1" applyAlignment="1">
      <alignment vertical="center"/>
    </xf>
    <xf numFmtId="40" fontId="41" fillId="11" borderId="4" xfId="5047" applyNumberFormat="1" applyFont="1" applyFill="1" applyBorder="1" applyAlignment="1">
      <alignment horizontal="center" vertical="center"/>
    </xf>
    <xf numFmtId="40" fontId="41" fillId="11" borderId="5" xfId="5047" applyNumberFormat="1" applyFont="1" applyFill="1" applyBorder="1" applyAlignment="1">
      <alignment horizontal="center" vertical="center"/>
    </xf>
    <xf numFmtId="40" fontId="41" fillId="11" borderId="0" xfId="5047" applyNumberFormat="1" applyFont="1" applyFill="1" applyBorder="1" applyAlignment="1">
      <alignment horizontal="center" vertical="center"/>
    </xf>
    <xf numFmtId="214" fontId="41" fillId="11" borderId="4" xfId="5047" applyNumberFormat="1" applyFont="1" applyFill="1" applyBorder="1" applyAlignment="1">
      <alignment horizontal="center" vertical="center"/>
    </xf>
    <xf numFmtId="214" fontId="41" fillId="11" borderId="5" xfId="5047" applyNumberFormat="1" applyFont="1" applyFill="1" applyBorder="1" applyAlignment="1">
      <alignment horizontal="center" vertical="center"/>
    </xf>
    <xf numFmtId="214" fontId="41" fillId="11" borderId="0" xfId="5047" applyNumberFormat="1" applyFont="1" applyFill="1" applyBorder="1" applyAlignment="1">
      <alignment horizontal="center" vertical="center"/>
    </xf>
    <xf numFmtId="38" fontId="41" fillId="11" borderId="12" xfId="5451" applyNumberFormat="1" applyFont="1" applyFill="1" applyBorder="1" applyAlignment="1">
      <alignment horizontal="center" vertical="center"/>
    </xf>
    <xf numFmtId="38" fontId="41" fillId="11" borderId="14" xfId="5451" applyNumberFormat="1" applyFont="1" applyFill="1" applyBorder="1" applyAlignment="1">
      <alignment horizontal="center" vertical="center"/>
    </xf>
    <xf numFmtId="38" fontId="41" fillId="11" borderId="0" xfId="5451" applyNumberFormat="1" applyFont="1" applyFill="1" applyBorder="1" applyAlignment="1">
      <alignment horizontal="center" vertical="center"/>
    </xf>
    <xf numFmtId="15" fontId="41" fillId="99" borderId="178" xfId="5451" applyNumberFormat="1" applyFont="1" applyFill="1" applyBorder="1" applyAlignment="1">
      <alignment horizontal="center" vertical="center"/>
    </xf>
    <xf numFmtId="15" fontId="41" fillId="99" borderId="189" xfId="5451" applyNumberFormat="1" applyFont="1" applyFill="1" applyBorder="1" applyAlignment="1">
      <alignment horizontal="center" vertical="center"/>
    </xf>
    <xf numFmtId="15" fontId="41" fillId="110" borderId="0" xfId="5451" applyNumberFormat="1" applyFont="1" applyFill="1" applyBorder="1" applyAlignment="1">
      <alignment horizontal="center" vertical="center"/>
    </xf>
    <xf numFmtId="258" fontId="41" fillId="11" borderId="1" xfId="5047" applyNumberFormat="1" applyFont="1" applyFill="1" applyBorder="1" applyAlignment="1">
      <alignment horizontal="center" vertical="center"/>
    </xf>
    <xf numFmtId="258" fontId="41" fillId="11" borderId="3" xfId="5047" applyNumberFormat="1" applyFont="1" applyFill="1" applyBorder="1" applyAlignment="1">
      <alignment horizontal="center" vertical="center"/>
    </xf>
    <xf numFmtId="258" fontId="41" fillId="11" borderId="0" xfId="5047" applyNumberFormat="1" applyFont="1" applyFill="1" applyBorder="1" applyAlignment="1">
      <alignment horizontal="center" vertical="center"/>
    </xf>
    <xf numFmtId="2" fontId="41" fillId="11" borderId="4" xfId="5047" applyNumberFormat="1" applyFont="1" applyFill="1" applyBorder="1" applyAlignment="1">
      <alignment horizontal="center" vertical="center"/>
    </xf>
    <xf numFmtId="2" fontId="41" fillId="11" borderId="5" xfId="5047" applyNumberFormat="1" applyFont="1" applyFill="1" applyBorder="1" applyAlignment="1">
      <alignment horizontal="center" vertical="center"/>
    </xf>
    <xf numFmtId="2" fontId="41" fillId="11" borderId="0" xfId="5047" applyNumberFormat="1" applyFont="1" applyFill="1" applyBorder="1" applyAlignment="1">
      <alignment horizontal="center" vertical="center"/>
    </xf>
    <xf numFmtId="167" fontId="198" fillId="106" borderId="178" xfId="5451" applyNumberFormat="1" applyFont="1" applyFill="1" applyBorder="1" applyAlignment="1">
      <alignment horizontal="center" vertical="center"/>
    </xf>
    <xf numFmtId="167" fontId="198" fillId="106" borderId="189" xfId="5451" applyNumberFormat="1" applyFont="1" applyFill="1" applyBorder="1" applyAlignment="1">
      <alignment horizontal="center" vertical="center"/>
    </xf>
    <xf numFmtId="167" fontId="198" fillId="109" borderId="0" xfId="5451" applyNumberFormat="1" applyFont="1" applyFill="1" applyBorder="1" applyAlignment="1">
      <alignment horizontal="center" vertical="center"/>
    </xf>
    <xf numFmtId="0" fontId="281" fillId="11" borderId="2" xfId="5451" applyFont="1" applyFill="1" applyBorder="1" applyAlignment="1">
      <alignment horizontal="left" vertical="top"/>
    </xf>
    <xf numFmtId="0" fontId="282" fillId="11" borderId="0" xfId="5451" applyFont="1" applyFill="1" applyBorder="1" applyAlignment="1">
      <alignment horizontal="left" vertical="center"/>
    </xf>
    <xf numFmtId="167" fontId="34" fillId="106" borderId="178" xfId="5451" applyNumberFormat="1" applyFont="1" applyFill="1" applyBorder="1" applyAlignment="1">
      <alignment horizontal="center" vertical="center"/>
    </xf>
    <xf numFmtId="167" fontId="34" fillId="106" borderId="189" xfId="5451" applyNumberFormat="1" applyFont="1" applyFill="1" applyBorder="1" applyAlignment="1">
      <alignment horizontal="center" vertical="center"/>
    </xf>
    <xf numFmtId="0" fontId="43" fillId="4" borderId="74" xfId="5615" applyFont="1" applyFill="1" applyBorder="1" applyAlignment="1">
      <alignment horizontal="center" vertical="center"/>
    </xf>
    <xf numFmtId="0" fontId="39" fillId="11" borderId="0" xfId="2" applyFont="1" applyFill="1" applyAlignment="1">
      <alignment horizontal="left" vertical="center"/>
    </xf>
    <xf numFmtId="0" fontId="11" fillId="11" borderId="0" xfId="2" applyFont="1" applyFill="1" applyAlignment="1">
      <alignment horizontal="left" vertical="center"/>
    </xf>
    <xf numFmtId="0" fontId="274" fillId="108" borderId="185" xfId="5463" applyFont="1" applyFill="1" applyBorder="1" applyAlignment="1">
      <alignment horizontal="center" vertical="center"/>
    </xf>
    <xf numFmtId="0" fontId="274" fillId="108" borderId="186" xfId="5463" applyFont="1" applyFill="1" applyBorder="1" applyAlignment="1">
      <alignment horizontal="center" vertical="center"/>
    </xf>
    <xf numFmtId="0" fontId="274" fillId="108" borderId="187" xfId="5463" applyFont="1" applyFill="1" applyBorder="1" applyAlignment="1">
      <alignment horizontal="center" vertical="center"/>
    </xf>
    <xf numFmtId="0" fontId="274" fillId="108" borderId="202" xfId="5463" applyFont="1" applyFill="1" applyBorder="1" applyAlignment="1">
      <alignment horizontal="center" vertical="center"/>
    </xf>
    <xf numFmtId="0" fontId="274" fillId="108" borderId="205" xfId="5463" applyFont="1" applyFill="1" applyBorder="1" applyAlignment="1">
      <alignment horizontal="center" vertical="center"/>
    </xf>
    <xf numFmtId="0" fontId="288" fillId="11" borderId="0" xfId="5463" applyFont="1" applyFill="1" applyBorder="1" applyAlignment="1">
      <alignment horizontal="left" vertical="center"/>
    </xf>
    <xf numFmtId="0" fontId="274" fillId="108" borderId="178" xfId="5463" applyFont="1" applyFill="1" applyBorder="1" applyAlignment="1">
      <alignment horizontal="center" vertical="center"/>
    </xf>
    <xf numFmtId="0" fontId="274" fillId="108" borderId="189" xfId="5463" applyFont="1" applyFill="1" applyBorder="1" applyAlignment="1">
      <alignment horizontal="center" vertical="center"/>
    </xf>
    <xf numFmtId="0" fontId="35" fillId="11" borderId="0" xfId="6382" applyFont="1" applyFill="1" applyAlignment="1">
      <alignment horizontal="left" vertical="center" wrapText="1"/>
    </xf>
    <xf numFmtId="0" fontId="35" fillId="0" borderId="0" xfId="6382" applyFont="1" applyFill="1" applyAlignment="1">
      <alignment vertical="center" wrapText="1"/>
    </xf>
    <xf numFmtId="3" fontId="41" fillId="116" borderId="71" xfId="5342" applyNumberFormat="1" applyFont="1" applyFill="1" applyBorder="1" applyAlignment="1">
      <alignment horizontal="center" vertical="top" wrapText="1"/>
    </xf>
    <xf numFmtId="3" fontId="41" fillId="116" borderId="65" xfId="5342" applyNumberFormat="1" applyFont="1" applyFill="1" applyBorder="1" applyAlignment="1">
      <alignment horizontal="center" vertical="top" wrapText="1"/>
    </xf>
    <xf numFmtId="3" fontId="41" fillId="116" borderId="251" xfId="5342" applyNumberFormat="1" applyFont="1" applyFill="1" applyBorder="1" applyAlignment="1">
      <alignment horizontal="center" vertical="top" wrapText="1"/>
    </xf>
    <xf numFmtId="0" fontId="8" fillId="116" borderId="252" xfId="5342" applyFont="1" applyFill="1" applyBorder="1" applyAlignment="1">
      <alignment horizontal="center" vertical="top" wrapText="1"/>
    </xf>
    <xf numFmtId="0" fontId="8" fillId="116" borderId="6" xfId="5342" applyFont="1" applyFill="1" applyBorder="1" applyAlignment="1">
      <alignment horizontal="center" vertical="top" wrapText="1"/>
    </xf>
    <xf numFmtId="0" fontId="8" fillId="116" borderId="42" xfId="5342" applyFont="1" applyFill="1" applyBorder="1" applyAlignment="1">
      <alignment horizontal="center" vertical="top" wrapText="1"/>
    </xf>
    <xf numFmtId="0" fontId="8" fillId="116" borderId="39" xfId="5342" applyFont="1" applyFill="1" applyBorder="1" applyAlignment="1">
      <alignment horizontal="center" vertical="top" wrapText="1"/>
    </xf>
    <xf numFmtId="3" fontId="41" fillId="116" borderId="71" xfId="5342" applyNumberFormat="1" applyFont="1" applyFill="1" applyBorder="1" applyAlignment="1">
      <alignment horizontal="center" vertical="top"/>
    </xf>
    <xf numFmtId="3" fontId="41" fillId="116" borderId="65" xfId="5342" applyNumberFormat="1" applyFont="1" applyFill="1" applyBorder="1" applyAlignment="1">
      <alignment horizontal="center" vertical="top"/>
    </xf>
    <xf numFmtId="3" fontId="41" fillId="116" borderId="251" xfId="5342" applyNumberFormat="1" applyFont="1" applyFill="1" applyBorder="1" applyAlignment="1">
      <alignment horizontal="center" vertical="top"/>
    </xf>
    <xf numFmtId="3" fontId="41" fillId="116" borderId="8" xfId="5342" applyNumberFormat="1" applyFont="1" applyFill="1" applyBorder="1" applyAlignment="1">
      <alignment horizontal="center" vertical="top" wrapText="1"/>
    </xf>
    <xf numFmtId="3" fontId="41" fillId="116" borderId="9" xfId="5342" applyNumberFormat="1" applyFont="1" applyFill="1" applyBorder="1" applyAlignment="1">
      <alignment horizontal="center" vertical="top" wrapText="1"/>
    </xf>
    <xf numFmtId="3" fontId="41" fillId="116" borderId="10" xfId="5342" applyNumberFormat="1" applyFont="1" applyFill="1" applyBorder="1" applyAlignment="1">
      <alignment horizontal="center" vertical="top" wrapText="1"/>
    </xf>
    <xf numFmtId="0" fontId="8" fillId="116" borderId="252" xfId="5342" applyFont="1" applyFill="1" applyBorder="1" applyAlignment="1">
      <alignment vertical="top" wrapText="1"/>
    </xf>
    <xf numFmtId="0" fontId="8" fillId="116" borderId="10" xfId="5342" applyFont="1" applyFill="1" applyBorder="1" applyAlignment="1">
      <alignment vertical="top" wrapText="1"/>
    </xf>
    <xf numFmtId="0" fontId="8" fillId="116" borderId="42" xfId="5342" applyFont="1" applyFill="1" applyBorder="1" applyAlignment="1">
      <alignment vertical="top" wrapText="1"/>
    </xf>
    <xf numFmtId="0" fontId="3" fillId="100" borderId="178" xfId="2" applyFont="1" applyFill="1" applyBorder="1" applyAlignment="1">
      <alignment horizontal="center" vertical="center"/>
    </xf>
    <xf numFmtId="0" fontId="3" fillId="100" borderId="76" xfId="2" applyFont="1" applyFill="1" applyBorder="1" applyAlignment="1">
      <alignment horizontal="center" vertical="center"/>
    </xf>
    <xf numFmtId="0" fontId="3" fillId="100" borderId="189" xfId="2" applyFont="1" applyFill="1" applyBorder="1" applyAlignment="1">
      <alignment horizontal="center" vertical="center"/>
    </xf>
    <xf numFmtId="0" fontId="3" fillId="100" borderId="76" xfId="2" applyFont="1" applyFill="1" applyBorder="1" applyAlignment="1">
      <alignment horizontal="left" vertical="center"/>
    </xf>
    <xf numFmtId="0" fontId="3" fillId="100" borderId="189" xfId="2" applyFont="1" applyFill="1" applyBorder="1" applyAlignment="1">
      <alignment horizontal="left" vertical="center"/>
    </xf>
    <xf numFmtId="3" fontId="6" fillId="11" borderId="0" xfId="2" applyNumberFormat="1" applyFont="1" applyFill="1" applyAlignment="1">
      <alignment horizontal="left" vertical="center" wrapText="1"/>
    </xf>
    <xf numFmtId="0" fontId="227" fillId="11" borderId="0" xfId="5453" applyFont="1" applyFill="1" applyBorder="1" applyAlignment="1">
      <alignment horizontal="center" vertical="center"/>
    </xf>
    <xf numFmtId="0" fontId="43" fillId="100" borderId="27" xfId="5453" applyFont="1" applyFill="1" applyBorder="1" applyAlignment="1">
      <alignment horizontal="center" vertical="center" wrapText="1"/>
    </xf>
    <xf numFmtId="0" fontId="43" fillId="100" borderId="48" xfId="5453" applyFont="1" applyFill="1" applyBorder="1" applyAlignment="1">
      <alignment horizontal="center" vertical="center" wrapText="1"/>
    </xf>
    <xf numFmtId="0" fontId="43" fillId="100" borderId="175" xfId="5453" applyFont="1" applyFill="1" applyBorder="1" applyAlignment="1">
      <alignment horizontal="center" vertical="center"/>
    </xf>
    <xf numFmtId="0" fontId="43" fillId="100" borderId="28" xfId="5453" applyFont="1" applyFill="1" applyBorder="1" applyAlignment="1">
      <alignment horizontal="center" vertical="center"/>
    </xf>
    <xf numFmtId="0" fontId="43" fillId="100" borderId="55" xfId="5453" applyFont="1" applyFill="1" applyBorder="1" applyAlignment="1">
      <alignment horizontal="center" vertical="center"/>
    </xf>
    <xf numFmtId="0" fontId="43" fillId="100" borderId="255" xfId="5453" applyFont="1" applyFill="1" applyBorder="1" applyAlignment="1">
      <alignment horizontal="center" vertical="center"/>
    </xf>
    <xf numFmtId="0" fontId="43" fillId="100" borderId="256" xfId="5453" applyFont="1" applyFill="1" applyBorder="1" applyAlignment="1">
      <alignment horizontal="center" vertical="center"/>
    </xf>
    <xf numFmtId="167" fontId="10" fillId="11" borderId="37" xfId="5453" applyNumberFormat="1" applyFont="1" applyFill="1" applyBorder="1" applyAlignment="1">
      <alignment horizontal="center" vertical="center"/>
    </xf>
    <xf numFmtId="167" fontId="10" fillId="11" borderId="87" xfId="5453" applyNumberFormat="1" applyFont="1" applyFill="1" applyBorder="1" applyAlignment="1">
      <alignment horizontal="center" vertical="center"/>
    </xf>
    <xf numFmtId="167" fontId="10" fillId="11" borderId="4" xfId="5453" applyNumberFormat="1" applyFont="1" applyFill="1" applyBorder="1" applyAlignment="1">
      <alignment horizontal="center" vertical="center"/>
    </xf>
    <xf numFmtId="167" fontId="10" fillId="11" borderId="5" xfId="5453" applyNumberFormat="1" applyFont="1" applyFill="1" applyBorder="1" applyAlignment="1">
      <alignment horizontal="center" vertical="center"/>
    </xf>
    <xf numFmtId="0" fontId="43" fillId="117" borderId="178" xfId="5453" applyFont="1" applyFill="1" applyBorder="1" applyAlignment="1">
      <alignment horizontal="center" vertical="center" wrapText="1"/>
    </xf>
    <xf numFmtId="0" fontId="43" fillId="117" borderId="189" xfId="5453" applyFont="1" applyFill="1" applyBorder="1" applyAlignment="1">
      <alignment horizontal="center" vertical="center" wrapText="1"/>
    </xf>
    <xf numFmtId="0" fontId="3" fillId="100" borderId="258" xfId="5463" applyFont="1" applyFill="1" applyBorder="1" applyAlignment="1">
      <alignment horizontal="center" vertical="center" wrapText="1"/>
    </xf>
    <xf numFmtId="0" fontId="2" fillId="4" borderId="261" xfId="5346" applyFill="1" applyBorder="1" applyAlignment="1">
      <alignment horizontal="center" vertical="center" wrapText="1"/>
    </xf>
    <xf numFmtId="0" fontId="2" fillId="4" borderId="263" xfId="5346" applyFill="1" applyBorder="1" applyAlignment="1">
      <alignment horizontal="center" vertical="center" wrapText="1"/>
    </xf>
    <xf numFmtId="0" fontId="3" fillId="100" borderId="27" xfId="5463" applyFont="1" applyFill="1" applyBorder="1" applyAlignment="1">
      <alignment horizontal="center" vertical="center" wrapText="1"/>
    </xf>
    <xf numFmtId="0" fontId="2" fillId="4" borderId="32" xfId="5346" applyFill="1" applyBorder="1" applyAlignment="1">
      <alignment horizontal="center" vertical="center" wrapText="1"/>
    </xf>
    <xf numFmtId="0" fontId="2" fillId="4" borderId="48" xfId="5346" applyFill="1" applyBorder="1" applyAlignment="1">
      <alignment horizontal="center" vertical="center" wrapText="1"/>
    </xf>
    <xf numFmtId="0" fontId="3" fillId="100" borderId="261" xfId="5463" applyFont="1" applyFill="1" applyBorder="1" applyAlignment="1">
      <alignment horizontal="center"/>
    </xf>
    <xf numFmtId="0" fontId="3" fillId="100" borderId="9" xfId="5463" applyFont="1" applyFill="1" applyBorder="1" applyAlignment="1">
      <alignment horizontal="center"/>
    </xf>
    <xf numFmtId="0" fontId="3" fillId="100" borderId="262" xfId="5463" applyFont="1" applyFill="1" applyBorder="1" applyAlignment="1">
      <alignment horizontal="center"/>
    </xf>
    <xf numFmtId="0" fontId="3" fillId="100" borderId="263" xfId="5463" applyFont="1" applyFill="1" applyBorder="1" applyAlignment="1">
      <alignment horizontal="center"/>
    </xf>
    <xf numFmtId="0" fontId="3" fillId="100" borderId="50" xfId="5463" applyFont="1" applyFill="1" applyBorder="1" applyAlignment="1">
      <alignment horizontal="center"/>
    </xf>
    <xf numFmtId="0" fontId="3" fillId="100" borderId="264" xfId="5463" applyFont="1" applyFill="1" applyBorder="1" applyAlignment="1">
      <alignment horizontal="center"/>
    </xf>
    <xf numFmtId="0" fontId="26" fillId="100" borderId="126" xfId="5463" applyFont="1" applyFill="1" applyBorder="1" applyAlignment="1">
      <alignment horizontal="center"/>
    </xf>
    <xf numFmtId="0" fontId="26" fillId="100" borderId="124" xfId="5463" applyFont="1" applyFill="1" applyBorder="1" applyAlignment="1">
      <alignment horizontal="center"/>
    </xf>
    <xf numFmtId="0" fontId="26" fillId="100" borderId="125" xfId="5463" applyFont="1" applyFill="1" applyBorder="1" applyAlignment="1">
      <alignment horizontal="center"/>
    </xf>
    <xf numFmtId="0" fontId="3" fillId="100" borderId="258" xfId="5463" applyFont="1" applyFill="1" applyBorder="1" applyAlignment="1">
      <alignment horizontal="center"/>
    </xf>
    <xf numFmtId="0" fontId="3" fillId="100" borderId="259" xfId="5463" applyFont="1" applyFill="1" applyBorder="1" applyAlignment="1">
      <alignment horizontal="center"/>
    </xf>
    <xf numFmtId="0" fontId="3" fillId="100" borderId="260" xfId="5463" applyFont="1" applyFill="1" applyBorder="1" applyAlignment="1">
      <alignment horizontal="center"/>
    </xf>
    <xf numFmtId="219" fontId="27" fillId="11" borderId="4" xfId="5463" applyNumberFormat="1" applyFont="1" applyFill="1" applyBorder="1" applyAlignment="1">
      <alignment horizontal="center" vertical="center"/>
    </xf>
    <xf numFmtId="219" fontId="27" fillId="11" borderId="19" xfId="5463" applyNumberFormat="1" applyFont="1" applyFill="1" applyBorder="1" applyAlignment="1">
      <alignment horizontal="center" vertical="center"/>
    </xf>
    <xf numFmtId="219" fontId="27" fillId="11" borderId="49" xfId="5463" applyNumberFormat="1" applyFont="1" applyFill="1" applyBorder="1" applyAlignment="1">
      <alignment horizontal="center" vertical="center"/>
    </xf>
    <xf numFmtId="219" fontId="27" fillId="11" borderId="264" xfId="5463" applyNumberFormat="1" applyFont="1" applyFill="1" applyBorder="1" applyAlignment="1">
      <alignment horizontal="center" vertical="center"/>
    </xf>
    <xf numFmtId="219" fontId="27" fillId="11" borderId="0" xfId="5463" applyNumberFormat="1" applyFont="1" applyFill="1" applyBorder="1" applyAlignment="1">
      <alignment horizontal="center" vertical="center"/>
    </xf>
    <xf numFmtId="219" fontId="27" fillId="11" borderId="39" xfId="5463" applyNumberFormat="1" applyFont="1" applyFill="1" applyBorder="1" applyAlignment="1">
      <alignment horizontal="center" vertical="center"/>
    </xf>
    <xf numFmtId="219" fontId="27" fillId="11" borderId="262" xfId="5463" applyNumberFormat="1" applyFont="1" applyFill="1" applyBorder="1" applyAlignment="1">
      <alignment horizontal="center" vertical="center"/>
    </xf>
    <xf numFmtId="2" fontId="27" fillId="11" borderId="0" xfId="5463" applyNumberFormat="1" applyFont="1" applyFill="1" applyBorder="1" applyAlignment="1">
      <alignment horizontal="center" vertical="center"/>
    </xf>
    <xf numFmtId="2" fontId="27" fillId="11" borderId="19" xfId="5463" applyNumberFormat="1" applyFont="1" applyFill="1" applyBorder="1" applyAlignment="1">
      <alignment horizontal="center" vertical="center"/>
    </xf>
    <xf numFmtId="219" fontId="27" fillId="11" borderId="11" xfId="5463" applyNumberFormat="1" applyFont="1" applyFill="1" applyBorder="1" applyAlignment="1">
      <alignment horizontal="center" vertical="center"/>
    </xf>
    <xf numFmtId="219" fontId="27" fillId="11" borderId="270" xfId="5463" applyNumberFormat="1" applyFont="1" applyFill="1" applyBorder="1" applyAlignment="1">
      <alignment horizontal="center" vertical="center"/>
    </xf>
    <xf numFmtId="0" fontId="322" fillId="105" borderId="257" xfId="5463" applyFont="1" applyFill="1" applyBorder="1" applyAlignment="1">
      <alignment horizontal="center" vertical="center"/>
    </xf>
    <xf numFmtId="0" fontId="322" fillId="105" borderId="17" xfId="5463" applyFont="1" applyFill="1" applyBorder="1" applyAlignment="1">
      <alignment horizontal="center" vertical="center"/>
    </xf>
    <xf numFmtId="0" fontId="322" fillId="105" borderId="4" xfId="5463" applyFont="1" applyFill="1" applyBorder="1" applyAlignment="1">
      <alignment horizontal="center" vertical="center"/>
    </xf>
    <xf numFmtId="0" fontId="322" fillId="105" borderId="19" xfId="5463" applyFont="1" applyFill="1" applyBorder="1" applyAlignment="1">
      <alignment horizontal="center" vertical="center"/>
    </xf>
    <xf numFmtId="0" fontId="326" fillId="105" borderId="117" xfId="5463" applyFont="1" applyFill="1" applyBorder="1" applyAlignment="1">
      <alignment horizontal="center" vertical="center"/>
    </xf>
    <xf numFmtId="0" fontId="326" fillId="105" borderId="24" xfId="5463" applyFont="1" applyFill="1" applyBorder="1" applyAlignment="1">
      <alignment horizontal="center" vertical="center"/>
    </xf>
    <xf numFmtId="0" fontId="34" fillId="11" borderId="16" xfId="5463" applyFont="1" applyFill="1" applyBorder="1" applyAlignment="1">
      <alignment horizontal="center" vertical="center"/>
    </xf>
    <xf numFmtId="0" fontId="34" fillId="11" borderId="17" xfId="5463" applyFont="1" applyFill="1" applyBorder="1" applyAlignment="1">
      <alignment horizontal="center" vertical="center"/>
    </xf>
    <xf numFmtId="0" fontId="49" fillId="3" borderId="37" xfId="5613" applyFont="1" applyFill="1" applyBorder="1" applyAlignment="1">
      <alignment horizontal="center" vertical="center" wrapText="1"/>
    </xf>
    <xf numFmtId="0" fontId="49" fillId="3" borderId="53" xfId="5613" applyFont="1" applyFill="1" applyBorder="1" applyAlignment="1">
      <alignment horizontal="center" vertical="center" wrapText="1"/>
    </xf>
    <xf numFmtId="0" fontId="41" fillId="13" borderId="20" xfId="5346" applyFont="1" applyFill="1" applyBorder="1" applyAlignment="1">
      <alignment horizontal="center" vertical="center"/>
    </xf>
    <xf numFmtId="0" fontId="41" fillId="13" borderId="281" xfId="5346" applyFont="1" applyFill="1" applyBorder="1" applyAlignment="1">
      <alignment horizontal="center" vertical="center"/>
    </xf>
    <xf numFmtId="0" fontId="41" fillId="13" borderId="282" xfId="5346" applyFont="1" applyFill="1" applyBorder="1" applyAlignment="1">
      <alignment horizontal="center" vertical="center"/>
    </xf>
    <xf numFmtId="0" fontId="49" fillId="3" borderId="261" xfId="5613" applyFont="1" applyFill="1" applyBorder="1" applyAlignment="1">
      <alignment horizontal="center" vertical="center" wrapText="1"/>
    </xf>
    <xf numFmtId="0" fontId="49" fillId="3" borderId="263" xfId="5613" applyFont="1" applyFill="1" applyBorder="1" applyAlignment="1">
      <alignment horizontal="center" vertical="center" wrapText="1"/>
    </xf>
    <xf numFmtId="0" fontId="49" fillId="3" borderId="38" xfId="5613" applyFont="1" applyFill="1" applyBorder="1" applyAlignment="1">
      <alignment horizontal="center" vertical="center" wrapText="1"/>
    </xf>
    <xf numFmtId="0" fontId="49" fillId="3" borderId="54" xfId="5613" applyFont="1" applyFill="1" applyBorder="1" applyAlignment="1">
      <alignment horizontal="center" vertical="center" wrapText="1"/>
    </xf>
    <xf numFmtId="0" fontId="49" fillId="3" borderId="40" xfId="5613" applyFont="1" applyFill="1" applyBorder="1" applyAlignment="1">
      <alignment horizontal="center" vertical="center" wrapText="1"/>
    </xf>
    <xf numFmtId="0" fontId="49" fillId="3" borderId="52" xfId="5613" applyFont="1" applyFill="1" applyBorder="1" applyAlignment="1">
      <alignment horizontal="center" vertical="center" wrapText="1"/>
    </xf>
    <xf numFmtId="0" fontId="49" fillId="3" borderId="273" xfId="5613" applyFont="1" applyFill="1" applyBorder="1" applyAlignment="1">
      <alignment horizontal="center" vertical="center" wrapText="1"/>
    </xf>
    <xf numFmtId="0" fontId="49" fillId="3" borderId="274" xfId="5613" applyFont="1" applyFill="1" applyBorder="1" applyAlignment="1">
      <alignment horizontal="center" vertical="center" wrapText="1"/>
    </xf>
    <xf numFmtId="0" fontId="49" fillId="3" borderId="182" xfId="5613" applyFont="1" applyFill="1" applyBorder="1" applyAlignment="1">
      <alignment horizontal="center" vertical="center" wrapText="1"/>
    </xf>
    <xf numFmtId="0" fontId="49" fillId="3" borderId="275" xfId="5613" applyFont="1" applyFill="1" applyBorder="1" applyAlignment="1">
      <alignment horizontal="center" vertical="center" wrapText="1"/>
    </xf>
    <xf numFmtId="0" fontId="49" fillId="11" borderId="0" xfId="6381" applyFont="1" applyFill="1" applyBorder="1" applyAlignment="1">
      <alignment horizontal="left" wrapText="1" readingOrder="1"/>
    </xf>
    <xf numFmtId="0" fontId="18" fillId="11" borderId="0" xfId="6381" applyFont="1" applyFill="1" applyAlignment="1">
      <alignment horizontal="left" wrapText="1"/>
    </xf>
    <xf numFmtId="0" fontId="34" fillId="4" borderId="286" xfId="6381" applyFont="1" applyFill="1" applyBorder="1" applyAlignment="1">
      <alignment horizontal="center"/>
    </xf>
    <xf numFmtId="0" fontId="34" fillId="4" borderId="109" xfId="6381" applyFont="1" applyFill="1" applyBorder="1" applyAlignment="1">
      <alignment horizontal="center"/>
    </xf>
    <xf numFmtId="0" fontId="34" fillId="4" borderId="287" xfId="6381" applyFont="1" applyFill="1" applyBorder="1" applyAlignment="1">
      <alignment horizontal="center"/>
    </xf>
    <xf numFmtId="0" fontId="34" fillId="4" borderId="212" xfId="6381" applyFont="1" applyFill="1" applyBorder="1" applyAlignment="1">
      <alignment horizontal="center"/>
    </xf>
    <xf numFmtId="0" fontId="34" fillId="4" borderId="2" xfId="6381" applyFont="1" applyFill="1" applyBorder="1" applyAlignment="1">
      <alignment horizontal="center"/>
    </xf>
    <xf numFmtId="0" fontId="34" fillId="4" borderId="33" xfId="6381" applyFont="1" applyFill="1" applyBorder="1" applyAlignment="1">
      <alignment horizontal="center"/>
    </xf>
    <xf numFmtId="0" fontId="34" fillId="4" borderId="3" xfId="6381" applyFont="1" applyFill="1" applyBorder="1" applyAlignment="1">
      <alignment horizontal="center"/>
    </xf>
    <xf numFmtId="0" fontId="34" fillId="119" borderId="297" xfId="6381" applyFont="1" applyFill="1" applyBorder="1" applyAlignment="1">
      <alignment horizontal="center"/>
    </xf>
    <xf numFmtId="0" fontId="34" fillId="119" borderId="298" xfId="6381" applyFont="1" applyFill="1" applyBorder="1" applyAlignment="1">
      <alignment horizontal="center"/>
    </xf>
    <xf numFmtId="0" fontId="34" fillId="119" borderId="299" xfId="6381" applyFont="1" applyFill="1" applyBorder="1" applyAlignment="1">
      <alignment horizontal="center"/>
    </xf>
    <xf numFmtId="0" fontId="34" fillId="119" borderId="300" xfId="6381" applyFont="1" applyFill="1" applyBorder="1" applyAlignment="1">
      <alignment horizontal="center"/>
    </xf>
    <xf numFmtId="0" fontId="3" fillId="100" borderId="175" xfId="2" applyFont="1" applyFill="1" applyBorder="1" applyAlignment="1">
      <alignment horizontal="center" vertical="center"/>
    </xf>
    <xf numFmtId="0" fontId="3" fillId="100" borderId="256" xfId="2" applyFont="1" applyFill="1" applyBorder="1" applyAlignment="1">
      <alignment horizontal="center" vertical="center"/>
    </xf>
    <xf numFmtId="0" fontId="3" fillId="100" borderId="193" xfId="2" applyFont="1" applyFill="1" applyBorder="1" applyAlignment="1">
      <alignment horizontal="center" vertical="center"/>
    </xf>
    <xf numFmtId="0" fontId="3" fillId="100" borderId="119" xfId="2" applyFont="1" applyFill="1" applyBorder="1" applyAlignment="1">
      <alignment horizontal="center" vertical="center"/>
    </xf>
    <xf numFmtId="0" fontId="23" fillId="4" borderId="26" xfId="5342" applyFont="1" applyFill="1" applyBorder="1" applyAlignment="1">
      <alignment horizontal="left" vertical="center"/>
    </xf>
    <xf numFmtId="0" fontId="23" fillId="4" borderId="39" xfId="5342" applyFont="1" applyFill="1" applyBorder="1" applyAlignment="1">
      <alignment horizontal="left" vertical="center"/>
    </xf>
    <xf numFmtId="0" fontId="3" fillId="4" borderId="252" xfId="5342" applyFont="1" applyFill="1" applyBorder="1" applyAlignment="1">
      <alignment horizontal="left" vertical="center"/>
    </xf>
    <xf numFmtId="0" fontId="3" fillId="4" borderId="42" xfId="5342" applyFont="1" applyFill="1" applyBorder="1" applyAlignment="1">
      <alignment horizontal="left" vertical="center"/>
    </xf>
    <xf numFmtId="0" fontId="39" fillId="11" borderId="0" xfId="5342" applyFont="1" applyFill="1" applyAlignment="1">
      <alignment wrapText="1"/>
    </xf>
    <xf numFmtId="0" fontId="23" fillId="0" borderId="0" xfId="5342" applyAlignment="1">
      <alignment wrapText="1"/>
    </xf>
    <xf numFmtId="0" fontId="11" fillId="11" borderId="0" xfId="5493" applyFont="1" applyFill="1" applyBorder="1" applyAlignment="1">
      <alignment vertical="center" wrapText="1"/>
    </xf>
    <xf numFmtId="0" fontId="23" fillId="11" borderId="0" xfId="5342" applyFill="1" applyBorder="1" applyAlignment="1">
      <alignment vertical="center" wrapText="1"/>
    </xf>
    <xf numFmtId="0" fontId="3" fillId="4" borderId="63" xfId="5342" applyFont="1" applyFill="1" applyBorder="1" applyAlignment="1">
      <alignment horizontal="center" vertical="center" wrapText="1"/>
    </xf>
    <xf numFmtId="0" fontId="23" fillId="4" borderId="113" xfId="5342" applyFont="1" applyFill="1" applyBorder="1" applyAlignment="1">
      <alignment horizontal="center" vertical="center" wrapText="1"/>
    </xf>
    <xf numFmtId="49" fontId="3" fillId="4" borderId="8" xfId="5342" applyNumberFormat="1" applyFont="1" applyFill="1" applyBorder="1" applyAlignment="1">
      <alignment horizontal="center" vertical="center" wrapText="1"/>
    </xf>
    <xf numFmtId="49" fontId="3" fillId="4" borderId="10" xfId="5342" applyNumberFormat="1" applyFont="1" applyFill="1" applyBorder="1" applyAlignment="1">
      <alignment horizontal="center" vertical="center" wrapText="1"/>
    </xf>
    <xf numFmtId="277" fontId="3" fillId="11" borderId="100" xfId="4542" applyNumberFormat="1" applyFont="1" applyFill="1" applyBorder="1" applyAlignment="1">
      <alignment horizontal="center" vertical="center" wrapText="1"/>
    </xf>
    <xf numFmtId="277" fontId="3" fillId="11" borderId="101" xfId="4542" applyNumberFormat="1" applyFont="1" applyFill="1" applyBorder="1" applyAlignment="1">
      <alignment horizontal="center" vertical="center" wrapText="1"/>
    </xf>
    <xf numFmtId="49" fontId="3" fillId="4" borderId="103" xfId="5342" applyNumberFormat="1" applyFont="1" applyFill="1" applyBorder="1" applyAlignment="1">
      <alignment horizontal="center" vertical="center" wrapText="1"/>
    </xf>
    <xf numFmtId="49" fontId="3" fillId="4" borderId="91" xfId="5342" applyNumberFormat="1" applyFont="1" applyFill="1" applyBorder="1" applyAlignment="1">
      <alignment horizontal="center" vertical="center" wrapText="1"/>
    </xf>
    <xf numFmtId="0" fontId="3" fillId="4" borderId="308" xfId="5342" applyFont="1" applyFill="1" applyBorder="1" applyAlignment="1">
      <alignment horizontal="center" vertical="center" wrapText="1"/>
    </xf>
    <xf numFmtId="0" fontId="3" fillId="4" borderId="309" xfId="5342" applyFont="1" applyFill="1" applyBorder="1" applyAlignment="1">
      <alignment horizontal="center" vertical="center" wrapText="1"/>
    </xf>
    <xf numFmtId="0" fontId="23" fillId="4" borderId="26" xfId="5493" applyFont="1" applyFill="1" applyBorder="1" applyAlignment="1">
      <alignment horizontal="left" vertical="center"/>
    </xf>
    <xf numFmtId="0" fontId="23" fillId="4" borderId="39" xfId="5493" applyFont="1" applyFill="1" applyBorder="1" applyAlignment="1">
      <alignment horizontal="left" vertical="center"/>
    </xf>
    <xf numFmtId="0" fontId="39" fillId="0" borderId="65" xfId="5493" applyFont="1" applyFill="1" applyBorder="1" applyAlignment="1">
      <alignment wrapText="1"/>
    </xf>
    <xf numFmtId="0" fontId="23" fillId="0" borderId="65" xfId="5493" applyBorder="1" applyAlignment="1">
      <alignment wrapText="1"/>
    </xf>
    <xf numFmtId="0" fontId="11" fillId="0" borderId="105" xfId="5493" applyFont="1" applyFill="1" applyBorder="1" applyAlignment="1">
      <alignment horizontal="left" vertical="center" wrapText="1"/>
    </xf>
    <xf numFmtId="0" fontId="3" fillId="4" borderId="63" xfId="5493" applyFont="1" applyFill="1" applyBorder="1" applyAlignment="1">
      <alignment horizontal="center" vertical="center" wrapText="1"/>
    </xf>
    <xf numFmtId="0" fontId="23" fillId="4" borderId="113" xfId="5493" applyFont="1" applyFill="1" applyBorder="1" applyAlignment="1">
      <alignment horizontal="center" vertical="center" wrapText="1"/>
    </xf>
    <xf numFmtId="0" fontId="3" fillId="4" borderId="71" xfId="5493" applyFont="1" applyFill="1" applyBorder="1" applyAlignment="1">
      <alignment horizontal="left" vertical="center"/>
    </xf>
    <xf numFmtId="0" fontId="3" fillId="4" borderId="251" xfId="5493" applyFont="1" applyFill="1" applyBorder="1" applyAlignment="1">
      <alignment horizontal="left" vertical="center"/>
    </xf>
    <xf numFmtId="0" fontId="3" fillId="4" borderId="26" xfId="5493" applyFont="1" applyFill="1" applyBorder="1" applyAlignment="1">
      <alignment horizontal="left" vertical="center"/>
    </xf>
    <xf numFmtId="0" fontId="3" fillId="4" borderId="39" xfId="5493" applyFont="1" applyFill="1" applyBorder="1" applyAlignment="1">
      <alignment horizontal="left" vertical="center"/>
    </xf>
    <xf numFmtId="49" fontId="3" fillId="4" borderId="8" xfId="5493" applyNumberFormat="1" applyFont="1" applyFill="1" applyBorder="1" applyAlignment="1">
      <alignment horizontal="center" vertical="center" wrapText="1"/>
    </xf>
    <xf numFmtId="49" fontId="3" fillId="4" borderId="10" xfId="5493" applyNumberFormat="1" applyFont="1" applyFill="1" applyBorder="1" applyAlignment="1">
      <alignment horizontal="center" vertical="center" wrapText="1"/>
    </xf>
    <xf numFmtId="0" fontId="3" fillId="4" borderId="100" xfId="5493" applyFont="1" applyFill="1" applyBorder="1" applyAlignment="1">
      <alignment horizontal="center" vertical="center"/>
    </xf>
    <xf numFmtId="0" fontId="3" fillId="4" borderId="101" xfId="5493" applyFont="1" applyFill="1" applyBorder="1" applyAlignment="1">
      <alignment horizontal="center" vertical="center"/>
    </xf>
    <xf numFmtId="49" fontId="3" fillId="4" borderId="103" xfId="5493" applyNumberFormat="1" applyFont="1" applyFill="1" applyBorder="1" applyAlignment="1">
      <alignment horizontal="center" vertical="center" wrapText="1"/>
    </xf>
    <xf numFmtId="49" fontId="3" fillId="4" borderId="91" xfId="5493" applyNumberFormat="1" applyFont="1" applyFill="1" applyBorder="1" applyAlignment="1">
      <alignment horizontal="center" vertical="center" wrapText="1"/>
    </xf>
    <xf numFmtId="0" fontId="3" fillId="4" borderId="308" xfId="5493" applyFont="1" applyFill="1" applyBorder="1" applyAlignment="1">
      <alignment horizontal="center" vertical="center" wrapText="1"/>
    </xf>
    <xf numFmtId="0" fontId="3" fillId="4" borderId="309" xfId="5493" applyFont="1" applyFill="1" applyBorder="1" applyAlignment="1">
      <alignment horizontal="center" vertical="center" wrapText="1"/>
    </xf>
    <xf numFmtId="0" fontId="345" fillId="0" borderId="0" xfId="5346" applyFont="1" applyBorder="1" applyAlignment="1">
      <alignment horizontal="center" vertical="center" wrapText="1"/>
    </xf>
    <xf numFmtId="0" fontId="348" fillId="0" borderId="74" xfId="5346" applyFont="1" applyBorder="1" applyAlignment="1">
      <alignment horizontal="center" wrapText="1"/>
    </xf>
    <xf numFmtId="0" fontId="348" fillId="0" borderId="178" xfId="5346" applyFont="1" applyBorder="1" applyAlignment="1">
      <alignment horizontal="center" wrapText="1"/>
    </xf>
    <xf numFmtId="0" fontId="349" fillId="0" borderId="2" xfId="5346" applyFont="1" applyBorder="1" applyAlignment="1">
      <alignment horizontal="left" wrapText="1"/>
    </xf>
    <xf numFmtId="0" fontId="18" fillId="121" borderId="35" xfId="6393" applyFont="1" applyFill="1" applyBorder="1" applyAlignment="1">
      <alignment horizontal="center"/>
    </xf>
    <xf numFmtId="0" fontId="18" fillId="121" borderId="44" xfId="6393" applyFont="1" applyFill="1" applyBorder="1" applyAlignment="1">
      <alignment horizontal="center"/>
    </xf>
    <xf numFmtId="0" fontId="257" fillId="121" borderId="271" xfId="6393" applyFont="1" applyFill="1" applyBorder="1" applyAlignment="1">
      <alignment horizontal="center"/>
    </xf>
    <xf numFmtId="0" fontId="257" fillId="121" borderId="252" xfId="6393" applyFont="1" applyFill="1" applyBorder="1" applyAlignment="1">
      <alignment horizontal="center"/>
    </xf>
    <xf numFmtId="0" fontId="124" fillId="121" borderId="313" xfId="6393" applyFont="1" applyFill="1" applyBorder="1" applyAlignment="1">
      <alignment horizontal="center" vertical="center" wrapText="1"/>
    </xf>
    <xf numFmtId="0" fontId="124" fillId="121" borderId="181" xfId="6393" applyFont="1" applyFill="1" applyBorder="1" applyAlignment="1">
      <alignment horizontal="center" vertical="center" wrapText="1"/>
    </xf>
    <xf numFmtId="0" fontId="124" fillId="121" borderId="45" xfId="6393" applyFont="1" applyFill="1" applyBorder="1" applyAlignment="1">
      <alignment horizontal="center" vertical="center" wrapText="1"/>
    </xf>
    <xf numFmtId="0" fontId="353" fillId="0" borderId="0" xfId="6393" applyFont="1" applyAlignment="1">
      <alignment horizontal="left" wrapText="1"/>
    </xf>
    <xf numFmtId="0" fontId="256" fillId="121" borderId="271" xfId="6393" applyFont="1" applyFill="1" applyBorder="1" applyAlignment="1">
      <alignment horizontal="center" vertical="top" wrapText="1"/>
    </xf>
    <xf numFmtId="0" fontId="256" fillId="121" borderId="252" xfId="6393" applyFont="1" applyFill="1" applyBorder="1" applyAlignment="1">
      <alignment horizontal="center" vertical="top" wrapText="1"/>
    </xf>
    <xf numFmtId="0" fontId="23" fillId="0" borderId="45" xfId="5342" applyBorder="1" applyAlignment="1">
      <alignment horizontal="center" vertical="center" wrapText="1"/>
    </xf>
    <xf numFmtId="0" fontId="41" fillId="3" borderId="55" xfId="5463" applyFont="1" applyFill="1" applyBorder="1" applyAlignment="1">
      <alignment horizontal="center" vertical="center"/>
    </xf>
    <xf numFmtId="0" fontId="41" fillId="3" borderId="256" xfId="5463" applyFont="1" applyFill="1" applyBorder="1" applyAlignment="1">
      <alignment horizontal="center" vertical="center"/>
    </xf>
    <xf numFmtId="0" fontId="145" fillId="11" borderId="0" xfId="5463" applyFont="1" applyFill="1" applyBorder="1" applyAlignment="1">
      <alignment horizontal="left" vertical="center" wrapText="1"/>
    </xf>
  </cellXfs>
  <cellStyles count="6408">
    <cellStyle name=" 1" xfId="7"/>
    <cellStyle name=" Writer Import]_x000d__x000a_Display Dialog=No_x000d__x000a__x000d__x000a_[Horizontal Arrange]_x000d__x000a_Dimensions Interlocking=Yes_x000d__x000a_Sum Hierarchy=Yes_x000d__x000a_Generate" xfId="8"/>
    <cellStyle name=" Writer Import]_x000d__x000a_Display Dialog=No_x000d__x000a__x000d__x000a_[Horizontal Arrange]_x000d__x000a_Dimensions Interlocking=Yes_x000d__x000a_Sum Hierarchy=Yes_x000d__x000a_Generate 2" xfId="9"/>
    <cellStyle name="$" xfId="10"/>
    <cellStyle name="$ &amp; ¢" xfId="11"/>
    <cellStyle name="$_Bank Info Shameen Nov.2008" xfId="12"/>
    <cellStyle name="$_Bank Info Shameen Oct.2008" xfId="13"/>
    <cellStyle name="$_Book5" xfId="14"/>
    <cellStyle name="$_Derivatives-Aug 08" xfId="15"/>
    <cellStyle name="$_Derivatives-Sep-08" xfId="16"/>
    <cellStyle name="$_FV of Derivatives - 30 09 08 Amended" xfId="17"/>
    <cellStyle name="$_FV of Derivatives - 30 11 08 - Latest" xfId="18"/>
    <cellStyle name="$_FV of Derivatives - 31 10 08" xfId="19"/>
    <cellStyle name="$_FV of Derivatives - 31 12 08 (Final)" xfId="20"/>
    <cellStyle name="$_IBM Input Sheet 20080930 v1 2 - Submit 04" xfId="21"/>
    <cellStyle name="$_IBM Input Sheet 20081031 v0 8 submit 03" xfId="22"/>
    <cellStyle name="$_Investment-Sep_08" xfId="23"/>
    <cellStyle name="$_MUR position" xfId="24"/>
    <cellStyle name="$_PL" xfId="25"/>
    <cellStyle name="$_PL_MUR position" xfId="26"/>
    <cellStyle name="$_PL_Report Finance" xfId="27"/>
    <cellStyle name="$_PL_Sheet1" xfId="28"/>
    <cellStyle name="$_Schedules 20080930" xfId="29"/>
    <cellStyle name="$_Sheet1" xfId="30"/>
    <cellStyle name="%" xfId="31"/>
    <cellStyle name="%.00" xfId="32"/>
    <cellStyle name="??" xfId="33"/>
    <cellStyle name="?? [0.00]_PLDT" xfId="34"/>
    <cellStyle name="???? [0.00]_PLDT" xfId="35"/>
    <cellStyle name="????_PLDT" xfId="36"/>
    <cellStyle name="??_10-08" xfId="37"/>
    <cellStyle name="]_x000d__x000a_Width=797_x000d__x000a_Height=554_x000d__x000a__x000d__x000a_[Code]_x000d__x000a_Code0=/nyf50_x000d__x000a_Code1=4500000136_x000d__x000a_Code2=ME23_x000d__x000a_Code3=4500002322_x000d__x000a_Code4=#_x000d__x000a_Code5=MB01_x000d__x000a_" xfId="38"/>
    <cellStyle name="]_x000d__x000a_Width=797_x000d__x000a_Height=554_x000d__x000a__x000d__x000a_[Code]_x000d__x000a_Code0=/nyf50_x000d__x000a_Code1=4500000136_x000d__x000a_Code2=ME23_x000d__x000a_Code3=4500002322_x000d__x000a_Code4=#_x000d__x000a_Code5=MB01_x000d__x000a_ 2" xfId="39"/>
    <cellStyle name="^February 1992" xfId="40"/>
    <cellStyle name="_%(SignOnly)" xfId="41"/>
    <cellStyle name="_%(SignSpaceOnly)" xfId="42"/>
    <cellStyle name="_(07) Feb-08 Loan" xfId="43"/>
    <cellStyle name="_(07) Feb-08 Loan_MUR position" xfId="44"/>
    <cellStyle name="_(07) Feb-08 Loan_Recon" xfId="45"/>
    <cellStyle name="_(07) Feb-08 Loan_Recon W1" xfId="46"/>
    <cellStyle name="_(07) Feb-08 Loan_Recon W1_Sheet1" xfId="47"/>
    <cellStyle name="_(07) Feb-08 Loan_Recon_1" xfId="48"/>
    <cellStyle name="_(07) Feb-08 Loan_Recon_1_Sheet1" xfId="49"/>
    <cellStyle name="_(07) Feb-08 Loan_Recon_2" xfId="50"/>
    <cellStyle name="_(07) Feb-08 Loan_Recon_2_Sheet1" xfId="51"/>
    <cellStyle name="_(07) Feb-08 Loan_Recon_3" xfId="52"/>
    <cellStyle name="_(07) Feb-08 Loan_Recon_3_Sheet1" xfId="53"/>
    <cellStyle name="_(07) Feb-08 Loan_Recon_4" xfId="54"/>
    <cellStyle name="_(07) Feb-08 Loan_Recon_5" xfId="55"/>
    <cellStyle name="_(07) Feb-08 Loan_Recon_Sheet1" xfId="56"/>
    <cellStyle name="_(07) Feb-08 Loan_Reconciliation" xfId="57"/>
    <cellStyle name="_(07) Feb-08 Loan_Reconciliation_1" xfId="58"/>
    <cellStyle name="_(07) Feb-08 Loan_Reconciliation_1_Sheet1" xfId="59"/>
    <cellStyle name="_(07) Feb-08 Loan_Reconciliation_2" xfId="60"/>
    <cellStyle name="_(07) Feb-08 Loan_Reconciliation_2_Sheet1" xfId="61"/>
    <cellStyle name="_(07) Feb-08 Loan_Reconciliation_3" xfId="62"/>
    <cellStyle name="_(07) Feb-08 Loan_Reconciliation_3_Sheet1" xfId="63"/>
    <cellStyle name="_(07) Feb-08 Loan_Reconciliation_Sheet1" xfId="64"/>
    <cellStyle name="_(07) Feb-08 Loan_Sheet1" xfId="65"/>
    <cellStyle name="_(08) Mar-08 Loan" xfId="66"/>
    <cellStyle name="_(08) Mar-08 Loan_MUR position" xfId="67"/>
    <cellStyle name="_(08) Mar-08 Loan_Recon" xfId="68"/>
    <cellStyle name="_(08) Mar-08 Loan_Recon W1" xfId="69"/>
    <cellStyle name="_(08) Mar-08 Loan_Recon W1_Sheet1" xfId="70"/>
    <cellStyle name="_(08) Mar-08 Loan_Recon_1" xfId="71"/>
    <cellStyle name="_(08) Mar-08 Loan_Recon_1_Sheet1" xfId="72"/>
    <cellStyle name="_(08) Mar-08 Loan_Recon_2" xfId="73"/>
    <cellStyle name="_(08) Mar-08 Loan_Recon_2_Sheet1" xfId="74"/>
    <cellStyle name="_(08) Mar-08 Loan_Recon_3" xfId="75"/>
    <cellStyle name="_(08) Mar-08 Loan_Recon_3_Sheet1" xfId="76"/>
    <cellStyle name="_(08) Mar-08 Loan_Recon_4" xfId="77"/>
    <cellStyle name="_(08) Mar-08 Loan_Recon_5" xfId="78"/>
    <cellStyle name="_(08) Mar-08 Loan_Recon_Sheet1" xfId="79"/>
    <cellStyle name="_(08) Mar-08 Loan_Reconciliation" xfId="80"/>
    <cellStyle name="_(08) Mar-08 Loan_Reconciliation_1" xfId="81"/>
    <cellStyle name="_(08) Mar-08 Loan_Reconciliation_1_Sheet1" xfId="82"/>
    <cellStyle name="_(08) Mar-08 Loan_Reconciliation_2" xfId="83"/>
    <cellStyle name="_(08) Mar-08 Loan_Reconciliation_2_Sheet1" xfId="84"/>
    <cellStyle name="_(08) Mar-08 Loan_Reconciliation_3" xfId="85"/>
    <cellStyle name="_(08) Mar-08 Loan_Reconciliation_3_Sheet1" xfId="86"/>
    <cellStyle name="_(08) Mar-08 Loan_Reconciliation_Sheet1" xfId="87"/>
    <cellStyle name="_(08) Mar-08 Loan_Sheet1" xfId="88"/>
    <cellStyle name="_~temp~705547512a" xfId="89"/>
    <cellStyle name="_~temp~705547512a_MUR position" xfId="90"/>
    <cellStyle name="_~temp~705547512a_Sheet1" xfId="91"/>
    <cellStyle name="_050802 Pool_Information" xfId="92"/>
    <cellStyle name="_050802 Pool_Information_MUR position" xfId="93"/>
    <cellStyle name="_050802 Pool_Information_Sheet1" xfId="94"/>
    <cellStyle name="_06.27.05 CBO XIV West LB" xfId="95"/>
    <cellStyle name="_08_IBM_Centralised_FINAL_Interdiv Recon final" xfId="96"/>
    <cellStyle name="_08_IBM_Centralised_FINAL_Interdiv Recon final_(26) Oct-09 (AL)" xfId="97"/>
    <cellStyle name="_08_IBM_Centralised_FINAL_Interdiv Recon final_(26) Oct-09 (AL)_IBM_Grouped(2)" xfId="98"/>
    <cellStyle name="_08_IBM_Centralised_FINAL_Interdiv Recon final_(26) Oct-09 (AL)_IBM_Grouped(2)_Recon" xfId="99"/>
    <cellStyle name="_08_IBM_Centralised_FINAL_Interdiv Recon final_(26) Oct-09 (AL)_IBM_Grouped(2)_Recon to Segmental Report" xfId="100"/>
    <cellStyle name="_08_IBM_Centralised_FINAL_Interdiv Recon final_(26) Oct-09 (AL)_IBM_Grouped(2)_Recon_1" xfId="101"/>
    <cellStyle name="_08_IBM_Centralised_FINAL_Interdiv Recon final_(26) Oct-09 (AL)_IBM_Grouped(2)_Recon_2" xfId="102"/>
    <cellStyle name="_08_IBM_Centralised_FINAL_Interdiv Recon final_(26) Oct-09 (AL)_IBM_Grouped(2)_Recon_2_Sheet1" xfId="103"/>
    <cellStyle name="_08_IBM_Centralised_FINAL_Interdiv Recon final_(26) Oct-09 (AL)_IBM_Grouped(2)_Recon_3" xfId="104"/>
    <cellStyle name="_08_IBM_Centralised_FINAL_Interdiv Recon final_(26) Oct-09 (AL)_IBM_Grouped(2)_Recon_3_Sheet1" xfId="105"/>
    <cellStyle name="_08_IBM_Centralised_FINAL_Interdiv Recon final_(26) Oct-09 (AL)_IBM_Grouped(2)_Recon_4" xfId="106"/>
    <cellStyle name="_08_IBM_Centralised_FINAL_Interdiv Recon final_(26) Oct-09 (AL)_IBM_Grouped(2)_Recon_4_Sheet1" xfId="107"/>
    <cellStyle name="_08_IBM_Centralised_FINAL_Interdiv Recon final_(26) Oct-09 (AL)_IBM_Grouped(2)_Recon_5" xfId="108"/>
    <cellStyle name="_08_IBM_Centralised_FINAL_Interdiv Recon final_(26) Oct-09 (AL)_IBM_Grouped(2)_Recon_6" xfId="109"/>
    <cellStyle name="_08_IBM_Centralised_FINAL_Interdiv Recon final_(26) Oct-09 (AL)_IBM_Grouped(2)_Recon_Sheet1" xfId="110"/>
    <cellStyle name="_08_IBM_Centralised_FINAL_Interdiv Recon final_(26) Oct-09 (AL)_IBM_Grouped(2)_Reconciliation" xfId="111"/>
    <cellStyle name="_08_IBM_Centralised_FINAL_Interdiv Recon final_(26) Oct-09 (AL)_IBM_Grouped(2)_Reconciliation_1" xfId="112"/>
    <cellStyle name="_08_IBM_Centralised_FINAL_Interdiv Recon final_(26) Oct-09 (AL)_IBM_Grouped(2)_Reconciliation_1_Sheet1" xfId="113"/>
    <cellStyle name="_08_IBM_Centralised_FINAL_Interdiv Recon final_(26) Oct-09 (AL)_IBM_Grouped(2)_Reconciliation_2" xfId="114"/>
    <cellStyle name="_08_IBM_Centralised_FINAL_Interdiv Recon final_(26) Oct-09 (AL)_IBM_Grouped(2)_Reconciliation_3" xfId="115"/>
    <cellStyle name="_08_IBM_Centralised_FINAL_Interdiv Recon final_(26) Oct-09 (AL)_IBM_Grouped(2)_Reconciliation_3_Sheet1" xfId="116"/>
    <cellStyle name="_08_IBM_Centralised_FINAL_Interdiv Recon final_(26) Oct-09 (AL)_IBM_Grouped(2)_Reconciliation_Sheet1" xfId="117"/>
    <cellStyle name="_08_IBM_Centralised_FINAL_Interdiv Recon final_(26) Oct-09 (AL)_IBM_Grouped(2)_Sheet1" xfId="118"/>
    <cellStyle name="_08_IBM_Centralised_FINAL_Interdiv Recon final_(26) Oct-09 (AL)_Recon" xfId="119"/>
    <cellStyle name="_08_IBM_Centralised_FINAL_Interdiv Recon final_(26) Oct-09 (AL)_Recon W1" xfId="120"/>
    <cellStyle name="_08_IBM_Centralised_FINAL_Interdiv Recon final_(26) Oct-09 (AL)_Recon W1_Sheet1" xfId="121"/>
    <cellStyle name="_08_IBM_Centralised_FINAL_Interdiv Recon final_(26) Oct-09 (AL)_Recon_1" xfId="122"/>
    <cellStyle name="_08_IBM_Centralised_FINAL_Interdiv Recon final_(26) Oct-09 (AL)_Recon_1_Sheet1" xfId="123"/>
    <cellStyle name="_08_IBM_Centralised_FINAL_Interdiv Recon final_(26) Oct-09 (AL)_Recon_2" xfId="124"/>
    <cellStyle name="_08_IBM_Centralised_FINAL_Interdiv Recon final_(26) Oct-09 (AL)_Recon_2_Sheet1" xfId="125"/>
    <cellStyle name="_08_IBM_Centralised_FINAL_Interdiv Recon final_(26) Oct-09 (AL)_Recon_3" xfId="126"/>
    <cellStyle name="_08_IBM_Centralised_FINAL_Interdiv Recon final_(26) Oct-09 (AL)_Recon_3_Sheet1" xfId="127"/>
    <cellStyle name="_08_IBM_Centralised_FINAL_Interdiv Recon final_(26) Oct-09 (AL)_Recon_4" xfId="128"/>
    <cellStyle name="_08_IBM_Centralised_FINAL_Interdiv Recon final_(26) Oct-09 (AL)_Recon_5" xfId="129"/>
    <cellStyle name="_08_IBM_Centralised_FINAL_Interdiv Recon final_(26) Oct-09 (AL)_Recon_Sheet1" xfId="130"/>
    <cellStyle name="_08_IBM_Centralised_FINAL_Interdiv Recon final_(26) Oct-09 (AL)_Reconciliation" xfId="131"/>
    <cellStyle name="_08_IBM_Centralised_FINAL_Interdiv Recon final_(26) Oct-09 (AL)_Reconciliation_1" xfId="132"/>
    <cellStyle name="_08_IBM_Centralised_FINAL_Interdiv Recon final_(26) Oct-09 (AL)_Reconciliation_1_Sheet1" xfId="133"/>
    <cellStyle name="_08_IBM_Centralised_FINAL_Interdiv Recon final_(26) Oct-09 (AL)_Reconciliation_2" xfId="134"/>
    <cellStyle name="_08_IBM_Centralised_FINAL_Interdiv Recon final_(26) Oct-09 (AL)_Reconciliation_2_Sheet1" xfId="135"/>
    <cellStyle name="_08_IBM_Centralised_FINAL_Interdiv Recon final_(26) Oct-09 (AL)_Reconciliation_3" xfId="136"/>
    <cellStyle name="_08_IBM_Centralised_FINAL_Interdiv Recon final_(26) Oct-09 (AL)_Reconciliation_3_Sheet1" xfId="137"/>
    <cellStyle name="_08_IBM_Centralised_FINAL_Interdiv Recon final_(26) Oct-09 (AL)_Reconciliation_Sheet1" xfId="138"/>
    <cellStyle name="_08_IBM_Centralised_FINAL_Interdiv Recon final_(27) Nov-09 (AL)" xfId="139"/>
    <cellStyle name="_08_IBM_Centralised_FINAL_Interdiv Recon final_(27) Nov-09 (AL)_IBM_Grouped(2)" xfId="140"/>
    <cellStyle name="_08_IBM_Centralised_FINAL_Interdiv Recon final_(27) Nov-09 (AL)_IBM_Grouped(2)_Recon" xfId="141"/>
    <cellStyle name="_08_IBM_Centralised_FINAL_Interdiv Recon final_(27) Nov-09 (AL)_IBM_Grouped(2)_Recon to Segmental Report" xfId="142"/>
    <cellStyle name="_08_IBM_Centralised_FINAL_Interdiv Recon final_(27) Nov-09 (AL)_IBM_Grouped(2)_Recon_1" xfId="143"/>
    <cellStyle name="_08_IBM_Centralised_FINAL_Interdiv Recon final_(27) Nov-09 (AL)_IBM_Grouped(2)_Recon_2" xfId="144"/>
    <cellStyle name="_08_IBM_Centralised_FINAL_Interdiv Recon final_(27) Nov-09 (AL)_IBM_Grouped(2)_Recon_2_Sheet1" xfId="145"/>
    <cellStyle name="_08_IBM_Centralised_FINAL_Interdiv Recon final_(27) Nov-09 (AL)_IBM_Grouped(2)_Recon_3" xfId="146"/>
    <cellStyle name="_08_IBM_Centralised_FINAL_Interdiv Recon final_(27) Nov-09 (AL)_IBM_Grouped(2)_Recon_3_Sheet1" xfId="147"/>
    <cellStyle name="_08_IBM_Centralised_FINAL_Interdiv Recon final_(27) Nov-09 (AL)_IBM_Grouped(2)_Recon_4" xfId="148"/>
    <cellStyle name="_08_IBM_Centralised_FINAL_Interdiv Recon final_(27) Nov-09 (AL)_IBM_Grouped(2)_Recon_4_Sheet1" xfId="149"/>
    <cellStyle name="_08_IBM_Centralised_FINAL_Interdiv Recon final_(27) Nov-09 (AL)_IBM_Grouped(2)_Recon_5" xfId="150"/>
    <cellStyle name="_08_IBM_Centralised_FINAL_Interdiv Recon final_(27) Nov-09 (AL)_IBM_Grouped(2)_Recon_6" xfId="151"/>
    <cellStyle name="_08_IBM_Centralised_FINAL_Interdiv Recon final_(27) Nov-09 (AL)_IBM_Grouped(2)_Recon_Sheet1" xfId="152"/>
    <cellStyle name="_08_IBM_Centralised_FINAL_Interdiv Recon final_(27) Nov-09 (AL)_IBM_Grouped(2)_Reconciliation" xfId="153"/>
    <cellStyle name="_08_IBM_Centralised_FINAL_Interdiv Recon final_(27) Nov-09 (AL)_IBM_Grouped(2)_Reconciliation_1" xfId="154"/>
    <cellStyle name="_08_IBM_Centralised_FINAL_Interdiv Recon final_(27) Nov-09 (AL)_IBM_Grouped(2)_Reconciliation_1_Sheet1" xfId="155"/>
    <cellStyle name="_08_IBM_Centralised_FINAL_Interdiv Recon final_(27) Nov-09 (AL)_IBM_Grouped(2)_Reconciliation_2" xfId="156"/>
    <cellStyle name="_08_IBM_Centralised_FINAL_Interdiv Recon final_(27) Nov-09 (AL)_IBM_Grouped(2)_Reconciliation_3" xfId="157"/>
    <cellStyle name="_08_IBM_Centralised_FINAL_Interdiv Recon final_(27) Nov-09 (AL)_IBM_Grouped(2)_Reconciliation_3_Sheet1" xfId="158"/>
    <cellStyle name="_08_IBM_Centralised_FINAL_Interdiv Recon final_(27) Nov-09 (AL)_IBM_Grouped(2)_Reconciliation_Sheet1" xfId="159"/>
    <cellStyle name="_08_IBM_Centralised_FINAL_Interdiv Recon final_(27) Nov-09 (AL)_IBM_Grouped(2)_Sheet1" xfId="160"/>
    <cellStyle name="_08_IBM_Centralised_FINAL_Interdiv Recon final_(27) Nov-09 (AL)_Recon" xfId="161"/>
    <cellStyle name="_08_IBM_Centralised_FINAL_Interdiv Recon final_(27) Nov-09 (AL)_Recon W1" xfId="162"/>
    <cellStyle name="_08_IBM_Centralised_FINAL_Interdiv Recon final_(27) Nov-09 (AL)_Recon W1_Sheet1" xfId="163"/>
    <cellStyle name="_08_IBM_Centralised_FINAL_Interdiv Recon final_(27) Nov-09 (AL)_Recon_1" xfId="164"/>
    <cellStyle name="_08_IBM_Centralised_FINAL_Interdiv Recon final_(27) Nov-09 (AL)_Recon_1_Sheet1" xfId="165"/>
    <cellStyle name="_08_IBM_Centralised_FINAL_Interdiv Recon final_(27) Nov-09 (AL)_Recon_2" xfId="166"/>
    <cellStyle name="_08_IBM_Centralised_FINAL_Interdiv Recon final_(27) Nov-09 (AL)_Recon_2_Sheet1" xfId="167"/>
    <cellStyle name="_08_IBM_Centralised_FINAL_Interdiv Recon final_(27) Nov-09 (AL)_Recon_3" xfId="168"/>
    <cellStyle name="_08_IBM_Centralised_FINAL_Interdiv Recon final_(27) Nov-09 (AL)_Recon_3_Sheet1" xfId="169"/>
    <cellStyle name="_08_IBM_Centralised_FINAL_Interdiv Recon final_(27) Nov-09 (AL)_Recon_4" xfId="170"/>
    <cellStyle name="_08_IBM_Centralised_FINAL_Interdiv Recon final_(27) Nov-09 (AL)_Recon_5" xfId="171"/>
    <cellStyle name="_08_IBM_Centralised_FINAL_Interdiv Recon final_(27) Nov-09 (AL)_Recon_Sheet1" xfId="172"/>
    <cellStyle name="_08_IBM_Centralised_FINAL_Interdiv Recon final_(27) Nov-09 (AL)_Reconciliation" xfId="173"/>
    <cellStyle name="_08_IBM_Centralised_FINAL_Interdiv Recon final_(27) Nov-09 (AL)_Reconciliation_1" xfId="174"/>
    <cellStyle name="_08_IBM_Centralised_FINAL_Interdiv Recon final_(27) Nov-09 (AL)_Reconciliation_1_Sheet1" xfId="175"/>
    <cellStyle name="_08_IBM_Centralised_FINAL_Interdiv Recon final_(27) Nov-09 (AL)_Reconciliation_2" xfId="176"/>
    <cellStyle name="_08_IBM_Centralised_FINAL_Interdiv Recon final_(27) Nov-09 (AL)_Reconciliation_2_Sheet1" xfId="177"/>
    <cellStyle name="_08_IBM_Centralised_FINAL_Interdiv Recon final_(27) Nov-09 (AL)_Reconciliation_3" xfId="178"/>
    <cellStyle name="_08_IBM_Centralised_FINAL_Interdiv Recon final_(27) Nov-09 (AL)_Reconciliation_3_Sheet1" xfId="179"/>
    <cellStyle name="_08_IBM_Centralised_FINAL_Interdiv Recon final_(27) Nov-09 (AL)_Reconciliation_Sheet1" xfId="180"/>
    <cellStyle name="_08_IBM_Centralised_FINAL_Interdiv Recon final_31.12.09 Mauritius-USD based ledger - Final1" xfId="181"/>
    <cellStyle name="_08_IBM_Centralised_FINAL_Interdiv Recon final_Book1 (4)" xfId="182"/>
    <cellStyle name="_08_IBM_Centralised_FINAL_Interdiv Recon final_Book4" xfId="183"/>
    <cellStyle name="_08_IBM_Centralised_FINAL_Interdiv Recon final_Book4_Recon" xfId="184"/>
    <cellStyle name="_08_IBM_Centralised_FINAL_Interdiv Recon final_Book4_Recon W1" xfId="185"/>
    <cellStyle name="_08_IBM_Centralised_FINAL_Interdiv Recon final_Book4_Recon W1_Sheet1" xfId="186"/>
    <cellStyle name="_08_IBM_Centralised_FINAL_Interdiv Recon final_Book4_Recon_1" xfId="187"/>
    <cellStyle name="_08_IBM_Centralised_FINAL_Interdiv Recon final_Book4_Recon_1_Sheet1" xfId="188"/>
    <cellStyle name="_08_IBM_Centralised_FINAL_Interdiv Recon final_Book4_Recon_2" xfId="189"/>
    <cellStyle name="_08_IBM_Centralised_FINAL_Interdiv Recon final_Book4_Recon_2_Sheet1" xfId="190"/>
    <cellStyle name="_08_IBM_Centralised_FINAL_Interdiv Recon final_Book4_Recon_3" xfId="191"/>
    <cellStyle name="_08_IBM_Centralised_FINAL_Interdiv Recon final_Book4_Recon_3_Sheet1" xfId="192"/>
    <cellStyle name="_08_IBM_Centralised_FINAL_Interdiv Recon final_Book4_Recon_4" xfId="193"/>
    <cellStyle name="_08_IBM_Centralised_FINAL_Interdiv Recon final_Book4_Recon_5" xfId="194"/>
    <cellStyle name="_08_IBM_Centralised_FINAL_Interdiv Recon final_Book4_Recon_Sheet1" xfId="195"/>
    <cellStyle name="_08_IBM_Centralised_FINAL_Interdiv Recon final_Book4_Reconciliation" xfId="196"/>
    <cellStyle name="_08_IBM_Centralised_FINAL_Interdiv Recon final_Book4_Reconciliation_1" xfId="197"/>
    <cellStyle name="_08_IBM_Centralised_FINAL_Interdiv Recon final_Book4_Reconciliation_1_Sheet1" xfId="198"/>
    <cellStyle name="_08_IBM_Centralised_FINAL_Interdiv Recon final_Book4_Reconciliation_2" xfId="199"/>
    <cellStyle name="_08_IBM_Centralised_FINAL_Interdiv Recon final_Book4_Reconciliation_2_Sheet1" xfId="200"/>
    <cellStyle name="_08_IBM_Centralised_FINAL_Interdiv Recon final_Book4_Reconciliation_3" xfId="201"/>
    <cellStyle name="_08_IBM_Centralised_FINAL_Interdiv Recon final_Book4_Reconciliation_3_Sheet1" xfId="202"/>
    <cellStyle name="_08_IBM_Centralised_FINAL_Interdiv Recon final_Book4_Reconciliation_Sheet1" xfId="203"/>
    <cellStyle name="_08_IBM_Centralised_FINAL_Interdiv Recon final_capital adequacy September 2009" xfId="204"/>
    <cellStyle name="_08_IBM_Centralised_FINAL_Interdiv Recon final_capital adequacy September 2009_IBM_Grouped(2)" xfId="205"/>
    <cellStyle name="_08_IBM_Centralised_FINAL_Interdiv Recon final_capital adequacy September 2009_IBM_Grouped(2)_Recon" xfId="206"/>
    <cellStyle name="_08_IBM_Centralised_FINAL_Interdiv Recon final_capital adequacy September 2009_IBM_Grouped(2)_Recon to Segmental Report" xfId="207"/>
    <cellStyle name="_08_IBM_Centralised_FINAL_Interdiv Recon final_capital adequacy September 2009_IBM_Grouped(2)_Recon_1" xfId="208"/>
    <cellStyle name="_08_IBM_Centralised_FINAL_Interdiv Recon final_capital adequacy September 2009_IBM_Grouped(2)_Recon_2" xfId="209"/>
    <cellStyle name="_08_IBM_Centralised_FINAL_Interdiv Recon final_capital adequacy September 2009_IBM_Grouped(2)_Recon_2_Sheet1" xfId="210"/>
    <cellStyle name="_08_IBM_Centralised_FINAL_Interdiv Recon final_capital adequacy September 2009_IBM_Grouped(2)_Recon_3" xfId="211"/>
    <cellStyle name="_08_IBM_Centralised_FINAL_Interdiv Recon final_capital adequacy September 2009_IBM_Grouped(2)_Recon_3_Sheet1" xfId="212"/>
    <cellStyle name="_08_IBM_Centralised_FINAL_Interdiv Recon final_capital adequacy September 2009_IBM_Grouped(2)_Recon_4" xfId="213"/>
    <cellStyle name="_08_IBM_Centralised_FINAL_Interdiv Recon final_capital adequacy September 2009_IBM_Grouped(2)_Recon_4_Sheet1" xfId="214"/>
    <cellStyle name="_08_IBM_Centralised_FINAL_Interdiv Recon final_capital adequacy September 2009_IBM_Grouped(2)_Recon_5" xfId="215"/>
    <cellStyle name="_08_IBM_Centralised_FINAL_Interdiv Recon final_capital adequacy September 2009_IBM_Grouped(2)_Recon_6" xfId="216"/>
    <cellStyle name="_08_IBM_Centralised_FINAL_Interdiv Recon final_capital adequacy September 2009_IBM_Grouped(2)_Recon_Sheet1" xfId="217"/>
    <cellStyle name="_08_IBM_Centralised_FINAL_Interdiv Recon final_capital adequacy September 2009_IBM_Grouped(2)_Reconciliation" xfId="218"/>
    <cellStyle name="_08_IBM_Centralised_FINAL_Interdiv Recon final_capital adequacy September 2009_IBM_Grouped(2)_Reconciliation_1" xfId="219"/>
    <cellStyle name="_08_IBM_Centralised_FINAL_Interdiv Recon final_capital adequacy September 2009_IBM_Grouped(2)_Reconciliation_1_Sheet1" xfId="220"/>
    <cellStyle name="_08_IBM_Centralised_FINAL_Interdiv Recon final_capital adequacy September 2009_IBM_Grouped(2)_Reconciliation_2" xfId="221"/>
    <cellStyle name="_08_IBM_Centralised_FINAL_Interdiv Recon final_capital adequacy September 2009_IBM_Grouped(2)_Reconciliation_3" xfId="222"/>
    <cellStyle name="_08_IBM_Centralised_FINAL_Interdiv Recon final_capital adequacy September 2009_IBM_Grouped(2)_Reconciliation_3_Sheet1" xfId="223"/>
    <cellStyle name="_08_IBM_Centralised_FINAL_Interdiv Recon final_capital adequacy September 2009_IBM_Grouped(2)_Reconciliation_Sheet1" xfId="224"/>
    <cellStyle name="_08_IBM_Centralised_FINAL_Interdiv Recon final_capital adequacy September 2009_IBM_Grouped(2)_Sheet1" xfId="225"/>
    <cellStyle name="_08_IBM_Centralised_FINAL_Interdiv Recon final_capital adequacy September 2009_Recon" xfId="226"/>
    <cellStyle name="_08_IBM_Centralised_FINAL_Interdiv Recon final_capital adequacy September 2009_Recon W1" xfId="227"/>
    <cellStyle name="_08_IBM_Centralised_FINAL_Interdiv Recon final_capital adequacy September 2009_Recon W1_Sheet1" xfId="228"/>
    <cellStyle name="_08_IBM_Centralised_FINAL_Interdiv Recon final_capital adequacy September 2009_Recon_1" xfId="229"/>
    <cellStyle name="_08_IBM_Centralised_FINAL_Interdiv Recon final_capital adequacy September 2009_Recon_1_Sheet1" xfId="230"/>
    <cellStyle name="_08_IBM_Centralised_FINAL_Interdiv Recon final_capital adequacy September 2009_Recon_2" xfId="231"/>
    <cellStyle name="_08_IBM_Centralised_FINAL_Interdiv Recon final_capital adequacy September 2009_Recon_2_Sheet1" xfId="232"/>
    <cellStyle name="_08_IBM_Centralised_FINAL_Interdiv Recon final_capital adequacy September 2009_Recon_3" xfId="233"/>
    <cellStyle name="_08_IBM_Centralised_FINAL_Interdiv Recon final_capital adequacy September 2009_Recon_3_Sheet1" xfId="234"/>
    <cellStyle name="_08_IBM_Centralised_FINAL_Interdiv Recon final_capital adequacy September 2009_Recon_4" xfId="235"/>
    <cellStyle name="_08_IBM_Centralised_FINAL_Interdiv Recon final_capital adequacy September 2009_Recon_5" xfId="236"/>
    <cellStyle name="_08_IBM_Centralised_FINAL_Interdiv Recon final_capital adequacy September 2009_Recon_Sheet1" xfId="237"/>
    <cellStyle name="_08_IBM_Centralised_FINAL_Interdiv Recon final_capital adequacy September 2009_Reconciliation" xfId="238"/>
    <cellStyle name="_08_IBM_Centralised_FINAL_Interdiv Recon final_capital adequacy September 2009_Reconciliation_1" xfId="239"/>
    <cellStyle name="_08_IBM_Centralised_FINAL_Interdiv Recon final_capital adequacy September 2009_Reconciliation_1_Sheet1" xfId="240"/>
    <cellStyle name="_08_IBM_Centralised_FINAL_Interdiv Recon final_capital adequacy September 2009_Reconciliation_2" xfId="241"/>
    <cellStyle name="_08_IBM_Centralised_FINAL_Interdiv Recon final_capital adequacy September 2009_Reconciliation_2_Sheet1" xfId="242"/>
    <cellStyle name="_08_IBM_Centralised_FINAL_Interdiv Recon final_capital adequacy September 2009_Reconciliation_3" xfId="243"/>
    <cellStyle name="_08_IBM_Centralised_FINAL_Interdiv Recon final_capital adequacy September 2009_Reconciliation_3_Sheet1" xfId="244"/>
    <cellStyle name="_08_IBM_Centralised_FINAL_Interdiv Recon final_capital adequacy September 2009_Reconciliation_Sheet1" xfId="245"/>
    <cellStyle name="_08_IBM_Centralised_FINAL_Interdiv Recon final_Copy of Mauritius-USD based ledger" xfId="246"/>
    <cellStyle name="_08_IBM_Centralised_FINAL_Interdiv Recon final_Copy of Mauritius-USD based ledger_Recon" xfId="247"/>
    <cellStyle name="_08_IBM_Centralised_FINAL_Interdiv Recon final_Copy of Mauritius-USD based ledger_Recon W1" xfId="248"/>
    <cellStyle name="_08_IBM_Centralised_FINAL_Interdiv Recon final_Copy of Mauritius-USD based ledger_Recon W1_Sheet1" xfId="249"/>
    <cellStyle name="_08_IBM_Centralised_FINAL_Interdiv Recon final_Copy of Mauritius-USD based ledger_Recon_1" xfId="250"/>
    <cellStyle name="_08_IBM_Centralised_FINAL_Interdiv Recon final_Copy of Mauritius-USD based ledger_Recon_1_Sheet1" xfId="251"/>
    <cellStyle name="_08_IBM_Centralised_FINAL_Interdiv Recon final_Copy of Mauritius-USD based ledger_Recon_2" xfId="252"/>
    <cellStyle name="_08_IBM_Centralised_FINAL_Interdiv Recon final_Copy of Mauritius-USD based ledger_Recon_2_Sheet1" xfId="253"/>
    <cellStyle name="_08_IBM_Centralised_FINAL_Interdiv Recon final_Copy of Mauritius-USD based ledger_Recon_3" xfId="254"/>
    <cellStyle name="_08_IBM_Centralised_FINAL_Interdiv Recon final_Copy of Mauritius-USD based ledger_Recon_3_Sheet1" xfId="255"/>
    <cellStyle name="_08_IBM_Centralised_FINAL_Interdiv Recon final_Copy of Mauritius-USD based ledger_Reconciliation" xfId="256"/>
    <cellStyle name="_08_IBM_Centralised_FINAL_Interdiv Recon final_Copy of Mauritius-USD based ledger_Reconciliation_1" xfId="257"/>
    <cellStyle name="_08_IBM_Centralised_FINAL_Interdiv Recon final_Copy of Mauritius-USD based ledger_Reconciliation_2" xfId="258"/>
    <cellStyle name="_08_IBM_Centralised_FINAL_Interdiv Recon final_Copy of Mauritius-USD based ledger_Reconciliation_3" xfId="259"/>
    <cellStyle name="_08_IBM_Centralised_FINAL_Interdiv Recon final_Fixed Assets Register 11 Feb10" xfId="260"/>
    <cellStyle name="_08_IBM_Centralised_FINAL_Interdiv Recon final_Fixed Assets Register 11 Feb10_(19) Loan Feb-11(Feb-11 figures)" xfId="261"/>
    <cellStyle name="_08_IBM_Centralised_FINAL_Interdiv Recon final_Fixed Assets Register 12 Mar10.xls" xfId="262"/>
    <cellStyle name="_08_IBM_Centralised_FINAL_Interdiv Recon final_Fixed Assets Register 12 Mar10.xls_(19) Loan Feb-11(Feb-11 figures)" xfId="263"/>
    <cellStyle name="_08_IBM_Centralised_FINAL_Interdiv Recon final_IBM Input Sheet 31.03.2010 v0.4" xfId="264"/>
    <cellStyle name="_08_IBM_Centralised_FINAL_Interdiv Recon final_IBM Input Sheet 31.03.2010 v0.4_(19) Loan Feb-11(Feb-11 figures)" xfId="265"/>
    <cellStyle name="_08_IBM_Centralised_FINAL_Interdiv Recon final_IBM_Grouped(2)" xfId="266"/>
    <cellStyle name="_08_IBM_Centralised_FINAL_Interdiv Recon final_IBM_Grouped(2)_Recon" xfId="267"/>
    <cellStyle name="_08_IBM_Centralised_FINAL_Interdiv Recon final_IBM_Grouped(2)_Recon W1" xfId="268"/>
    <cellStyle name="_08_IBM_Centralised_FINAL_Interdiv Recon final_IBM_Grouped(2)_Recon_1" xfId="269"/>
    <cellStyle name="_08_IBM_Centralised_FINAL_Interdiv Recon final_IBM_Grouped(2)_Recon_2" xfId="270"/>
    <cellStyle name="_08_IBM_Centralised_FINAL_Interdiv Recon final_IBM_Grouped(2)_Recon_3" xfId="271"/>
    <cellStyle name="_08_IBM_Centralised_FINAL_Interdiv Recon final_IBM_Grouped(2)_Reconciliation" xfId="272"/>
    <cellStyle name="_08_IBM_Centralised_FINAL_Interdiv Recon final_IBM_Grouped(2)_Reconciliation_1" xfId="273"/>
    <cellStyle name="_08_IBM_Centralised_FINAL_Interdiv Recon final_IBM_Grouped(2)_Reconciliation_2" xfId="274"/>
    <cellStyle name="_08_IBM_Centralised_FINAL_Interdiv Recon final_IBM_Grouped(2)_Reconciliation_3" xfId="275"/>
    <cellStyle name="_08_IBM_Centralised_FINAL_Interdiv Recon final_IBM_Grouped_USD" xfId="276"/>
    <cellStyle name="_08_IBM_Centralised_FINAL_Interdiv Recon final_IBM_Grouped_USD_Recon" xfId="277"/>
    <cellStyle name="_08_IBM_Centralised_FINAL_Interdiv Recon final_IBM_Grouped_USD_Recon W1" xfId="278"/>
    <cellStyle name="_08_IBM_Centralised_FINAL_Interdiv Recon final_IBM_Grouped_USD_Recon_1" xfId="279"/>
    <cellStyle name="_08_IBM_Centralised_FINAL_Interdiv Recon final_IBM_Grouped_USD_Recon_2" xfId="280"/>
    <cellStyle name="_08_IBM_Centralised_FINAL_Interdiv Recon final_IBM_Grouped_USD_Recon_3" xfId="281"/>
    <cellStyle name="_08_IBM_Centralised_FINAL_Interdiv Recon final_IBM_Grouped_USD_Reconciliation" xfId="282"/>
    <cellStyle name="_08_IBM_Centralised_FINAL_Interdiv Recon final_IBM_Grouped_USD_Reconciliation_1" xfId="283"/>
    <cellStyle name="_08_IBM_Centralised_FINAL_Interdiv Recon final_IBM_Grouped_USD_Reconciliation_2" xfId="284"/>
    <cellStyle name="_08_IBM_Centralised_FINAL_Interdiv Recon final_IBM_Grouped_USD_Reconciliation_3" xfId="285"/>
    <cellStyle name="_08_IBM_Centralised_FINAL_Interdiv Recon final_IBM_Grouped_ZAR" xfId="286"/>
    <cellStyle name="_08_IBM_Centralised_FINAL_Interdiv Recon final_IBM_Grouped_ZAR_Recon" xfId="287"/>
    <cellStyle name="_08_IBM_Centralised_FINAL_Interdiv Recon final_IBM_Grouped_ZAR_Recon W1" xfId="288"/>
    <cellStyle name="_08_IBM_Centralised_FINAL_Interdiv Recon final_IBM_Grouped_ZAR_Recon_1" xfId="289"/>
    <cellStyle name="_08_IBM_Centralised_FINAL_Interdiv Recon final_IBM_Grouped_ZAR_Recon_2" xfId="290"/>
    <cellStyle name="_08_IBM_Centralised_FINAL_Interdiv Recon final_IBM_Grouped_ZAR_Recon_3" xfId="291"/>
    <cellStyle name="_08_IBM_Centralised_FINAL_Interdiv Recon final_IBM_Grouped_ZAR_Reconciliation" xfId="292"/>
    <cellStyle name="_08_IBM_Centralised_FINAL_Interdiv Recon final_IBM_Grouped_ZAR_Reconciliation_1" xfId="293"/>
    <cellStyle name="_08_IBM_Centralised_FINAL_Interdiv Recon final_IBM_Grouped_ZAR_Reconciliation_2" xfId="294"/>
    <cellStyle name="_08_IBM_Centralised_FINAL_Interdiv Recon final_IBM_Grouped_ZAR_Reconciliation_3" xfId="295"/>
    <cellStyle name="_08_IBM_Centralised_FINAL_Interdiv Recon final_Liquidity and repricing" xfId="296"/>
    <cellStyle name="_08_IBM_Centralised_FINAL_Interdiv Recon final_Liquidity and repricing_IBM_Grouped(2)" xfId="297"/>
    <cellStyle name="_08_IBM_Centralised_FINAL_Interdiv Recon final_Liquidity and repricing_IBM_Grouped(2)_Recon" xfId="298"/>
    <cellStyle name="_08_IBM_Centralised_FINAL_Interdiv Recon final_Liquidity and repricing_IBM_Grouped(2)_Recon to Segmental Report" xfId="299"/>
    <cellStyle name="_08_IBM_Centralised_FINAL_Interdiv Recon final_Liquidity and repricing_IBM_Grouped(2)_Recon_1" xfId="300"/>
    <cellStyle name="_08_IBM_Centralised_FINAL_Interdiv Recon final_Liquidity and repricing_IBM_Grouped(2)_Recon_2" xfId="301"/>
    <cellStyle name="_08_IBM_Centralised_FINAL_Interdiv Recon final_Liquidity and repricing_IBM_Grouped(2)_Recon_3" xfId="302"/>
    <cellStyle name="_08_IBM_Centralised_FINAL_Interdiv Recon final_Liquidity and repricing_IBM_Grouped(2)_Recon_4" xfId="303"/>
    <cellStyle name="_08_IBM_Centralised_FINAL_Interdiv Recon final_Liquidity and repricing_IBM_Grouped(2)_Reconciliation" xfId="304"/>
    <cellStyle name="_08_IBM_Centralised_FINAL_Interdiv Recon final_Liquidity and repricing_IBM_Grouped(2)_Reconciliation_1" xfId="305"/>
    <cellStyle name="_08_IBM_Centralised_FINAL_Interdiv Recon final_Liquidity and repricing_IBM_Grouped(2)_Reconciliation_2" xfId="306"/>
    <cellStyle name="_08_IBM_Centralised_FINAL_Interdiv Recon final_Liquidity and repricing_IBM_Grouped(2)_Reconciliation_3" xfId="307"/>
    <cellStyle name="_08_IBM_Centralised_FINAL_Interdiv Recon final_Liquidity and repricing_Recon" xfId="308"/>
    <cellStyle name="_08_IBM_Centralised_FINAL_Interdiv Recon final_Liquidity and repricing_Recon W1" xfId="309"/>
    <cellStyle name="_08_IBM_Centralised_FINAL_Interdiv Recon final_Liquidity and repricing_Recon_1" xfId="310"/>
    <cellStyle name="_08_IBM_Centralised_FINAL_Interdiv Recon final_Liquidity and repricing_Recon_2" xfId="311"/>
    <cellStyle name="_08_IBM_Centralised_FINAL_Interdiv Recon final_Liquidity and repricing_Recon_3" xfId="312"/>
    <cellStyle name="_08_IBM_Centralised_FINAL_Interdiv Recon final_Liquidity and repricing_Reconciliation" xfId="313"/>
    <cellStyle name="_08_IBM_Centralised_FINAL_Interdiv Recon final_Liquidity and repricing_Reconciliation_1" xfId="314"/>
    <cellStyle name="_08_IBM_Centralised_FINAL_Interdiv Recon final_Liquidity and repricing_Reconciliation_2" xfId="315"/>
    <cellStyle name="_08_IBM_Centralised_FINAL_Interdiv Recon final_Liquidity and repricing_Reconciliation_3" xfId="316"/>
    <cellStyle name="_08_IBM_Centralised_FINAL_Interdiv Recon final_MUR position" xfId="317"/>
    <cellStyle name="_08_IBM_Centralised_FINAL_Interdiv Recon final_MUR position_1" xfId="318"/>
    <cellStyle name="_08_IBM_Centralised_FINAL_Interdiv Recon final_NOP 2010 01 31 USD BASED" xfId="319"/>
    <cellStyle name="_08_IBM_Centralised_FINAL_Interdiv Recon final_NOP 2010 01 31 USD BASED_Report Finance" xfId="320"/>
    <cellStyle name="_08_IBM_Centralised_FINAL_Interdiv Recon final_NOP 2010 02 28 USD BASED Final" xfId="321"/>
    <cellStyle name="_08_IBM_Centralised_FINAL_Interdiv Recon final_NOP 2010 02 28 USD BASED Final_Report Finance" xfId="322"/>
    <cellStyle name="_08_IBM_Centralised_FINAL_Interdiv Recon final_NOP 2010 03 31 USD BASEDrevised" xfId="323"/>
    <cellStyle name="_08_IBM_Centralised_FINAL_Interdiv Recon final_NOP 2010 03 31 USD BASEDrevised_Report Finance" xfId="324"/>
    <cellStyle name="_08_IBM_Centralised_FINAL_Interdiv Recon final_NOP 2010 04 30" xfId="325"/>
    <cellStyle name="_08_IBM_Centralised_FINAL_Interdiv Recon final_NOP 2010 04 30_Recon" xfId="326"/>
    <cellStyle name="_08_IBM_Centralised_FINAL_Interdiv Recon final_NOP 2010 04 30_Recon W1" xfId="327"/>
    <cellStyle name="_08_IBM_Centralised_FINAL_Interdiv Recon final_NOP 2010 04 30_Recon_1" xfId="328"/>
    <cellStyle name="_08_IBM_Centralised_FINAL_Interdiv Recon final_NOP 2010 04 30_Recon_2" xfId="329"/>
    <cellStyle name="_08_IBM_Centralised_FINAL_Interdiv Recon final_NOP 2010 04 30_Recon_3" xfId="330"/>
    <cellStyle name="_08_IBM_Centralised_FINAL_Interdiv Recon final_NOP 2010 04 30_Reconciliation" xfId="331"/>
    <cellStyle name="_08_IBM_Centralised_FINAL_Interdiv Recon final_NOP 2010 04 30_Reconciliation_1" xfId="332"/>
    <cellStyle name="_08_IBM_Centralised_FINAL_Interdiv Recon final_NOP 2010 04 30_Reconciliation_2" xfId="333"/>
    <cellStyle name="_08_IBM_Centralised_FINAL_Interdiv Recon final_NOP 2010 04 30_Reconciliation_3" xfId="334"/>
    <cellStyle name="_08_IBM_Centralised_FINAL_Interdiv Recon final_NOP 2010 04 30_Report Finance" xfId="335"/>
    <cellStyle name="_08_IBM_Centralised_FINAL_Interdiv Recon final_ORIGINAL NOP 2009 12 31 USD BASED" xfId="336"/>
    <cellStyle name="_08_IBM_Centralised_FINAL_Interdiv Recon final_ORIGINAL NOP 2009 12 31 USD BASED_Report Finance" xfId="337"/>
    <cellStyle name="_08_IBM_Centralised_FINAL_Interdiv Recon final_Recon" xfId="338"/>
    <cellStyle name="_08_IBM_Centralised_FINAL_Interdiv Recon final_Recon W1" xfId="339"/>
    <cellStyle name="_08_IBM_Centralised_FINAL_Interdiv Recon final_Recon_1" xfId="340"/>
    <cellStyle name="_08_IBM_Centralised_FINAL_Interdiv Recon final_Recon_2" xfId="341"/>
    <cellStyle name="_08_IBM_Centralised_FINAL_Interdiv Recon final_Recon_3" xfId="342"/>
    <cellStyle name="_08_IBM_Centralised_FINAL_Interdiv Recon final_Reconciliation" xfId="343"/>
    <cellStyle name="_08_IBM_Centralised_FINAL_Interdiv Recon final_Reconciliation_1" xfId="344"/>
    <cellStyle name="_08_IBM_Centralised_FINAL_Interdiv Recon final_Reconciliation_2" xfId="345"/>
    <cellStyle name="_08_IBM_Centralised_FINAL_Interdiv Recon final_Reconciliation_3" xfId="346"/>
    <cellStyle name="_08_IBM_Centralised_FINAL_Interdiv Recon final_Report Finance" xfId="347"/>
    <cellStyle name="_08_IBM_Centralised_FINAL_Interdiv Recon final_SC_Treasury_Other" xfId="348"/>
    <cellStyle name="_08_IBM_Centralised_FINAL_Interdiv Recon final_SC_Treasury_Other_Recon" xfId="349"/>
    <cellStyle name="_08_IBM_Centralised_FINAL_Interdiv Recon final_SC_Treasury_Other_Recon_1" xfId="350"/>
    <cellStyle name="_08_IBM_Centralised_FINAL_Interdiv Recon final_SC_Treasury_Other_Recon_2" xfId="351"/>
    <cellStyle name="_08_IBM_Centralised_FINAL_Interdiv Recon final_SC_Treasury_Other_Recon_3" xfId="352"/>
    <cellStyle name="_08_IBM_Centralised_FINAL_Interdiv Recon final_SC_Treasury_Other_Reconciliation" xfId="353"/>
    <cellStyle name="_08_IBM_Centralised_FINAL_Interdiv Recon final_SC_Treasury_Other_Reconciliation_1" xfId="354"/>
    <cellStyle name="_08_IBM_Centralised_FINAL_Interdiv Recon final_Sheet1" xfId="355"/>
    <cellStyle name="_08_IBM_Centralised_FINAL_Interdiv Recon final_Sheet1_1" xfId="356"/>
    <cellStyle name="_08_IBM_E.50.1 Arrears report as at 31.01.08" xfId="357"/>
    <cellStyle name="_08_IBM_E.50.1 Arrears report as at 31.01.08_(26) Oct-09 (AL)" xfId="358"/>
    <cellStyle name="_08_IBM_E.50.1 Arrears report as at 31.01.08_(26) Oct-09 (AL)_IBM_Grouped(2)" xfId="359"/>
    <cellStyle name="_08_IBM_E.50.1 Arrears report as at 31.01.08_(26) Oct-09 (AL)_IBM_Grouped(2)_Recon" xfId="360"/>
    <cellStyle name="_08_IBM_E.50.1 Arrears report as at 31.01.08_(26) Oct-09 (AL)_IBM_Grouped(2)_Recon to Segmental Report" xfId="361"/>
    <cellStyle name="_08_IBM_E.50.1 Arrears report as at 31.01.08_(26) Oct-09 (AL)_IBM_Grouped(2)_Recon_1" xfId="362"/>
    <cellStyle name="_08_IBM_E.50.1 Arrears report as at 31.01.08_(26) Oct-09 (AL)_IBM_Grouped(2)_Recon_2" xfId="363"/>
    <cellStyle name="_08_IBM_E.50.1 Arrears report as at 31.01.08_(26) Oct-09 (AL)_IBM_Grouped(2)_Recon_3" xfId="364"/>
    <cellStyle name="_08_IBM_E.50.1 Arrears report as at 31.01.08_(26) Oct-09 (AL)_IBM_Grouped(2)_Recon_4" xfId="365"/>
    <cellStyle name="_08_IBM_E.50.1 Arrears report as at 31.01.08_(26) Oct-09 (AL)_IBM_Grouped(2)_Reconciliation" xfId="366"/>
    <cellStyle name="_08_IBM_E.50.1 Arrears report as at 31.01.08_(26) Oct-09 (AL)_IBM_Grouped(2)_Reconciliation_1" xfId="367"/>
    <cellStyle name="_08_IBM_E.50.1 Arrears report as at 31.01.08_(26) Oct-09 (AL)_IBM_Grouped(2)_Reconciliation_2" xfId="368"/>
    <cellStyle name="_08_IBM_E.50.1 Arrears report as at 31.01.08_(26) Oct-09 (AL)_IBM_Grouped(2)_Reconciliation_3" xfId="369"/>
    <cellStyle name="_08_IBM_E.50.1 Arrears report as at 31.01.08_(26) Oct-09 (AL)_Recon" xfId="370"/>
    <cellStyle name="_08_IBM_E.50.1 Arrears report as at 31.01.08_(26) Oct-09 (AL)_Recon W1" xfId="371"/>
    <cellStyle name="_08_IBM_E.50.1 Arrears report as at 31.01.08_(26) Oct-09 (AL)_Recon_1" xfId="372"/>
    <cellStyle name="_08_IBM_E.50.1 Arrears report as at 31.01.08_(26) Oct-09 (AL)_Recon_2" xfId="373"/>
    <cellStyle name="_08_IBM_E.50.1 Arrears report as at 31.01.08_(26) Oct-09 (AL)_Recon_3" xfId="374"/>
    <cellStyle name="_08_IBM_E.50.1 Arrears report as at 31.01.08_(26) Oct-09 (AL)_Reconciliation" xfId="375"/>
    <cellStyle name="_08_IBM_E.50.1 Arrears report as at 31.01.08_(26) Oct-09 (AL)_Reconciliation_1" xfId="376"/>
    <cellStyle name="_08_IBM_E.50.1 Arrears report as at 31.01.08_(26) Oct-09 (AL)_Reconciliation_2" xfId="377"/>
    <cellStyle name="_08_IBM_E.50.1 Arrears report as at 31.01.08_(26) Oct-09 (AL)_Reconciliation_3" xfId="378"/>
    <cellStyle name="_08_IBM_E.50.1 Arrears report as at 31.01.08_(27) Nov-09 (AL)" xfId="379"/>
    <cellStyle name="_08_IBM_E.50.1 Arrears report as at 31.01.08_(27) Nov-09 (AL)_IBM_Grouped(2)" xfId="380"/>
    <cellStyle name="_08_IBM_E.50.1 Arrears report as at 31.01.08_(27) Nov-09 (AL)_IBM_Grouped(2)_Recon" xfId="381"/>
    <cellStyle name="_08_IBM_E.50.1 Arrears report as at 31.01.08_(27) Nov-09 (AL)_IBM_Grouped(2)_Recon to Segmental Report" xfId="382"/>
    <cellStyle name="_08_IBM_E.50.1 Arrears report as at 31.01.08_(27) Nov-09 (AL)_IBM_Grouped(2)_Recon_1" xfId="383"/>
    <cellStyle name="_08_IBM_E.50.1 Arrears report as at 31.01.08_(27) Nov-09 (AL)_IBM_Grouped(2)_Recon_2" xfId="384"/>
    <cellStyle name="_08_IBM_E.50.1 Arrears report as at 31.01.08_(27) Nov-09 (AL)_IBM_Grouped(2)_Recon_3" xfId="385"/>
    <cellStyle name="_08_IBM_E.50.1 Arrears report as at 31.01.08_(27) Nov-09 (AL)_IBM_Grouped(2)_Recon_4" xfId="386"/>
    <cellStyle name="_08_IBM_E.50.1 Arrears report as at 31.01.08_(27) Nov-09 (AL)_IBM_Grouped(2)_Reconciliation" xfId="387"/>
    <cellStyle name="_08_IBM_E.50.1 Arrears report as at 31.01.08_(27) Nov-09 (AL)_IBM_Grouped(2)_Reconciliation_1" xfId="388"/>
    <cellStyle name="_08_IBM_E.50.1 Arrears report as at 31.01.08_(27) Nov-09 (AL)_IBM_Grouped(2)_Reconciliation_2" xfId="389"/>
    <cellStyle name="_08_IBM_E.50.1 Arrears report as at 31.01.08_(27) Nov-09 (AL)_IBM_Grouped(2)_Reconciliation_3" xfId="390"/>
    <cellStyle name="_08_IBM_E.50.1 Arrears report as at 31.01.08_(27) Nov-09 (AL)_Recon" xfId="391"/>
    <cellStyle name="_08_IBM_E.50.1 Arrears report as at 31.01.08_(27) Nov-09 (AL)_Recon W1" xfId="392"/>
    <cellStyle name="_08_IBM_E.50.1 Arrears report as at 31.01.08_(27) Nov-09 (AL)_Recon_1" xfId="393"/>
    <cellStyle name="_08_IBM_E.50.1 Arrears report as at 31.01.08_(27) Nov-09 (AL)_Recon_2" xfId="394"/>
    <cellStyle name="_08_IBM_E.50.1 Arrears report as at 31.01.08_(27) Nov-09 (AL)_Recon_3" xfId="395"/>
    <cellStyle name="_08_IBM_E.50.1 Arrears report as at 31.01.08_(27) Nov-09 (AL)_Reconciliation" xfId="396"/>
    <cellStyle name="_08_IBM_E.50.1 Arrears report as at 31.01.08_(27) Nov-09 (AL)_Reconciliation_1" xfId="397"/>
    <cellStyle name="_08_IBM_E.50.1 Arrears report as at 31.01.08_(27) Nov-09 (AL)_Reconciliation_2" xfId="398"/>
    <cellStyle name="_08_IBM_E.50.1 Arrears report as at 31.01.08_(27) Nov-09 (AL)_Reconciliation_3" xfId="399"/>
    <cellStyle name="_08_IBM_E.50.1 Arrears report as at 31.01.08_31.12.09 Mauritius-USD based ledger - Final1" xfId="400"/>
    <cellStyle name="_08_IBM_E.50.1 Arrears report as at 31.01.08_Book1 (4)" xfId="401"/>
    <cellStyle name="_08_IBM_E.50.1 Arrears report as at 31.01.08_Book4" xfId="402"/>
    <cellStyle name="_08_IBM_E.50.1 Arrears report as at 31.01.08_Book4_Recon" xfId="403"/>
    <cellStyle name="_08_IBM_E.50.1 Arrears report as at 31.01.08_Book4_Recon W1" xfId="404"/>
    <cellStyle name="_08_IBM_E.50.1 Arrears report as at 31.01.08_Book4_Recon_1" xfId="405"/>
    <cellStyle name="_08_IBM_E.50.1 Arrears report as at 31.01.08_Book4_Recon_2" xfId="406"/>
    <cellStyle name="_08_IBM_E.50.1 Arrears report as at 31.01.08_Book4_Recon_3" xfId="407"/>
    <cellStyle name="_08_IBM_E.50.1 Arrears report as at 31.01.08_Book4_Reconciliation" xfId="408"/>
    <cellStyle name="_08_IBM_E.50.1 Arrears report as at 31.01.08_Book4_Reconciliation_1" xfId="409"/>
    <cellStyle name="_08_IBM_E.50.1 Arrears report as at 31.01.08_Book4_Reconciliation_2" xfId="410"/>
    <cellStyle name="_08_IBM_E.50.1 Arrears report as at 31.01.08_Book4_Reconciliation_3" xfId="411"/>
    <cellStyle name="_08_IBM_E.50.1 Arrears report as at 31.01.08_capital adequacy September 2009" xfId="412"/>
    <cellStyle name="_08_IBM_E.50.1 Arrears report as at 31.01.08_capital adequacy September 2009_IBM_Grouped(2)" xfId="413"/>
    <cellStyle name="_08_IBM_E.50.1 Arrears report as at 31.01.08_capital adequacy September 2009_IBM_Grouped(2)_Recon" xfId="414"/>
    <cellStyle name="_08_IBM_E.50.1 Arrears report as at 31.01.08_capital adequacy September 2009_IBM_Grouped(2)_Recon to Segmental Report" xfId="415"/>
    <cellStyle name="_08_IBM_E.50.1 Arrears report as at 31.01.08_capital adequacy September 2009_IBM_Grouped(2)_Recon_1" xfId="416"/>
    <cellStyle name="_08_IBM_E.50.1 Arrears report as at 31.01.08_capital adequacy September 2009_IBM_Grouped(2)_Recon_2" xfId="417"/>
    <cellStyle name="_08_IBM_E.50.1 Arrears report as at 31.01.08_capital adequacy September 2009_IBM_Grouped(2)_Recon_3" xfId="418"/>
    <cellStyle name="_08_IBM_E.50.1 Arrears report as at 31.01.08_capital adequacy September 2009_IBM_Grouped(2)_Recon_4" xfId="419"/>
    <cellStyle name="_08_IBM_E.50.1 Arrears report as at 31.01.08_capital adequacy September 2009_IBM_Grouped(2)_Reconciliation" xfId="420"/>
    <cellStyle name="_08_IBM_E.50.1 Arrears report as at 31.01.08_capital adequacy September 2009_IBM_Grouped(2)_Reconciliation_1" xfId="421"/>
    <cellStyle name="_08_IBM_E.50.1 Arrears report as at 31.01.08_capital adequacy September 2009_IBM_Grouped(2)_Reconciliation_2" xfId="422"/>
    <cellStyle name="_08_IBM_E.50.1 Arrears report as at 31.01.08_capital adequacy September 2009_IBM_Grouped(2)_Reconciliation_3" xfId="423"/>
    <cellStyle name="_08_IBM_E.50.1 Arrears report as at 31.01.08_capital adequacy September 2009_Recon" xfId="424"/>
    <cellStyle name="_08_IBM_E.50.1 Arrears report as at 31.01.08_capital adequacy September 2009_Recon W1" xfId="425"/>
    <cellStyle name="_08_IBM_E.50.1 Arrears report as at 31.01.08_capital adequacy September 2009_Recon_1" xfId="426"/>
    <cellStyle name="_08_IBM_E.50.1 Arrears report as at 31.01.08_capital adequacy September 2009_Recon_2" xfId="427"/>
    <cellStyle name="_08_IBM_E.50.1 Arrears report as at 31.01.08_capital adequacy September 2009_Recon_3" xfId="428"/>
    <cellStyle name="_08_IBM_E.50.1 Arrears report as at 31.01.08_capital adequacy September 2009_Reconciliation" xfId="429"/>
    <cellStyle name="_08_IBM_E.50.1 Arrears report as at 31.01.08_capital adequacy September 2009_Reconciliation_1" xfId="430"/>
    <cellStyle name="_08_IBM_E.50.1 Arrears report as at 31.01.08_capital adequacy September 2009_Reconciliation_2" xfId="431"/>
    <cellStyle name="_08_IBM_E.50.1 Arrears report as at 31.01.08_capital adequacy September 2009_Reconciliation_3" xfId="432"/>
    <cellStyle name="_08_IBM_E.50.1 Arrears report as at 31.01.08_Copy of Mauritius-USD based ledger" xfId="433"/>
    <cellStyle name="_08_IBM_E.50.1 Arrears report as at 31.01.08_Copy of Mauritius-USD based ledger_Recon" xfId="434"/>
    <cellStyle name="_08_IBM_E.50.1 Arrears report as at 31.01.08_Copy of Mauritius-USD based ledger_Recon W1" xfId="435"/>
    <cellStyle name="_08_IBM_E.50.1 Arrears report as at 31.01.08_Copy of Mauritius-USD based ledger_Recon_1" xfId="436"/>
    <cellStyle name="_08_IBM_E.50.1 Arrears report as at 31.01.08_Copy of Mauritius-USD based ledger_Recon_2" xfId="437"/>
    <cellStyle name="_08_IBM_E.50.1 Arrears report as at 31.01.08_Copy of Mauritius-USD based ledger_Recon_3" xfId="438"/>
    <cellStyle name="_08_IBM_E.50.1 Arrears report as at 31.01.08_Copy of Mauritius-USD based ledger_Reconciliation" xfId="439"/>
    <cellStyle name="_08_IBM_E.50.1 Arrears report as at 31.01.08_Copy of Mauritius-USD based ledger_Reconciliation_1" xfId="440"/>
    <cellStyle name="_08_IBM_E.50.1 Arrears report as at 31.01.08_Copy of Mauritius-USD based ledger_Reconciliation_2" xfId="441"/>
    <cellStyle name="_08_IBM_E.50.1 Arrears report as at 31.01.08_Copy of Mauritius-USD based ledger_Reconciliation_3" xfId="442"/>
    <cellStyle name="_08_IBM_E.50.1 Arrears report as at 31.01.08_Fixed Assets Register 11 Feb10" xfId="443"/>
    <cellStyle name="_08_IBM_E.50.1 Arrears report as at 31.01.08_Fixed Assets Register 11 Feb10_(19) Loan Feb-11(Feb-11 figures)" xfId="444"/>
    <cellStyle name="_08_IBM_E.50.1 Arrears report as at 31.01.08_Fixed Assets Register 12 Mar10.xls" xfId="445"/>
    <cellStyle name="_08_IBM_E.50.1 Arrears report as at 31.01.08_Fixed Assets Register 12 Mar10.xls_(19) Loan Feb-11(Feb-11 figures)" xfId="446"/>
    <cellStyle name="_08_IBM_E.50.1 Arrears report as at 31.01.08_IBM Input Sheet 31.03.2010 v0.4" xfId="447"/>
    <cellStyle name="_08_IBM_E.50.1 Arrears report as at 31.01.08_IBM Input Sheet 31.03.2010 v0.4_(19) Loan Feb-11(Feb-11 figures)" xfId="448"/>
    <cellStyle name="_08_IBM_E.50.1 Arrears report as at 31.01.08_IBM_Grouped(2)" xfId="449"/>
    <cellStyle name="_08_IBM_E.50.1 Arrears report as at 31.01.08_IBM_Grouped(2)_Recon" xfId="450"/>
    <cellStyle name="_08_IBM_E.50.1 Arrears report as at 31.01.08_IBM_Grouped(2)_Recon W1" xfId="451"/>
    <cellStyle name="_08_IBM_E.50.1 Arrears report as at 31.01.08_IBM_Grouped(2)_Recon_1" xfId="452"/>
    <cellStyle name="_08_IBM_E.50.1 Arrears report as at 31.01.08_IBM_Grouped(2)_Recon_2" xfId="453"/>
    <cellStyle name="_08_IBM_E.50.1 Arrears report as at 31.01.08_IBM_Grouped(2)_Recon_3" xfId="454"/>
    <cellStyle name="_08_IBM_E.50.1 Arrears report as at 31.01.08_IBM_Grouped(2)_Reconciliation" xfId="455"/>
    <cellStyle name="_08_IBM_E.50.1 Arrears report as at 31.01.08_IBM_Grouped(2)_Reconciliation_1" xfId="456"/>
    <cellStyle name="_08_IBM_E.50.1 Arrears report as at 31.01.08_IBM_Grouped(2)_Reconciliation_2" xfId="457"/>
    <cellStyle name="_08_IBM_E.50.1 Arrears report as at 31.01.08_IBM_Grouped(2)_Reconciliation_3" xfId="458"/>
    <cellStyle name="_08_IBM_E.50.1 Arrears report as at 31.01.08_IBM_Grouped_USD" xfId="459"/>
    <cellStyle name="_08_IBM_E.50.1 Arrears report as at 31.01.08_IBM_Grouped_USD_Recon" xfId="460"/>
    <cellStyle name="_08_IBM_E.50.1 Arrears report as at 31.01.08_IBM_Grouped_USD_Recon W1" xfId="461"/>
    <cellStyle name="_08_IBM_E.50.1 Arrears report as at 31.01.08_IBM_Grouped_USD_Recon_1" xfId="462"/>
    <cellStyle name="_08_IBM_E.50.1 Arrears report as at 31.01.08_IBM_Grouped_USD_Recon_2" xfId="463"/>
    <cellStyle name="_08_IBM_E.50.1 Arrears report as at 31.01.08_IBM_Grouped_USD_Recon_3" xfId="464"/>
    <cellStyle name="_08_IBM_E.50.1 Arrears report as at 31.01.08_IBM_Grouped_USD_Reconciliation" xfId="465"/>
    <cellStyle name="_08_IBM_E.50.1 Arrears report as at 31.01.08_IBM_Grouped_USD_Reconciliation_1" xfId="466"/>
    <cellStyle name="_08_IBM_E.50.1 Arrears report as at 31.01.08_IBM_Grouped_USD_Reconciliation_2" xfId="467"/>
    <cellStyle name="_08_IBM_E.50.1 Arrears report as at 31.01.08_IBM_Grouped_USD_Reconciliation_3" xfId="468"/>
    <cellStyle name="_08_IBM_E.50.1 Arrears report as at 31.01.08_IBM_Grouped_ZAR" xfId="469"/>
    <cellStyle name="_08_IBM_E.50.1 Arrears report as at 31.01.08_IBM_Grouped_ZAR_Recon" xfId="470"/>
    <cellStyle name="_08_IBM_E.50.1 Arrears report as at 31.01.08_IBM_Grouped_ZAR_Recon W1" xfId="471"/>
    <cellStyle name="_08_IBM_E.50.1 Arrears report as at 31.01.08_IBM_Grouped_ZAR_Recon_1" xfId="472"/>
    <cellStyle name="_08_IBM_E.50.1 Arrears report as at 31.01.08_IBM_Grouped_ZAR_Recon_2" xfId="473"/>
    <cellStyle name="_08_IBM_E.50.1 Arrears report as at 31.01.08_IBM_Grouped_ZAR_Recon_3" xfId="474"/>
    <cellStyle name="_08_IBM_E.50.1 Arrears report as at 31.01.08_IBM_Grouped_ZAR_Reconciliation" xfId="475"/>
    <cellStyle name="_08_IBM_E.50.1 Arrears report as at 31.01.08_IBM_Grouped_ZAR_Reconciliation_1" xfId="476"/>
    <cellStyle name="_08_IBM_E.50.1 Arrears report as at 31.01.08_IBM_Grouped_ZAR_Reconciliation_2" xfId="477"/>
    <cellStyle name="_08_IBM_E.50.1 Arrears report as at 31.01.08_IBM_Grouped_ZAR_Reconciliation_3" xfId="478"/>
    <cellStyle name="_08_IBM_E.50.1 Arrears report as at 31.01.08_Liquidity and repricing" xfId="479"/>
    <cellStyle name="_08_IBM_E.50.1 Arrears report as at 31.01.08_Liquidity and repricing_IBM_Grouped(2)" xfId="480"/>
    <cellStyle name="_08_IBM_E.50.1 Arrears report as at 31.01.08_Liquidity and repricing_IBM_Grouped(2)_Recon" xfId="481"/>
    <cellStyle name="_08_IBM_E.50.1 Arrears report as at 31.01.08_Liquidity and repricing_IBM_Grouped(2)_Recon to Segmental Report" xfId="482"/>
    <cellStyle name="_08_IBM_E.50.1 Arrears report as at 31.01.08_Liquidity and repricing_IBM_Grouped(2)_Recon_1" xfId="483"/>
    <cellStyle name="_08_IBM_E.50.1 Arrears report as at 31.01.08_Liquidity and repricing_IBM_Grouped(2)_Recon_2" xfId="484"/>
    <cellStyle name="_08_IBM_E.50.1 Arrears report as at 31.01.08_Liquidity and repricing_IBM_Grouped(2)_Recon_3" xfId="485"/>
    <cellStyle name="_08_IBM_E.50.1 Arrears report as at 31.01.08_Liquidity and repricing_IBM_Grouped(2)_Recon_4" xfId="486"/>
    <cellStyle name="_08_IBM_E.50.1 Arrears report as at 31.01.08_Liquidity and repricing_IBM_Grouped(2)_Reconciliation" xfId="487"/>
    <cellStyle name="_08_IBM_E.50.1 Arrears report as at 31.01.08_Liquidity and repricing_IBM_Grouped(2)_Reconciliation_1" xfId="488"/>
    <cellStyle name="_08_IBM_E.50.1 Arrears report as at 31.01.08_Liquidity and repricing_IBM_Grouped(2)_Reconciliation_2" xfId="489"/>
    <cellStyle name="_08_IBM_E.50.1 Arrears report as at 31.01.08_Liquidity and repricing_IBM_Grouped(2)_Reconciliation_3" xfId="490"/>
    <cellStyle name="_08_IBM_E.50.1 Arrears report as at 31.01.08_Liquidity and repricing_Recon" xfId="491"/>
    <cellStyle name="_08_IBM_E.50.1 Arrears report as at 31.01.08_Liquidity and repricing_Recon W1" xfId="492"/>
    <cellStyle name="_08_IBM_E.50.1 Arrears report as at 31.01.08_Liquidity and repricing_Recon_1" xfId="493"/>
    <cellStyle name="_08_IBM_E.50.1 Arrears report as at 31.01.08_Liquidity and repricing_Recon_2" xfId="494"/>
    <cellStyle name="_08_IBM_E.50.1 Arrears report as at 31.01.08_Liquidity and repricing_Recon_3" xfId="495"/>
    <cellStyle name="_08_IBM_E.50.1 Arrears report as at 31.01.08_Liquidity and repricing_Reconciliation" xfId="496"/>
    <cellStyle name="_08_IBM_E.50.1 Arrears report as at 31.01.08_Liquidity and repricing_Reconciliation_1" xfId="497"/>
    <cellStyle name="_08_IBM_E.50.1 Arrears report as at 31.01.08_Liquidity and repricing_Reconciliation_2" xfId="498"/>
    <cellStyle name="_08_IBM_E.50.1 Arrears report as at 31.01.08_Liquidity and repricing_Reconciliation_3" xfId="499"/>
    <cellStyle name="_08_IBM_E.50.1 Arrears report as at 31.01.08_MUR position" xfId="500"/>
    <cellStyle name="_08_IBM_E.50.1 Arrears report as at 31.01.08_NOP 2010 01 31 USD BASED" xfId="501"/>
    <cellStyle name="_08_IBM_E.50.1 Arrears report as at 31.01.08_NOP 2010 01 31 USD BASED_Report Finance" xfId="502"/>
    <cellStyle name="_08_IBM_E.50.1 Arrears report as at 31.01.08_NOP 2010 02 28 USD BASED Final" xfId="503"/>
    <cellStyle name="_08_IBM_E.50.1 Arrears report as at 31.01.08_NOP 2010 02 28 USD BASED Final_Report Finance" xfId="504"/>
    <cellStyle name="_08_IBM_E.50.1 Arrears report as at 31.01.08_NOP 2010 03 31 USD BASEDrevised" xfId="505"/>
    <cellStyle name="_08_IBM_E.50.1 Arrears report as at 31.01.08_NOP 2010 03 31 USD BASEDrevised_Report Finance" xfId="506"/>
    <cellStyle name="_08_IBM_E.50.1 Arrears report as at 31.01.08_NOP 2010 04 30" xfId="507"/>
    <cellStyle name="_08_IBM_E.50.1 Arrears report as at 31.01.08_NOP 2010 04 30_Recon" xfId="508"/>
    <cellStyle name="_08_IBM_E.50.1 Arrears report as at 31.01.08_NOP 2010 04 30_Recon W1" xfId="509"/>
    <cellStyle name="_08_IBM_E.50.1 Arrears report as at 31.01.08_NOP 2010 04 30_Recon_1" xfId="510"/>
    <cellStyle name="_08_IBM_E.50.1 Arrears report as at 31.01.08_NOP 2010 04 30_Recon_2" xfId="511"/>
    <cellStyle name="_08_IBM_E.50.1 Arrears report as at 31.01.08_NOP 2010 04 30_Recon_3" xfId="512"/>
    <cellStyle name="_08_IBM_E.50.1 Arrears report as at 31.01.08_NOP 2010 04 30_Reconciliation" xfId="513"/>
    <cellStyle name="_08_IBM_E.50.1 Arrears report as at 31.01.08_NOP 2010 04 30_Reconciliation_1" xfId="514"/>
    <cellStyle name="_08_IBM_E.50.1 Arrears report as at 31.01.08_NOP 2010 04 30_Reconciliation_2" xfId="515"/>
    <cellStyle name="_08_IBM_E.50.1 Arrears report as at 31.01.08_NOP 2010 04 30_Reconciliation_3" xfId="516"/>
    <cellStyle name="_08_IBM_E.50.1 Arrears report as at 31.01.08_NOP 2010 04 30_Report Finance" xfId="517"/>
    <cellStyle name="_08_IBM_E.50.1 Arrears report as at 31.01.08_ORIGINAL NOP 2009 12 31 USD BASED" xfId="518"/>
    <cellStyle name="_08_IBM_E.50.1 Arrears report as at 31.01.08_ORIGINAL NOP 2009 12 31 USD BASED_Report Finance" xfId="519"/>
    <cellStyle name="_08_IBM_E.50.1 Arrears report as at 31.01.08_Recon" xfId="520"/>
    <cellStyle name="_08_IBM_E.50.1 Arrears report as at 31.01.08_Recon W1" xfId="521"/>
    <cellStyle name="_08_IBM_E.50.1 Arrears report as at 31.01.08_Recon_1" xfId="522"/>
    <cellStyle name="_08_IBM_E.50.1 Arrears report as at 31.01.08_Recon_2" xfId="523"/>
    <cellStyle name="_08_IBM_E.50.1 Arrears report as at 31.01.08_Recon_3" xfId="524"/>
    <cellStyle name="_08_IBM_E.50.1 Arrears report as at 31.01.08_Reconciliation" xfId="525"/>
    <cellStyle name="_08_IBM_E.50.1 Arrears report as at 31.01.08_Reconciliation_1" xfId="526"/>
    <cellStyle name="_08_IBM_E.50.1 Arrears report as at 31.01.08_Reconciliation_2" xfId="527"/>
    <cellStyle name="_08_IBM_E.50.1 Arrears report as at 31.01.08_Reconciliation_3" xfId="528"/>
    <cellStyle name="_08_IBM_E.50.1 Arrears report as at 31.01.08_Report Finance" xfId="529"/>
    <cellStyle name="_08_IBM_E.50.1 Arrears report as at 31.01.08_SC_Treasury_Other" xfId="530"/>
    <cellStyle name="_08_IBM_E.50.1 Arrears report as at 31.01.08_SC_Treasury_Other_Recon" xfId="531"/>
    <cellStyle name="_08_IBM_E.50.1 Arrears report as at 31.01.08_SC_Treasury_Other_Recon_1" xfId="532"/>
    <cellStyle name="_08_IBM_E.50.1 Arrears report as at 31.01.08_SC_Treasury_Other_Recon_2" xfId="533"/>
    <cellStyle name="_08_IBM_E.50.1 Arrears report as at 31.01.08_SC_Treasury_Other_Recon_3" xfId="534"/>
    <cellStyle name="_08_IBM_E.50.1 Arrears report as at 31.01.08_SC_Treasury_Other_Reconciliation" xfId="535"/>
    <cellStyle name="_08_IBM_E.50.1 Arrears report as at 31.01.08_SC_Treasury_Other_Reconciliation_1" xfId="536"/>
    <cellStyle name="_08_IBM_E.50.1 Arrears report as at 31.01.08_Sheet1" xfId="537"/>
    <cellStyle name="_08_IBM_E.50.1 Arrears report as at 31.01.08_Sheet1_1" xfId="538"/>
    <cellStyle name="_08_IBM_E.51 Credit Impairment testing-Robert" xfId="539"/>
    <cellStyle name="_08_IBM_E.51 Credit Impairment testing-Robert_(26) Oct-09 (AL)" xfId="540"/>
    <cellStyle name="_08_IBM_E.51 Credit Impairment testing-Robert_(26) Oct-09 (AL)_IBM_Grouped(2)" xfId="541"/>
    <cellStyle name="_08_IBM_E.51 Credit Impairment testing-Robert_(26) Oct-09 (AL)_IBM_Grouped(2)_Recon" xfId="542"/>
    <cellStyle name="_08_IBM_E.51 Credit Impairment testing-Robert_(26) Oct-09 (AL)_IBM_Grouped(2)_Recon to Segmental Report" xfId="543"/>
    <cellStyle name="_08_IBM_E.51 Credit Impairment testing-Robert_(26) Oct-09 (AL)_IBM_Grouped(2)_Recon_1" xfId="544"/>
    <cellStyle name="_08_IBM_E.51 Credit Impairment testing-Robert_(26) Oct-09 (AL)_IBM_Grouped(2)_Recon_2" xfId="545"/>
    <cellStyle name="_08_IBM_E.51 Credit Impairment testing-Robert_(26) Oct-09 (AL)_IBM_Grouped(2)_Recon_3" xfId="546"/>
    <cellStyle name="_08_IBM_E.51 Credit Impairment testing-Robert_(26) Oct-09 (AL)_IBM_Grouped(2)_Recon_4" xfId="547"/>
    <cellStyle name="_08_IBM_E.51 Credit Impairment testing-Robert_(26) Oct-09 (AL)_IBM_Grouped(2)_Reconciliation" xfId="548"/>
    <cellStyle name="_08_IBM_E.51 Credit Impairment testing-Robert_(26) Oct-09 (AL)_IBM_Grouped(2)_Reconciliation_1" xfId="549"/>
    <cellStyle name="_08_IBM_E.51 Credit Impairment testing-Robert_(26) Oct-09 (AL)_IBM_Grouped(2)_Reconciliation_2" xfId="550"/>
    <cellStyle name="_08_IBM_E.51 Credit Impairment testing-Robert_(26) Oct-09 (AL)_IBM_Grouped(2)_Reconciliation_3" xfId="551"/>
    <cellStyle name="_08_IBM_E.51 Credit Impairment testing-Robert_(26) Oct-09 (AL)_Recon" xfId="552"/>
    <cellStyle name="_08_IBM_E.51 Credit Impairment testing-Robert_(26) Oct-09 (AL)_Recon W1" xfId="553"/>
    <cellStyle name="_08_IBM_E.51 Credit Impairment testing-Robert_(26) Oct-09 (AL)_Recon_1" xfId="554"/>
    <cellStyle name="_08_IBM_E.51 Credit Impairment testing-Robert_(26) Oct-09 (AL)_Recon_2" xfId="555"/>
    <cellStyle name="_08_IBM_E.51 Credit Impairment testing-Robert_(26) Oct-09 (AL)_Recon_3" xfId="556"/>
    <cellStyle name="_08_IBM_E.51 Credit Impairment testing-Robert_(26) Oct-09 (AL)_Reconciliation" xfId="557"/>
    <cellStyle name="_08_IBM_E.51 Credit Impairment testing-Robert_(26) Oct-09 (AL)_Reconciliation_1" xfId="558"/>
    <cellStyle name="_08_IBM_E.51 Credit Impairment testing-Robert_(26) Oct-09 (AL)_Reconciliation_2" xfId="559"/>
    <cellStyle name="_08_IBM_E.51 Credit Impairment testing-Robert_(26) Oct-09 (AL)_Reconciliation_3" xfId="560"/>
    <cellStyle name="_08_IBM_E.51 Credit Impairment testing-Robert_(27) Nov-09 (AL)" xfId="561"/>
    <cellStyle name="_08_IBM_E.51 Credit Impairment testing-Robert_(27) Nov-09 (AL)_IBM_Grouped(2)" xfId="562"/>
    <cellStyle name="_08_IBM_E.51 Credit Impairment testing-Robert_(27) Nov-09 (AL)_IBM_Grouped(2)_Recon" xfId="563"/>
    <cellStyle name="_08_IBM_E.51 Credit Impairment testing-Robert_(27) Nov-09 (AL)_IBM_Grouped(2)_Recon to Segmental Report" xfId="564"/>
    <cellStyle name="_08_IBM_E.51 Credit Impairment testing-Robert_(27) Nov-09 (AL)_IBM_Grouped(2)_Recon_1" xfId="565"/>
    <cellStyle name="_08_IBM_E.51 Credit Impairment testing-Robert_(27) Nov-09 (AL)_IBM_Grouped(2)_Recon_2" xfId="566"/>
    <cellStyle name="_08_IBM_E.51 Credit Impairment testing-Robert_(27) Nov-09 (AL)_IBM_Grouped(2)_Recon_3" xfId="567"/>
    <cellStyle name="_08_IBM_E.51 Credit Impairment testing-Robert_(27) Nov-09 (AL)_IBM_Grouped(2)_Recon_4" xfId="568"/>
    <cellStyle name="_08_IBM_E.51 Credit Impairment testing-Robert_(27) Nov-09 (AL)_IBM_Grouped(2)_Reconciliation" xfId="569"/>
    <cellStyle name="_08_IBM_E.51 Credit Impairment testing-Robert_(27) Nov-09 (AL)_IBM_Grouped(2)_Reconciliation_1" xfId="570"/>
    <cellStyle name="_08_IBM_E.51 Credit Impairment testing-Robert_(27) Nov-09 (AL)_IBM_Grouped(2)_Reconciliation_2" xfId="571"/>
    <cellStyle name="_08_IBM_E.51 Credit Impairment testing-Robert_(27) Nov-09 (AL)_IBM_Grouped(2)_Reconciliation_3" xfId="572"/>
    <cellStyle name="_08_IBM_E.51 Credit Impairment testing-Robert_(27) Nov-09 (AL)_Recon" xfId="573"/>
    <cellStyle name="_08_IBM_E.51 Credit Impairment testing-Robert_(27) Nov-09 (AL)_Recon W1" xfId="574"/>
    <cellStyle name="_08_IBM_E.51 Credit Impairment testing-Robert_(27) Nov-09 (AL)_Recon_1" xfId="575"/>
    <cellStyle name="_08_IBM_E.51 Credit Impairment testing-Robert_(27) Nov-09 (AL)_Recon_2" xfId="576"/>
    <cellStyle name="_08_IBM_E.51 Credit Impairment testing-Robert_(27) Nov-09 (AL)_Recon_3" xfId="577"/>
    <cellStyle name="_08_IBM_E.51 Credit Impairment testing-Robert_(27) Nov-09 (AL)_Reconciliation" xfId="578"/>
    <cellStyle name="_08_IBM_E.51 Credit Impairment testing-Robert_(27) Nov-09 (AL)_Reconciliation_1" xfId="579"/>
    <cellStyle name="_08_IBM_E.51 Credit Impairment testing-Robert_(27) Nov-09 (AL)_Reconciliation_2" xfId="580"/>
    <cellStyle name="_08_IBM_E.51 Credit Impairment testing-Robert_(27) Nov-09 (AL)_Reconciliation_3" xfId="581"/>
    <cellStyle name="_08_IBM_E.51 Credit Impairment testing-Robert_31.12.09 Mauritius-USD based ledger - Final1" xfId="582"/>
    <cellStyle name="_08_IBM_E.51 Credit Impairment testing-Robert_Book1 (4)" xfId="583"/>
    <cellStyle name="_08_IBM_E.51 Credit Impairment testing-Robert_Book4" xfId="584"/>
    <cellStyle name="_08_IBM_E.51 Credit Impairment testing-Robert_Book4_Recon" xfId="585"/>
    <cellStyle name="_08_IBM_E.51 Credit Impairment testing-Robert_Book4_Recon W1" xfId="586"/>
    <cellStyle name="_08_IBM_E.51 Credit Impairment testing-Robert_Book4_Recon_1" xfId="587"/>
    <cellStyle name="_08_IBM_E.51 Credit Impairment testing-Robert_Book4_Recon_2" xfId="588"/>
    <cellStyle name="_08_IBM_E.51 Credit Impairment testing-Robert_Book4_Recon_3" xfId="589"/>
    <cellStyle name="_08_IBM_E.51 Credit Impairment testing-Robert_Book4_Reconciliation" xfId="590"/>
    <cellStyle name="_08_IBM_E.51 Credit Impairment testing-Robert_Book4_Reconciliation_1" xfId="591"/>
    <cellStyle name="_08_IBM_E.51 Credit Impairment testing-Robert_Book4_Reconciliation_2" xfId="592"/>
    <cellStyle name="_08_IBM_E.51 Credit Impairment testing-Robert_Book4_Reconciliation_3" xfId="593"/>
    <cellStyle name="_08_IBM_E.51 Credit Impairment testing-Robert_capital adequacy September 2009" xfId="594"/>
    <cellStyle name="_08_IBM_E.51 Credit Impairment testing-Robert_capital adequacy September 2009_IBM_Grouped(2)" xfId="595"/>
    <cellStyle name="_08_IBM_E.51 Credit Impairment testing-Robert_capital adequacy September 2009_IBM_Grouped(2)_Recon" xfId="596"/>
    <cellStyle name="_08_IBM_E.51 Credit Impairment testing-Robert_capital adequacy September 2009_IBM_Grouped(2)_Recon to Segmental Report" xfId="597"/>
    <cellStyle name="_08_IBM_E.51 Credit Impairment testing-Robert_capital adequacy September 2009_IBM_Grouped(2)_Recon_1" xfId="598"/>
    <cellStyle name="_08_IBM_E.51 Credit Impairment testing-Robert_capital adequacy September 2009_IBM_Grouped(2)_Recon_2" xfId="599"/>
    <cellStyle name="_08_IBM_E.51 Credit Impairment testing-Robert_capital adequacy September 2009_IBM_Grouped(2)_Recon_3" xfId="600"/>
    <cellStyle name="_08_IBM_E.51 Credit Impairment testing-Robert_capital adequacy September 2009_IBM_Grouped(2)_Recon_4" xfId="601"/>
    <cellStyle name="_08_IBM_E.51 Credit Impairment testing-Robert_capital adequacy September 2009_IBM_Grouped(2)_Reconciliation" xfId="602"/>
    <cellStyle name="_08_IBM_E.51 Credit Impairment testing-Robert_capital adequacy September 2009_IBM_Grouped(2)_Reconciliation_1" xfId="603"/>
    <cellStyle name="_08_IBM_E.51 Credit Impairment testing-Robert_capital adequacy September 2009_IBM_Grouped(2)_Reconciliation_2" xfId="604"/>
    <cellStyle name="_08_IBM_E.51 Credit Impairment testing-Robert_capital adequacy September 2009_IBM_Grouped(2)_Reconciliation_3" xfId="605"/>
    <cellStyle name="_08_IBM_E.51 Credit Impairment testing-Robert_capital adequacy September 2009_Recon" xfId="606"/>
    <cellStyle name="_08_IBM_E.51 Credit Impairment testing-Robert_capital adequacy September 2009_Recon W1" xfId="607"/>
    <cellStyle name="_08_IBM_E.51 Credit Impairment testing-Robert_capital adequacy September 2009_Recon_1" xfId="608"/>
    <cellStyle name="_08_IBM_E.51 Credit Impairment testing-Robert_capital adequacy September 2009_Recon_2" xfId="609"/>
    <cellStyle name="_08_IBM_E.51 Credit Impairment testing-Robert_capital adequacy September 2009_Recon_3" xfId="610"/>
    <cellStyle name="_08_IBM_E.51 Credit Impairment testing-Robert_capital adequacy September 2009_Reconciliation" xfId="611"/>
    <cellStyle name="_08_IBM_E.51 Credit Impairment testing-Robert_capital adequacy September 2009_Reconciliation_1" xfId="612"/>
    <cellStyle name="_08_IBM_E.51 Credit Impairment testing-Robert_capital adequacy September 2009_Reconciliation_2" xfId="613"/>
    <cellStyle name="_08_IBM_E.51 Credit Impairment testing-Robert_capital adequacy September 2009_Reconciliation_3" xfId="614"/>
    <cellStyle name="_08_IBM_E.51 Credit Impairment testing-Robert_Copy of Mauritius-USD based ledger" xfId="615"/>
    <cellStyle name="_08_IBM_E.51 Credit Impairment testing-Robert_Copy of Mauritius-USD based ledger_Recon" xfId="616"/>
    <cellStyle name="_08_IBM_E.51 Credit Impairment testing-Robert_Copy of Mauritius-USD based ledger_Recon W1" xfId="617"/>
    <cellStyle name="_08_IBM_E.51 Credit Impairment testing-Robert_Copy of Mauritius-USD based ledger_Recon_1" xfId="618"/>
    <cellStyle name="_08_IBM_E.51 Credit Impairment testing-Robert_Copy of Mauritius-USD based ledger_Recon_2" xfId="619"/>
    <cellStyle name="_08_IBM_E.51 Credit Impairment testing-Robert_Copy of Mauritius-USD based ledger_Recon_3" xfId="620"/>
    <cellStyle name="_08_IBM_E.51 Credit Impairment testing-Robert_Copy of Mauritius-USD based ledger_Reconciliation" xfId="621"/>
    <cellStyle name="_08_IBM_E.51 Credit Impairment testing-Robert_Copy of Mauritius-USD based ledger_Reconciliation_1" xfId="622"/>
    <cellStyle name="_08_IBM_E.51 Credit Impairment testing-Robert_Copy of Mauritius-USD based ledger_Reconciliation_2" xfId="623"/>
    <cellStyle name="_08_IBM_E.51 Credit Impairment testing-Robert_Copy of Mauritius-USD based ledger_Reconciliation_3" xfId="624"/>
    <cellStyle name="_08_IBM_E.51 Credit Impairment testing-Robert_Fixed Assets Register 11 Feb10" xfId="625"/>
    <cellStyle name="_08_IBM_E.51 Credit Impairment testing-Robert_Fixed Assets Register 11 Feb10_(19) Loan Feb-11(Feb-11 figures)" xfId="626"/>
    <cellStyle name="_08_IBM_E.51 Credit Impairment testing-Robert_Fixed Assets Register 12 Mar10.xls" xfId="627"/>
    <cellStyle name="_08_IBM_E.51 Credit Impairment testing-Robert_Fixed Assets Register 12 Mar10.xls_(19) Loan Feb-11(Feb-11 figures)" xfId="628"/>
    <cellStyle name="_08_IBM_E.51 Credit Impairment testing-Robert_IBM Input Sheet 31.03.2010 v0.4" xfId="629"/>
    <cellStyle name="_08_IBM_E.51 Credit Impairment testing-Robert_IBM Input Sheet 31.03.2010 v0.4_(19) Loan Feb-11(Feb-11 figures)" xfId="630"/>
    <cellStyle name="_08_IBM_E.51 Credit Impairment testing-Robert_IBM_Grouped(2)" xfId="631"/>
    <cellStyle name="_08_IBM_E.51 Credit Impairment testing-Robert_IBM_Grouped(2)_Recon" xfId="632"/>
    <cellStyle name="_08_IBM_E.51 Credit Impairment testing-Robert_IBM_Grouped(2)_Recon W1" xfId="633"/>
    <cellStyle name="_08_IBM_E.51 Credit Impairment testing-Robert_IBM_Grouped(2)_Recon_1" xfId="634"/>
    <cellStyle name="_08_IBM_E.51 Credit Impairment testing-Robert_IBM_Grouped(2)_Recon_2" xfId="635"/>
    <cellStyle name="_08_IBM_E.51 Credit Impairment testing-Robert_IBM_Grouped(2)_Recon_3" xfId="636"/>
    <cellStyle name="_08_IBM_E.51 Credit Impairment testing-Robert_IBM_Grouped(2)_Reconciliation" xfId="637"/>
    <cellStyle name="_08_IBM_E.51 Credit Impairment testing-Robert_IBM_Grouped(2)_Reconciliation_1" xfId="638"/>
    <cellStyle name="_08_IBM_E.51 Credit Impairment testing-Robert_IBM_Grouped(2)_Reconciliation_2" xfId="639"/>
    <cellStyle name="_08_IBM_E.51 Credit Impairment testing-Robert_IBM_Grouped(2)_Reconciliation_3" xfId="640"/>
    <cellStyle name="_08_IBM_E.51 Credit Impairment testing-Robert_IBM_Grouped_USD" xfId="641"/>
    <cellStyle name="_08_IBM_E.51 Credit Impairment testing-Robert_IBM_Grouped_USD_Recon" xfId="642"/>
    <cellStyle name="_08_IBM_E.51 Credit Impairment testing-Robert_IBM_Grouped_USD_Recon W1" xfId="643"/>
    <cellStyle name="_08_IBM_E.51 Credit Impairment testing-Robert_IBM_Grouped_USD_Recon_1" xfId="644"/>
    <cellStyle name="_08_IBM_E.51 Credit Impairment testing-Robert_IBM_Grouped_USD_Recon_2" xfId="645"/>
    <cellStyle name="_08_IBM_E.51 Credit Impairment testing-Robert_IBM_Grouped_USD_Recon_3" xfId="646"/>
    <cellStyle name="_08_IBM_E.51 Credit Impairment testing-Robert_IBM_Grouped_USD_Reconciliation" xfId="647"/>
    <cellStyle name="_08_IBM_E.51 Credit Impairment testing-Robert_IBM_Grouped_USD_Reconciliation_1" xfId="648"/>
    <cellStyle name="_08_IBM_E.51 Credit Impairment testing-Robert_IBM_Grouped_USD_Reconciliation_2" xfId="649"/>
    <cellStyle name="_08_IBM_E.51 Credit Impairment testing-Robert_IBM_Grouped_USD_Reconciliation_3" xfId="650"/>
    <cellStyle name="_08_IBM_E.51 Credit Impairment testing-Robert_IBM_Grouped_ZAR" xfId="651"/>
    <cellStyle name="_08_IBM_E.51 Credit Impairment testing-Robert_IBM_Grouped_ZAR_Recon" xfId="652"/>
    <cellStyle name="_08_IBM_E.51 Credit Impairment testing-Robert_IBM_Grouped_ZAR_Recon W1" xfId="653"/>
    <cellStyle name="_08_IBM_E.51 Credit Impairment testing-Robert_IBM_Grouped_ZAR_Recon_1" xfId="654"/>
    <cellStyle name="_08_IBM_E.51 Credit Impairment testing-Robert_IBM_Grouped_ZAR_Recon_2" xfId="655"/>
    <cellStyle name="_08_IBM_E.51 Credit Impairment testing-Robert_IBM_Grouped_ZAR_Recon_3" xfId="656"/>
    <cellStyle name="_08_IBM_E.51 Credit Impairment testing-Robert_IBM_Grouped_ZAR_Reconciliation" xfId="657"/>
    <cellStyle name="_08_IBM_E.51 Credit Impairment testing-Robert_IBM_Grouped_ZAR_Reconciliation_1" xfId="658"/>
    <cellStyle name="_08_IBM_E.51 Credit Impairment testing-Robert_IBM_Grouped_ZAR_Reconciliation_2" xfId="659"/>
    <cellStyle name="_08_IBM_E.51 Credit Impairment testing-Robert_IBM_Grouped_ZAR_Reconciliation_3" xfId="660"/>
    <cellStyle name="_08_IBM_E.51 Credit Impairment testing-Robert_Liquidity and repricing" xfId="661"/>
    <cellStyle name="_08_IBM_E.51 Credit Impairment testing-Robert_Liquidity and repricing_IBM_Grouped(2)" xfId="662"/>
    <cellStyle name="_08_IBM_E.51 Credit Impairment testing-Robert_Liquidity and repricing_IBM_Grouped(2)_Recon" xfId="663"/>
    <cellStyle name="_08_IBM_E.51 Credit Impairment testing-Robert_Liquidity and repricing_IBM_Grouped(2)_Recon to Segmental Report" xfId="664"/>
    <cellStyle name="_08_IBM_E.51 Credit Impairment testing-Robert_Liquidity and repricing_IBM_Grouped(2)_Recon_1" xfId="665"/>
    <cellStyle name="_08_IBM_E.51 Credit Impairment testing-Robert_Liquidity and repricing_IBM_Grouped(2)_Recon_2" xfId="666"/>
    <cellStyle name="_08_IBM_E.51 Credit Impairment testing-Robert_Liquidity and repricing_IBM_Grouped(2)_Recon_3" xfId="667"/>
    <cellStyle name="_08_IBM_E.51 Credit Impairment testing-Robert_Liquidity and repricing_IBM_Grouped(2)_Recon_4" xfId="668"/>
    <cellStyle name="_08_IBM_E.51 Credit Impairment testing-Robert_Liquidity and repricing_IBM_Grouped(2)_Reconciliation" xfId="669"/>
    <cellStyle name="_08_IBM_E.51 Credit Impairment testing-Robert_Liquidity and repricing_IBM_Grouped(2)_Reconciliation_1" xfId="670"/>
    <cellStyle name="_08_IBM_E.51 Credit Impairment testing-Robert_Liquidity and repricing_IBM_Grouped(2)_Reconciliation_2" xfId="671"/>
    <cellStyle name="_08_IBM_E.51 Credit Impairment testing-Robert_Liquidity and repricing_IBM_Grouped(2)_Reconciliation_3" xfId="672"/>
    <cellStyle name="_08_IBM_E.51 Credit Impairment testing-Robert_Liquidity and repricing_Recon" xfId="673"/>
    <cellStyle name="_08_IBM_E.51 Credit Impairment testing-Robert_Liquidity and repricing_Recon W1" xfId="674"/>
    <cellStyle name="_08_IBM_E.51 Credit Impairment testing-Robert_Liquidity and repricing_Recon_1" xfId="675"/>
    <cellStyle name="_08_IBM_E.51 Credit Impairment testing-Robert_Liquidity and repricing_Recon_2" xfId="676"/>
    <cellStyle name="_08_IBM_E.51 Credit Impairment testing-Robert_Liquidity and repricing_Recon_3" xfId="677"/>
    <cellStyle name="_08_IBM_E.51 Credit Impairment testing-Robert_Liquidity and repricing_Reconciliation" xfId="678"/>
    <cellStyle name="_08_IBM_E.51 Credit Impairment testing-Robert_Liquidity and repricing_Reconciliation_1" xfId="679"/>
    <cellStyle name="_08_IBM_E.51 Credit Impairment testing-Robert_Liquidity and repricing_Reconciliation_2" xfId="680"/>
    <cellStyle name="_08_IBM_E.51 Credit Impairment testing-Robert_Liquidity and repricing_Reconciliation_3" xfId="681"/>
    <cellStyle name="_08_IBM_E.51 Credit Impairment testing-Robert_MUR position" xfId="682"/>
    <cellStyle name="_08_IBM_E.51 Credit Impairment testing-Robert_NOP 2010 01 31 USD BASED" xfId="683"/>
    <cellStyle name="_08_IBM_E.51 Credit Impairment testing-Robert_NOP 2010 01 31 USD BASED_Report Finance" xfId="684"/>
    <cellStyle name="_08_IBM_E.51 Credit Impairment testing-Robert_NOP 2010 02 28 USD BASED Final" xfId="685"/>
    <cellStyle name="_08_IBM_E.51 Credit Impairment testing-Robert_NOP 2010 02 28 USD BASED Final_Report Finance" xfId="686"/>
    <cellStyle name="_08_IBM_E.51 Credit Impairment testing-Robert_NOP 2010 03 31 USD BASEDrevised" xfId="687"/>
    <cellStyle name="_08_IBM_E.51 Credit Impairment testing-Robert_NOP 2010 03 31 USD BASEDrevised_Report Finance" xfId="688"/>
    <cellStyle name="_08_IBM_E.51 Credit Impairment testing-Robert_NOP 2010 04 30" xfId="689"/>
    <cellStyle name="_08_IBM_E.51 Credit Impairment testing-Robert_NOP 2010 04 30_Recon" xfId="690"/>
    <cellStyle name="_08_IBM_E.51 Credit Impairment testing-Robert_NOP 2010 04 30_Recon W1" xfId="691"/>
    <cellStyle name="_08_IBM_E.51 Credit Impairment testing-Robert_NOP 2010 04 30_Recon_1" xfId="692"/>
    <cellStyle name="_08_IBM_E.51 Credit Impairment testing-Robert_NOP 2010 04 30_Recon_2" xfId="693"/>
    <cellStyle name="_08_IBM_E.51 Credit Impairment testing-Robert_NOP 2010 04 30_Recon_3" xfId="694"/>
    <cellStyle name="_08_IBM_E.51 Credit Impairment testing-Robert_NOP 2010 04 30_Reconciliation" xfId="695"/>
    <cellStyle name="_08_IBM_E.51 Credit Impairment testing-Robert_NOP 2010 04 30_Reconciliation_1" xfId="696"/>
    <cellStyle name="_08_IBM_E.51 Credit Impairment testing-Robert_NOP 2010 04 30_Reconciliation_2" xfId="697"/>
    <cellStyle name="_08_IBM_E.51 Credit Impairment testing-Robert_NOP 2010 04 30_Reconciliation_3" xfId="698"/>
    <cellStyle name="_08_IBM_E.51 Credit Impairment testing-Robert_NOP 2010 04 30_Report Finance" xfId="699"/>
    <cellStyle name="_08_IBM_E.51 Credit Impairment testing-Robert_ORIGINAL NOP 2009 12 31 USD BASED" xfId="700"/>
    <cellStyle name="_08_IBM_E.51 Credit Impairment testing-Robert_ORIGINAL NOP 2009 12 31 USD BASED_Report Finance" xfId="701"/>
    <cellStyle name="_08_IBM_E.51 Credit Impairment testing-Robert_Recon" xfId="702"/>
    <cellStyle name="_08_IBM_E.51 Credit Impairment testing-Robert_Recon W1" xfId="703"/>
    <cellStyle name="_08_IBM_E.51 Credit Impairment testing-Robert_Recon_1" xfId="704"/>
    <cellStyle name="_08_IBM_E.51 Credit Impairment testing-Robert_Recon_2" xfId="705"/>
    <cellStyle name="_08_IBM_E.51 Credit Impairment testing-Robert_Recon_3" xfId="706"/>
    <cellStyle name="_08_IBM_E.51 Credit Impairment testing-Robert_Reconciliation" xfId="707"/>
    <cellStyle name="_08_IBM_E.51 Credit Impairment testing-Robert_Reconciliation_1" xfId="708"/>
    <cellStyle name="_08_IBM_E.51 Credit Impairment testing-Robert_Reconciliation_2" xfId="709"/>
    <cellStyle name="_08_IBM_E.51 Credit Impairment testing-Robert_Reconciliation_3" xfId="710"/>
    <cellStyle name="_08_IBM_E.51 Credit Impairment testing-Robert_Report Finance" xfId="711"/>
    <cellStyle name="_08_IBM_E.51 Credit Impairment testing-Robert_SC_Treasury_Other" xfId="712"/>
    <cellStyle name="_08_IBM_E.51 Credit Impairment testing-Robert_SC_Treasury_Other_Recon" xfId="713"/>
    <cellStyle name="_08_IBM_E.51 Credit Impairment testing-Robert_SC_Treasury_Other_Recon_1" xfId="714"/>
    <cellStyle name="_08_IBM_E.51 Credit Impairment testing-Robert_SC_Treasury_Other_Recon_2" xfId="715"/>
    <cellStyle name="_08_IBM_E.51 Credit Impairment testing-Robert_SC_Treasury_Other_Recon_3" xfId="716"/>
    <cellStyle name="_08_IBM_E.51 Credit Impairment testing-Robert_SC_Treasury_Other_Reconciliation" xfId="717"/>
    <cellStyle name="_08_IBM_E.51 Credit Impairment testing-Robert_SC_Treasury_Other_Reconciliation_1" xfId="718"/>
    <cellStyle name="_08_IBM_E.51 Credit Impairment testing-Robert_Sheet1" xfId="719"/>
    <cellStyle name="_08_IBM_E.51 Credit Impairment testing-Robert_Sheet1_1" xfId="720"/>
    <cellStyle name="_08_IBM_H.4 - H.5 - Intercompany reconciliation_centralised_Poo to review" xfId="721"/>
    <cellStyle name="_08_IBM_H.4 - H.5 - Intercompany reconciliation_centralised_Poo to review_(26) Oct-09 (AL)" xfId="722"/>
    <cellStyle name="_08_IBM_H.4 - H.5 - Intercompany reconciliation_centralised_Poo to review_(26) Oct-09 (AL)_IBM_Grouped(2)" xfId="723"/>
    <cellStyle name="_08_IBM_H.4 - H.5 - Intercompany reconciliation_centralised_Poo to review_(26) Oct-09 (AL)_IBM_Grouped(2)_Recon" xfId="724"/>
    <cellStyle name="_08_IBM_H.4 - H.5 - Intercompany reconciliation_centralised_Poo to review_(26) Oct-09 (AL)_IBM_Grouped(2)_Recon to Segmental Report" xfId="725"/>
    <cellStyle name="_08_IBM_H.4 - H.5 - Intercompany reconciliation_centralised_Poo to review_(26) Oct-09 (AL)_IBM_Grouped(2)_Recon_1" xfId="726"/>
    <cellStyle name="_08_IBM_H.4 - H.5 - Intercompany reconciliation_centralised_Poo to review_(26) Oct-09 (AL)_IBM_Grouped(2)_Recon_2" xfId="727"/>
    <cellStyle name="_08_IBM_H.4 - H.5 - Intercompany reconciliation_centralised_Poo to review_(26) Oct-09 (AL)_IBM_Grouped(2)_Recon_3" xfId="728"/>
    <cellStyle name="_08_IBM_H.4 - H.5 - Intercompany reconciliation_centralised_Poo to review_(26) Oct-09 (AL)_IBM_Grouped(2)_Recon_4" xfId="729"/>
    <cellStyle name="_08_IBM_H.4 - H.5 - Intercompany reconciliation_centralised_Poo to review_(26) Oct-09 (AL)_IBM_Grouped(2)_Reconciliation" xfId="730"/>
    <cellStyle name="_08_IBM_H.4 - H.5 - Intercompany reconciliation_centralised_Poo to review_(26) Oct-09 (AL)_IBM_Grouped(2)_Reconciliation_1" xfId="731"/>
    <cellStyle name="_08_IBM_H.4 - H.5 - Intercompany reconciliation_centralised_Poo to review_(26) Oct-09 (AL)_IBM_Grouped(2)_Reconciliation_2" xfId="732"/>
    <cellStyle name="_08_IBM_H.4 - H.5 - Intercompany reconciliation_centralised_Poo to review_(26) Oct-09 (AL)_IBM_Grouped(2)_Reconciliation_3" xfId="733"/>
    <cellStyle name="_08_IBM_H.4 - H.5 - Intercompany reconciliation_centralised_Poo to review_(26) Oct-09 (AL)_Recon" xfId="734"/>
    <cellStyle name="_08_IBM_H.4 - H.5 - Intercompany reconciliation_centralised_Poo to review_(26) Oct-09 (AL)_Recon W1" xfId="735"/>
    <cellStyle name="_08_IBM_H.4 - H.5 - Intercompany reconciliation_centralised_Poo to review_(26) Oct-09 (AL)_Recon_1" xfId="736"/>
    <cellStyle name="_08_IBM_H.4 - H.5 - Intercompany reconciliation_centralised_Poo to review_(26) Oct-09 (AL)_Recon_2" xfId="737"/>
    <cellStyle name="_08_IBM_H.4 - H.5 - Intercompany reconciliation_centralised_Poo to review_(26) Oct-09 (AL)_Recon_3" xfId="738"/>
    <cellStyle name="_08_IBM_H.4 - H.5 - Intercompany reconciliation_centralised_Poo to review_(26) Oct-09 (AL)_Reconciliation" xfId="739"/>
    <cellStyle name="_08_IBM_H.4 - H.5 - Intercompany reconciliation_centralised_Poo to review_(26) Oct-09 (AL)_Reconciliation_1" xfId="740"/>
    <cellStyle name="_08_IBM_H.4 - H.5 - Intercompany reconciliation_centralised_Poo to review_(26) Oct-09 (AL)_Reconciliation_2" xfId="741"/>
    <cellStyle name="_08_IBM_H.4 - H.5 - Intercompany reconciliation_centralised_Poo to review_(26) Oct-09 (AL)_Reconciliation_3" xfId="742"/>
    <cellStyle name="_08_IBM_H.4 - H.5 - Intercompany reconciliation_centralised_Poo to review_(27) Nov-09 (AL)" xfId="743"/>
    <cellStyle name="_08_IBM_H.4 - H.5 - Intercompany reconciliation_centralised_Poo to review_(27) Nov-09 (AL)_IBM_Grouped(2)" xfId="744"/>
    <cellStyle name="_08_IBM_H.4 - H.5 - Intercompany reconciliation_centralised_Poo to review_(27) Nov-09 (AL)_IBM_Grouped(2)_Recon" xfId="745"/>
    <cellStyle name="_08_IBM_H.4 - H.5 - Intercompany reconciliation_centralised_Poo to review_(27) Nov-09 (AL)_IBM_Grouped(2)_Recon to Segmental Report" xfId="746"/>
    <cellStyle name="_08_IBM_H.4 - H.5 - Intercompany reconciliation_centralised_Poo to review_(27) Nov-09 (AL)_IBM_Grouped(2)_Recon_1" xfId="747"/>
    <cellStyle name="_08_IBM_H.4 - H.5 - Intercompany reconciliation_centralised_Poo to review_(27) Nov-09 (AL)_IBM_Grouped(2)_Recon_2" xfId="748"/>
    <cellStyle name="_08_IBM_H.4 - H.5 - Intercompany reconciliation_centralised_Poo to review_(27) Nov-09 (AL)_IBM_Grouped(2)_Recon_3" xfId="749"/>
    <cellStyle name="_08_IBM_H.4 - H.5 - Intercompany reconciliation_centralised_Poo to review_(27) Nov-09 (AL)_IBM_Grouped(2)_Recon_4" xfId="750"/>
    <cellStyle name="_08_IBM_H.4 - H.5 - Intercompany reconciliation_centralised_Poo to review_(27) Nov-09 (AL)_IBM_Grouped(2)_Reconciliation" xfId="751"/>
    <cellStyle name="_08_IBM_H.4 - H.5 - Intercompany reconciliation_centralised_Poo to review_(27) Nov-09 (AL)_IBM_Grouped(2)_Reconciliation_1" xfId="752"/>
    <cellStyle name="_08_IBM_H.4 - H.5 - Intercompany reconciliation_centralised_Poo to review_(27) Nov-09 (AL)_IBM_Grouped(2)_Reconciliation_2" xfId="753"/>
    <cellStyle name="_08_IBM_H.4 - H.5 - Intercompany reconciliation_centralised_Poo to review_(27) Nov-09 (AL)_IBM_Grouped(2)_Reconciliation_3" xfId="754"/>
    <cellStyle name="_08_IBM_H.4 - H.5 - Intercompany reconciliation_centralised_Poo to review_(27) Nov-09 (AL)_Recon" xfId="755"/>
    <cellStyle name="_08_IBM_H.4 - H.5 - Intercompany reconciliation_centralised_Poo to review_(27) Nov-09 (AL)_Recon W1" xfId="756"/>
    <cellStyle name="_08_IBM_H.4 - H.5 - Intercompany reconciliation_centralised_Poo to review_(27) Nov-09 (AL)_Recon_1" xfId="757"/>
    <cellStyle name="_08_IBM_H.4 - H.5 - Intercompany reconciliation_centralised_Poo to review_(27) Nov-09 (AL)_Recon_2" xfId="758"/>
    <cellStyle name="_08_IBM_H.4 - H.5 - Intercompany reconciliation_centralised_Poo to review_(27) Nov-09 (AL)_Recon_3" xfId="759"/>
    <cellStyle name="_08_IBM_H.4 - H.5 - Intercompany reconciliation_centralised_Poo to review_(27) Nov-09 (AL)_Reconciliation" xfId="760"/>
    <cellStyle name="_08_IBM_H.4 - H.5 - Intercompany reconciliation_centralised_Poo to review_(27) Nov-09 (AL)_Reconciliation_1" xfId="761"/>
    <cellStyle name="_08_IBM_H.4 - H.5 - Intercompany reconciliation_centralised_Poo to review_(27) Nov-09 (AL)_Reconciliation_2" xfId="762"/>
    <cellStyle name="_08_IBM_H.4 - H.5 - Intercompany reconciliation_centralised_Poo to review_(27) Nov-09 (AL)_Reconciliation_3" xfId="763"/>
    <cellStyle name="_08_IBM_H.4 - H.5 - Intercompany reconciliation_centralised_Poo to review_31.12.09 Mauritius-USD based ledger - Final1" xfId="764"/>
    <cellStyle name="_08_IBM_H.4 - H.5 - Intercompany reconciliation_centralised_Poo to review_Book1 (4)" xfId="765"/>
    <cellStyle name="_08_IBM_H.4 - H.5 - Intercompany reconciliation_centralised_Poo to review_Book4" xfId="766"/>
    <cellStyle name="_08_IBM_H.4 - H.5 - Intercompany reconciliation_centralised_Poo to review_Book4_Recon" xfId="767"/>
    <cellStyle name="_08_IBM_H.4 - H.5 - Intercompany reconciliation_centralised_Poo to review_Book4_Recon W1" xfId="768"/>
    <cellStyle name="_08_IBM_H.4 - H.5 - Intercompany reconciliation_centralised_Poo to review_Book4_Recon_1" xfId="769"/>
    <cellStyle name="_08_IBM_H.4 - H.5 - Intercompany reconciliation_centralised_Poo to review_Book4_Recon_2" xfId="770"/>
    <cellStyle name="_08_IBM_H.4 - H.5 - Intercompany reconciliation_centralised_Poo to review_Book4_Recon_3" xfId="771"/>
    <cellStyle name="_08_IBM_H.4 - H.5 - Intercompany reconciliation_centralised_Poo to review_Book4_Reconciliation" xfId="772"/>
    <cellStyle name="_08_IBM_H.4 - H.5 - Intercompany reconciliation_centralised_Poo to review_Book4_Reconciliation_1" xfId="773"/>
    <cellStyle name="_08_IBM_H.4 - H.5 - Intercompany reconciliation_centralised_Poo to review_Book4_Reconciliation_2" xfId="774"/>
    <cellStyle name="_08_IBM_H.4 - H.5 - Intercompany reconciliation_centralised_Poo to review_Book4_Reconciliation_3" xfId="775"/>
    <cellStyle name="_08_IBM_H.4 - H.5 - Intercompany reconciliation_centralised_Poo to review_capital adequacy September 2009" xfId="776"/>
    <cellStyle name="_08_IBM_H.4 - H.5 - Intercompany reconciliation_centralised_Poo to review_capital adequacy September 2009_IBM_Grouped(2)" xfId="777"/>
    <cellStyle name="_08_IBM_H.4 - H.5 - Intercompany reconciliation_centralised_Poo to review_capital adequacy September 2009_IBM_Grouped(2)_Recon" xfId="778"/>
    <cellStyle name="_08_IBM_H.4 - H.5 - Intercompany reconciliation_centralised_Poo to review_capital adequacy September 2009_IBM_Grouped(2)_Recon to Segmental Report" xfId="779"/>
    <cellStyle name="_08_IBM_H.4 - H.5 - Intercompany reconciliation_centralised_Poo to review_capital adequacy September 2009_IBM_Grouped(2)_Recon_1" xfId="780"/>
    <cellStyle name="_08_IBM_H.4 - H.5 - Intercompany reconciliation_centralised_Poo to review_capital adequacy September 2009_IBM_Grouped(2)_Recon_2" xfId="781"/>
    <cellStyle name="_08_IBM_H.4 - H.5 - Intercompany reconciliation_centralised_Poo to review_capital adequacy September 2009_IBM_Grouped(2)_Recon_3" xfId="782"/>
    <cellStyle name="_08_IBM_H.4 - H.5 - Intercompany reconciliation_centralised_Poo to review_capital adequacy September 2009_IBM_Grouped(2)_Recon_4" xfId="783"/>
    <cellStyle name="_08_IBM_H.4 - H.5 - Intercompany reconciliation_centralised_Poo to review_capital adequacy September 2009_IBM_Grouped(2)_Reconciliation" xfId="784"/>
    <cellStyle name="_08_IBM_H.4 - H.5 - Intercompany reconciliation_centralised_Poo to review_capital adequacy September 2009_IBM_Grouped(2)_Reconciliation_1" xfId="785"/>
    <cellStyle name="_08_IBM_H.4 - H.5 - Intercompany reconciliation_centralised_Poo to review_capital adequacy September 2009_IBM_Grouped(2)_Reconciliation_2" xfId="786"/>
    <cellStyle name="_08_IBM_H.4 - H.5 - Intercompany reconciliation_centralised_Poo to review_capital adequacy September 2009_IBM_Grouped(2)_Reconciliation_3" xfId="787"/>
    <cellStyle name="_08_IBM_H.4 - H.5 - Intercompany reconciliation_centralised_Poo to review_capital adequacy September 2009_Recon" xfId="788"/>
    <cellStyle name="_08_IBM_H.4 - H.5 - Intercompany reconciliation_centralised_Poo to review_capital adequacy September 2009_Recon W1" xfId="789"/>
    <cellStyle name="_08_IBM_H.4 - H.5 - Intercompany reconciliation_centralised_Poo to review_capital adequacy September 2009_Recon_1" xfId="790"/>
    <cellStyle name="_08_IBM_H.4 - H.5 - Intercompany reconciliation_centralised_Poo to review_capital adequacy September 2009_Recon_2" xfId="791"/>
    <cellStyle name="_08_IBM_H.4 - H.5 - Intercompany reconciliation_centralised_Poo to review_capital adequacy September 2009_Recon_3" xfId="792"/>
    <cellStyle name="_08_IBM_H.4 - H.5 - Intercompany reconciliation_centralised_Poo to review_capital adequacy September 2009_Reconciliation" xfId="793"/>
    <cellStyle name="_08_IBM_H.4 - H.5 - Intercompany reconciliation_centralised_Poo to review_capital adequacy September 2009_Reconciliation_1" xfId="794"/>
    <cellStyle name="_08_IBM_H.4 - H.5 - Intercompany reconciliation_centralised_Poo to review_capital adequacy September 2009_Reconciliation_2" xfId="795"/>
    <cellStyle name="_08_IBM_H.4 - H.5 - Intercompany reconciliation_centralised_Poo to review_capital adequacy September 2009_Reconciliation_3" xfId="796"/>
    <cellStyle name="_08_IBM_H.4 - H.5 - Intercompany reconciliation_centralised_Poo to review_Copy of Mauritius-USD based ledger" xfId="797"/>
    <cellStyle name="_08_IBM_H.4 - H.5 - Intercompany reconciliation_centralised_Poo to review_Copy of Mauritius-USD based ledger_Recon" xfId="798"/>
    <cellStyle name="_08_IBM_H.4 - H.5 - Intercompany reconciliation_centralised_Poo to review_Copy of Mauritius-USD based ledger_Recon W1" xfId="799"/>
    <cellStyle name="_08_IBM_H.4 - H.5 - Intercompany reconciliation_centralised_Poo to review_Copy of Mauritius-USD based ledger_Recon_1" xfId="800"/>
    <cellStyle name="_08_IBM_H.4 - H.5 - Intercompany reconciliation_centralised_Poo to review_Copy of Mauritius-USD based ledger_Recon_2" xfId="801"/>
    <cellStyle name="_08_IBM_H.4 - H.5 - Intercompany reconciliation_centralised_Poo to review_Copy of Mauritius-USD based ledger_Recon_3" xfId="802"/>
    <cellStyle name="_08_IBM_H.4 - H.5 - Intercompany reconciliation_centralised_Poo to review_Copy of Mauritius-USD based ledger_Reconciliation" xfId="803"/>
    <cellStyle name="_08_IBM_H.4 - H.5 - Intercompany reconciliation_centralised_Poo to review_Copy of Mauritius-USD based ledger_Reconciliation_1" xfId="804"/>
    <cellStyle name="_08_IBM_H.4 - H.5 - Intercompany reconciliation_centralised_Poo to review_Copy of Mauritius-USD based ledger_Reconciliation_2" xfId="805"/>
    <cellStyle name="_08_IBM_H.4 - H.5 - Intercompany reconciliation_centralised_Poo to review_Copy of Mauritius-USD based ledger_Reconciliation_3" xfId="806"/>
    <cellStyle name="_08_IBM_H.4 - H.5 - Intercompany reconciliation_centralised_Poo to review_Fixed Assets Register 11 Feb10" xfId="807"/>
    <cellStyle name="_08_IBM_H.4 - H.5 - Intercompany reconciliation_centralised_Poo to review_Fixed Assets Register 11 Feb10_(19) Loan Feb-11(Feb-11 figures)" xfId="808"/>
    <cellStyle name="_08_IBM_H.4 - H.5 - Intercompany reconciliation_centralised_Poo to review_Fixed Assets Register 12 Mar10.xls" xfId="809"/>
    <cellStyle name="_08_IBM_H.4 - H.5 - Intercompany reconciliation_centralised_Poo to review_Fixed Assets Register 12 Mar10.xls_(19) Loan Feb-11(Feb-11 figures)" xfId="810"/>
    <cellStyle name="_08_IBM_H.4 - H.5 - Intercompany reconciliation_centralised_Poo to review_IBM Input Sheet 31.03.2010 v0.4" xfId="811"/>
    <cellStyle name="_08_IBM_H.4 - H.5 - Intercompany reconciliation_centralised_Poo to review_IBM Input Sheet 31.03.2010 v0.4_(19) Loan Feb-11(Feb-11 figures)" xfId="812"/>
    <cellStyle name="_08_IBM_H.4 - H.5 - Intercompany reconciliation_centralised_Poo to review_IBM_Grouped(2)" xfId="813"/>
    <cellStyle name="_08_IBM_H.4 - H.5 - Intercompany reconciliation_centralised_Poo to review_IBM_Grouped(2)_Recon" xfId="814"/>
    <cellStyle name="_08_IBM_H.4 - H.5 - Intercompany reconciliation_centralised_Poo to review_IBM_Grouped(2)_Recon W1" xfId="815"/>
    <cellStyle name="_08_IBM_H.4 - H.5 - Intercompany reconciliation_centralised_Poo to review_IBM_Grouped(2)_Recon_1" xfId="816"/>
    <cellStyle name="_08_IBM_H.4 - H.5 - Intercompany reconciliation_centralised_Poo to review_IBM_Grouped(2)_Recon_2" xfId="817"/>
    <cellStyle name="_08_IBM_H.4 - H.5 - Intercompany reconciliation_centralised_Poo to review_IBM_Grouped(2)_Recon_3" xfId="818"/>
    <cellStyle name="_08_IBM_H.4 - H.5 - Intercompany reconciliation_centralised_Poo to review_IBM_Grouped(2)_Reconciliation" xfId="819"/>
    <cellStyle name="_08_IBM_H.4 - H.5 - Intercompany reconciliation_centralised_Poo to review_IBM_Grouped(2)_Reconciliation_1" xfId="820"/>
    <cellStyle name="_08_IBM_H.4 - H.5 - Intercompany reconciliation_centralised_Poo to review_IBM_Grouped(2)_Reconciliation_2" xfId="821"/>
    <cellStyle name="_08_IBM_H.4 - H.5 - Intercompany reconciliation_centralised_Poo to review_IBM_Grouped(2)_Reconciliation_3" xfId="822"/>
    <cellStyle name="_08_IBM_H.4 - H.5 - Intercompany reconciliation_centralised_Poo to review_IBM_Grouped_USD" xfId="823"/>
    <cellStyle name="_08_IBM_H.4 - H.5 - Intercompany reconciliation_centralised_Poo to review_IBM_Grouped_USD_Recon" xfId="824"/>
    <cellStyle name="_08_IBM_H.4 - H.5 - Intercompany reconciliation_centralised_Poo to review_IBM_Grouped_USD_Recon W1" xfId="825"/>
    <cellStyle name="_08_IBM_H.4 - H.5 - Intercompany reconciliation_centralised_Poo to review_IBM_Grouped_USD_Recon_1" xfId="826"/>
    <cellStyle name="_08_IBM_H.4 - H.5 - Intercompany reconciliation_centralised_Poo to review_IBM_Grouped_USD_Recon_2" xfId="827"/>
    <cellStyle name="_08_IBM_H.4 - H.5 - Intercompany reconciliation_centralised_Poo to review_IBM_Grouped_USD_Recon_3" xfId="828"/>
    <cellStyle name="_08_IBM_H.4 - H.5 - Intercompany reconciliation_centralised_Poo to review_IBM_Grouped_USD_Reconciliation" xfId="829"/>
    <cellStyle name="_08_IBM_H.4 - H.5 - Intercompany reconciliation_centralised_Poo to review_IBM_Grouped_USD_Reconciliation_1" xfId="830"/>
    <cellStyle name="_08_IBM_H.4 - H.5 - Intercompany reconciliation_centralised_Poo to review_IBM_Grouped_USD_Reconciliation_2" xfId="831"/>
    <cellStyle name="_08_IBM_H.4 - H.5 - Intercompany reconciliation_centralised_Poo to review_IBM_Grouped_USD_Reconciliation_3" xfId="832"/>
    <cellStyle name="_08_IBM_H.4 - H.5 - Intercompany reconciliation_centralised_Poo to review_IBM_Grouped_ZAR" xfId="833"/>
    <cellStyle name="_08_IBM_H.4 - H.5 - Intercompany reconciliation_centralised_Poo to review_IBM_Grouped_ZAR_Recon" xfId="834"/>
    <cellStyle name="_08_IBM_H.4 - H.5 - Intercompany reconciliation_centralised_Poo to review_IBM_Grouped_ZAR_Recon W1" xfId="835"/>
    <cellStyle name="_08_IBM_H.4 - H.5 - Intercompany reconciliation_centralised_Poo to review_IBM_Grouped_ZAR_Recon_1" xfId="836"/>
    <cellStyle name="_08_IBM_H.4 - H.5 - Intercompany reconciliation_centralised_Poo to review_IBM_Grouped_ZAR_Recon_2" xfId="837"/>
    <cellStyle name="_08_IBM_H.4 - H.5 - Intercompany reconciliation_centralised_Poo to review_IBM_Grouped_ZAR_Recon_3" xfId="838"/>
    <cellStyle name="_08_IBM_H.4 - H.5 - Intercompany reconciliation_centralised_Poo to review_IBM_Grouped_ZAR_Reconciliation" xfId="839"/>
    <cellStyle name="_08_IBM_H.4 - H.5 - Intercompany reconciliation_centralised_Poo to review_IBM_Grouped_ZAR_Reconciliation_1" xfId="840"/>
    <cellStyle name="_08_IBM_H.4 - H.5 - Intercompany reconciliation_centralised_Poo to review_IBM_Grouped_ZAR_Reconciliation_2" xfId="841"/>
    <cellStyle name="_08_IBM_H.4 - H.5 - Intercompany reconciliation_centralised_Poo to review_IBM_Grouped_ZAR_Reconciliation_3" xfId="842"/>
    <cellStyle name="_08_IBM_H.4 - H.5 - Intercompany reconciliation_centralised_Poo to review_Liquidity and repricing" xfId="843"/>
    <cellStyle name="_08_IBM_H.4 - H.5 - Intercompany reconciliation_centralised_Poo to review_Liquidity and repricing_IBM_Grouped(2)" xfId="844"/>
    <cellStyle name="_08_IBM_H.4 - H.5 - Intercompany reconciliation_centralised_Poo to review_Liquidity and repricing_IBM_Grouped(2)_Recon" xfId="845"/>
    <cellStyle name="_08_IBM_H.4 - H.5 - Intercompany reconciliation_centralised_Poo to review_Liquidity and repricing_IBM_Grouped(2)_Recon to Segmental Report" xfId="846"/>
    <cellStyle name="_08_IBM_H.4 - H.5 - Intercompany reconciliation_centralised_Poo to review_Liquidity and repricing_IBM_Grouped(2)_Recon_1" xfId="847"/>
    <cellStyle name="_08_IBM_H.4 - H.5 - Intercompany reconciliation_centralised_Poo to review_Liquidity and repricing_IBM_Grouped(2)_Recon_2" xfId="848"/>
    <cellStyle name="_08_IBM_H.4 - H.5 - Intercompany reconciliation_centralised_Poo to review_Liquidity and repricing_IBM_Grouped(2)_Recon_3" xfId="849"/>
    <cellStyle name="_08_IBM_H.4 - H.5 - Intercompany reconciliation_centralised_Poo to review_Liquidity and repricing_IBM_Grouped(2)_Recon_4" xfId="850"/>
    <cellStyle name="_08_IBM_H.4 - H.5 - Intercompany reconciliation_centralised_Poo to review_Liquidity and repricing_IBM_Grouped(2)_Reconciliation" xfId="851"/>
    <cellStyle name="_08_IBM_H.4 - H.5 - Intercompany reconciliation_centralised_Poo to review_Liquidity and repricing_IBM_Grouped(2)_Reconciliation_1" xfId="852"/>
    <cellStyle name="_08_IBM_H.4 - H.5 - Intercompany reconciliation_centralised_Poo to review_Liquidity and repricing_IBM_Grouped(2)_Reconciliation_2" xfId="853"/>
    <cellStyle name="_08_IBM_H.4 - H.5 - Intercompany reconciliation_centralised_Poo to review_Liquidity and repricing_IBM_Grouped(2)_Reconciliation_3" xfId="854"/>
    <cellStyle name="_08_IBM_H.4 - H.5 - Intercompany reconciliation_centralised_Poo to review_Liquidity and repricing_Recon" xfId="855"/>
    <cellStyle name="_08_IBM_H.4 - H.5 - Intercompany reconciliation_centralised_Poo to review_Liquidity and repricing_Recon W1" xfId="856"/>
    <cellStyle name="_08_IBM_H.4 - H.5 - Intercompany reconciliation_centralised_Poo to review_Liquidity and repricing_Recon_1" xfId="857"/>
    <cellStyle name="_08_IBM_H.4 - H.5 - Intercompany reconciliation_centralised_Poo to review_Liquidity and repricing_Recon_2" xfId="858"/>
    <cellStyle name="_08_IBM_H.4 - H.5 - Intercompany reconciliation_centralised_Poo to review_Liquidity and repricing_Recon_3" xfId="859"/>
    <cellStyle name="_08_IBM_H.4 - H.5 - Intercompany reconciliation_centralised_Poo to review_Liquidity and repricing_Reconciliation" xfId="860"/>
    <cellStyle name="_08_IBM_H.4 - H.5 - Intercompany reconciliation_centralised_Poo to review_Liquidity and repricing_Reconciliation_1" xfId="861"/>
    <cellStyle name="_08_IBM_H.4 - H.5 - Intercompany reconciliation_centralised_Poo to review_Liquidity and repricing_Reconciliation_2" xfId="862"/>
    <cellStyle name="_08_IBM_H.4 - H.5 - Intercompany reconciliation_centralised_Poo to review_Liquidity and repricing_Reconciliation_3" xfId="863"/>
    <cellStyle name="_08_IBM_H.4 - H.5 - Intercompany reconciliation_centralised_Poo to review_MUR position" xfId="864"/>
    <cellStyle name="_08_IBM_H.4 - H.5 - Intercompany reconciliation_centralised_Poo to review_NOP 2010 01 31 USD BASED" xfId="865"/>
    <cellStyle name="_08_IBM_H.4 - H.5 - Intercompany reconciliation_centralised_Poo to review_NOP 2010 01 31 USD BASED_Report Finance" xfId="866"/>
    <cellStyle name="_08_IBM_H.4 - H.5 - Intercompany reconciliation_centralised_Poo to review_NOP 2010 02 28 USD BASED Final" xfId="867"/>
    <cellStyle name="_08_IBM_H.4 - H.5 - Intercompany reconciliation_centralised_Poo to review_NOP 2010 02 28 USD BASED Final_Report Finance" xfId="868"/>
    <cellStyle name="_08_IBM_H.4 - H.5 - Intercompany reconciliation_centralised_Poo to review_NOP 2010 03 31 USD BASEDrevised" xfId="869"/>
    <cellStyle name="_08_IBM_H.4 - H.5 - Intercompany reconciliation_centralised_Poo to review_NOP 2010 03 31 USD BASEDrevised_Report Finance" xfId="870"/>
    <cellStyle name="_08_IBM_H.4 - H.5 - Intercompany reconciliation_centralised_Poo to review_NOP 2010 04 30" xfId="871"/>
    <cellStyle name="_08_IBM_H.4 - H.5 - Intercompany reconciliation_centralised_Poo to review_NOP 2010 04 30_Recon" xfId="872"/>
    <cellStyle name="_08_IBM_H.4 - H.5 - Intercompany reconciliation_centralised_Poo to review_NOP 2010 04 30_Recon W1" xfId="873"/>
    <cellStyle name="_08_IBM_H.4 - H.5 - Intercompany reconciliation_centralised_Poo to review_NOP 2010 04 30_Recon_1" xfId="874"/>
    <cellStyle name="_08_IBM_H.4 - H.5 - Intercompany reconciliation_centralised_Poo to review_NOP 2010 04 30_Recon_2" xfId="875"/>
    <cellStyle name="_08_IBM_H.4 - H.5 - Intercompany reconciliation_centralised_Poo to review_NOP 2010 04 30_Recon_3" xfId="876"/>
    <cellStyle name="_08_IBM_H.4 - H.5 - Intercompany reconciliation_centralised_Poo to review_NOP 2010 04 30_Reconciliation" xfId="877"/>
    <cellStyle name="_08_IBM_H.4 - H.5 - Intercompany reconciliation_centralised_Poo to review_NOP 2010 04 30_Reconciliation_1" xfId="878"/>
    <cellStyle name="_08_IBM_H.4 - H.5 - Intercompany reconciliation_centralised_Poo to review_NOP 2010 04 30_Reconciliation_2" xfId="879"/>
    <cellStyle name="_08_IBM_H.4 - H.5 - Intercompany reconciliation_centralised_Poo to review_NOP 2010 04 30_Reconciliation_3" xfId="880"/>
    <cellStyle name="_08_IBM_H.4 - H.5 - Intercompany reconciliation_centralised_Poo to review_NOP 2010 04 30_Report Finance" xfId="881"/>
    <cellStyle name="_08_IBM_H.4 - H.5 - Intercompany reconciliation_centralised_Poo to review_ORIGINAL NOP 2009 12 31 USD BASED" xfId="882"/>
    <cellStyle name="_08_IBM_H.4 - H.5 - Intercompany reconciliation_centralised_Poo to review_ORIGINAL NOP 2009 12 31 USD BASED_Report Finance" xfId="883"/>
    <cellStyle name="_08_IBM_H.4 - H.5 - Intercompany reconciliation_centralised_Poo to review_Recon" xfId="884"/>
    <cellStyle name="_08_IBM_H.4 - H.5 - Intercompany reconciliation_centralised_Poo to review_Recon W1" xfId="885"/>
    <cellStyle name="_08_IBM_H.4 - H.5 - Intercompany reconciliation_centralised_Poo to review_Recon_1" xfId="886"/>
    <cellStyle name="_08_IBM_H.4 - H.5 - Intercompany reconciliation_centralised_Poo to review_Recon_2" xfId="887"/>
    <cellStyle name="_08_IBM_H.4 - H.5 - Intercompany reconciliation_centralised_Poo to review_Recon_3" xfId="888"/>
    <cellStyle name="_08_IBM_H.4 - H.5 - Intercompany reconciliation_centralised_Poo to review_Reconciliation" xfId="889"/>
    <cellStyle name="_08_IBM_H.4 - H.5 - Intercompany reconciliation_centralised_Poo to review_Reconciliation_1" xfId="890"/>
    <cellStyle name="_08_IBM_H.4 - H.5 - Intercompany reconciliation_centralised_Poo to review_Reconciliation_2" xfId="891"/>
    <cellStyle name="_08_IBM_H.4 - H.5 - Intercompany reconciliation_centralised_Poo to review_Reconciliation_3" xfId="892"/>
    <cellStyle name="_08_IBM_H.4 - H.5 - Intercompany reconciliation_centralised_Poo to review_Report Finance" xfId="893"/>
    <cellStyle name="_08_IBM_H.4 - H.5 - Intercompany reconciliation_centralised_Poo to review_SC_Treasury_Other" xfId="894"/>
    <cellStyle name="_08_IBM_H.4 - H.5 - Intercompany reconciliation_centralised_Poo to review_SC_Treasury_Other_Recon" xfId="895"/>
    <cellStyle name="_08_IBM_H.4 - H.5 - Intercompany reconciliation_centralised_Poo to review_SC_Treasury_Other_Recon_1" xfId="896"/>
    <cellStyle name="_08_IBM_H.4 - H.5 - Intercompany reconciliation_centralised_Poo to review_SC_Treasury_Other_Recon_2" xfId="897"/>
    <cellStyle name="_08_IBM_H.4 - H.5 - Intercompany reconciliation_centralised_Poo to review_SC_Treasury_Other_Recon_3" xfId="898"/>
    <cellStyle name="_08_IBM_H.4 - H.5 - Intercompany reconciliation_centralised_Poo to review_SC_Treasury_Other_Reconciliation" xfId="899"/>
    <cellStyle name="_08_IBM_H.4 - H.5 - Intercompany reconciliation_centralised_Poo to review_SC_Treasury_Other_Reconciliation_1" xfId="900"/>
    <cellStyle name="_08_IBM_H.4 - H.5 - Intercompany reconciliation_centralised_Poo to review_Sheet1" xfId="901"/>
    <cellStyle name="_08_IBM_H.4 - H.5 - Intercompany reconciliation_centralised_Poo to review_Sheet1_1" xfId="902"/>
    <cellStyle name="_08_IBM_H.4_Interdiv reconciliation_centralised" xfId="903"/>
    <cellStyle name="_08_IBM_H.4_Interdiv reconciliation_centralised_(26) Oct-09 (AL)" xfId="904"/>
    <cellStyle name="_08_IBM_H.4_Interdiv reconciliation_centralised_(26) Oct-09 (AL)_IBM_Grouped(2)" xfId="905"/>
    <cellStyle name="_08_IBM_H.4_Interdiv reconciliation_centralised_(26) Oct-09 (AL)_IBM_Grouped(2)_Recon" xfId="906"/>
    <cellStyle name="_08_IBM_H.4_Interdiv reconciliation_centralised_(26) Oct-09 (AL)_IBM_Grouped(2)_Recon to Segmental Report" xfId="907"/>
    <cellStyle name="_08_IBM_H.4_Interdiv reconciliation_centralised_(26) Oct-09 (AL)_IBM_Grouped(2)_Recon_1" xfId="908"/>
    <cellStyle name="_08_IBM_H.4_Interdiv reconciliation_centralised_(26) Oct-09 (AL)_IBM_Grouped(2)_Recon_2" xfId="909"/>
    <cellStyle name="_08_IBM_H.4_Interdiv reconciliation_centralised_(26) Oct-09 (AL)_IBM_Grouped(2)_Recon_3" xfId="910"/>
    <cellStyle name="_08_IBM_H.4_Interdiv reconciliation_centralised_(26) Oct-09 (AL)_IBM_Grouped(2)_Recon_4" xfId="911"/>
    <cellStyle name="_08_IBM_H.4_Interdiv reconciliation_centralised_(26) Oct-09 (AL)_IBM_Grouped(2)_Reconciliation" xfId="912"/>
    <cellStyle name="_08_IBM_H.4_Interdiv reconciliation_centralised_(26) Oct-09 (AL)_IBM_Grouped(2)_Reconciliation_1" xfId="913"/>
    <cellStyle name="_08_IBM_H.4_Interdiv reconciliation_centralised_(26) Oct-09 (AL)_IBM_Grouped(2)_Reconciliation_2" xfId="914"/>
    <cellStyle name="_08_IBM_H.4_Interdiv reconciliation_centralised_(26) Oct-09 (AL)_IBM_Grouped(2)_Reconciliation_3" xfId="915"/>
    <cellStyle name="_08_IBM_H.4_Interdiv reconciliation_centralised_(26) Oct-09 (AL)_Recon" xfId="916"/>
    <cellStyle name="_08_IBM_H.4_Interdiv reconciliation_centralised_(26) Oct-09 (AL)_Recon W1" xfId="917"/>
    <cellStyle name="_08_IBM_H.4_Interdiv reconciliation_centralised_(26) Oct-09 (AL)_Recon_1" xfId="918"/>
    <cellStyle name="_08_IBM_H.4_Interdiv reconciliation_centralised_(26) Oct-09 (AL)_Recon_2" xfId="919"/>
    <cellStyle name="_08_IBM_H.4_Interdiv reconciliation_centralised_(26) Oct-09 (AL)_Recon_3" xfId="920"/>
    <cellStyle name="_08_IBM_H.4_Interdiv reconciliation_centralised_(26) Oct-09 (AL)_Reconciliation" xfId="921"/>
    <cellStyle name="_08_IBM_H.4_Interdiv reconciliation_centralised_(26) Oct-09 (AL)_Reconciliation_1" xfId="922"/>
    <cellStyle name="_08_IBM_H.4_Interdiv reconciliation_centralised_(26) Oct-09 (AL)_Reconciliation_2" xfId="923"/>
    <cellStyle name="_08_IBM_H.4_Interdiv reconciliation_centralised_(26) Oct-09 (AL)_Reconciliation_3" xfId="924"/>
    <cellStyle name="_08_IBM_H.4_Interdiv reconciliation_centralised_(27) Nov-09 (AL)" xfId="925"/>
    <cellStyle name="_08_IBM_H.4_Interdiv reconciliation_centralised_(27) Nov-09 (AL)_IBM_Grouped(2)" xfId="926"/>
    <cellStyle name="_08_IBM_H.4_Interdiv reconciliation_centralised_(27) Nov-09 (AL)_IBM_Grouped(2)_Recon" xfId="927"/>
    <cellStyle name="_08_IBM_H.4_Interdiv reconciliation_centralised_(27) Nov-09 (AL)_IBM_Grouped(2)_Recon to Segmental Report" xfId="928"/>
    <cellStyle name="_08_IBM_H.4_Interdiv reconciliation_centralised_(27) Nov-09 (AL)_IBM_Grouped(2)_Recon_1" xfId="929"/>
    <cellStyle name="_08_IBM_H.4_Interdiv reconciliation_centralised_(27) Nov-09 (AL)_IBM_Grouped(2)_Recon_2" xfId="930"/>
    <cellStyle name="_08_IBM_H.4_Interdiv reconciliation_centralised_(27) Nov-09 (AL)_IBM_Grouped(2)_Recon_3" xfId="931"/>
    <cellStyle name="_08_IBM_H.4_Interdiv reconciliation_centralised_(27) Nov-09 (AL)_IBM_Grouped(2)_Recon_4" xfId="932"/>
    <cellStyle name="_08_IBM_H.4_Interdiv reconciliation_centralised_(27) Nov-09 (AL)_IBM_Grouped(2)_Reconciliation" xfId="933"/>
    <cellStyle name="_08_IBM_H.4_Interdiv reconciliation_centralised_(27) Nov-09 (AL)_IBM_Grouped(2)_Reconciliation_1" xfId="934"/>
    <cellStyle name="_08_IBM_H.4_Interdiv reconciliation_centralised_(27) Nov-09 (AL)_IBM_Grouped(2)_Reconciliation_2" xfId="935"/>
    <cellStyle name="_08_IBM_H.4_Interdiv reconciliation_centralised_(27) Nov-09 (AL)_IBM_Grouped(2)_Reconciliation_3" xfId="936"/>
    <cellStyle name="_08_IBM_H.4_Interdiv reconciliation_centralised_(27) Nov-09 (AL)_Recon" xfId="937"/>
    <cellStyle name="_08_IBM_H.4_Interdiv reconciliation_centralised_(27) Nov-09 (AL)_Recon W1" xfId="938"/>
    <cellStyle name="_08_IBM_H.4_Interdiv reconciliation_centralised_(27) Nov-09 (AL)_Recon_1" xfId="939"/>
    <cellStyle name="_08_IBM_H.4_Interdiv reconciliation_centralised_(27) Nov-09 (AL)_Recon_2" xfId="940"/>
    <cellStyle name="_08_IBM_H.4_Interdiv reconciliation_centralised_(27) Nov-09 (AL)_Recon_3" xfId="941"/>
    <cellStyle name="_08_IBM_H.4_Interdiv reconciliation_centralised_(27) Nov-09 (AL)_Reconciliation" xfId="942"/>
    <cellStyle name="_08_IBM_H.4_Interdiv reconciliation_centralised_(27) Nov-09 (AL)_Reconciliation_1" xfId="943"/>
    <cellStyle name="_08_IBM_H.4_Interdiv reconciliation_centralised_(27) Nov-09 (AL)_Reconciliation_2" xfId="944"/>
    <cellStyle name="_08_IBM_H.4_Interdiv reconciliation_centralised_(27) Nov-09 (AL)_Reconciliation_3" xfId="945"/>
    <cellStyle name="_08_IBM_H.4_Interdiv reconciliation_centralised_31.12.09 Mauritius-USD based ledger - Final1" xfId="946"/>
    <cellStyle name="_08_IBM_H.4_Interdiv reconciliation_centralised_Book1 (4)" xfId="947"/>
    <cellStyle name="_08_IBM_H.4_Interdiv reconciliation_centralised_Book4" xfId="948"/>
    <cellStyle name="_08_IBM_H.4_Interdiv reconciliation_centralised_Book4_Recon" xfId="949"/>
    <cellStyle name="_08_IBM_H.4_Interdiv reconciliation_centralised_Book4_Recon W1" xfId="950"/>
    <cellStyle name="_08_IBM_H.4_Interdiv reconciliation_centralised_Book4_Recon_1" xfId="951"/>
    <cellStyle name="_08_IBM_H.4_Interdiv reconciliation_centralised_Book4_Recon_2" xfId="952"/>
    <cellStyle name="_08_IBM_H.4_Interdiv reconciliation_centralised_Book4_Recon_3" xfId="953"/>
    <cellStyle name="_08_IBM_H.4_Interdiv reconciliation_centralised_Book4_Reconciliation" xfId="954"/>
    <cellStyle name="_08_IBM_H.4_Interdiv reconciliation_centralised_Book4_Reconciliation_1" xfId="955"/>
    <cellStyle name="_08_IBM_H.4_Interdiv reconciliation_centralised_Book4_Reconciliation_2" xfId="956"/>
    <cellStyle name="_08_IBM_H.4_Interdiv reconciliation_centralised_Book4_Reconciliation_3" xfId="957"/>
    <cellStyle name="_08_IBM_H.4_Interdiv reconciliation_centralised_capital adequacy September 2009" xfId="958"/>
    <cellStyle name="_08_IBM_H.4_Interdiv reconciliation_centralised_capital adequacy September 2009_IBM_Grouped(2)" xfId="959"/>
    <cellStyle name="_08_IBM_H.4_Interdiv reconciliation_centralised_capital adequacy September 2009_IBM_Grouped(2)_Recon" xfId="960"/>
    <cellStyle name="_08_IBM_H.4_Interdiv reconciliation_centralised_capital adequacy September 2009_IBM_Grouped(2)_Recon to Segmental Report" xfId="961"/>
    <cellStyle name="_08_IBM_H.4_Interdiv reconciliation_centralised_capital adequacy September 2009_IBM_Grouped(2)_Recon_1" xfId="962"/>
    <cellStyle name="_08_IBM_H.4_Interdiv reconciliation_centralised_capital adequacy September 2009_IBM_Grouped(2)_Recon_2" xfId="963"/>
    <cellStyle name="_08_IBM_H.4_Interdiv reconciliation_centralised_capital adequacy September 2009_IBM_Grouped(2)_Recon_3" xfId="964"/>
    <cellStyle name="_08_IBM_H.4_Interdiv reconciliation_centralised_capital adequacy September 2009_IBM_Grouped(2)_Recon_4" xfId="965"/>
    <cellStyle name="_08_IBM_H.4_Interdiv reconciliation_centralised_capital adequacy September 2009_IBM_Grouped(2)_Reconciliation" xfId="966"/>
    <cellStyle name="_08_IBM_H.4_Interdiv reconciliation_centralised_capital adequacy September 2009_IBM_Grouped(2)_Reconciliation_1" xfId="967"/>
    <cellStyle name="_08_IBM_H.4_Interdiv reconciliation_centralised_capital adequacy September 2009_IBM_Grouped(2)_Reconciliation_2" xfId="968"/>
    <cellStyle name="_08_IBM_H.4_Interdiv reconciliation_centralised_capital adequacy September 2009_IBM_Grouped(2)_Reconciliation_3" xfId="969"/>
    <cellStyle name="_08_IBM_H.4_Interdiv reconciliation_centralised_capital adequacy September 2009_Recon" xfId="970"/>
    <cellStyle name="_08_IBM_H.4_Interdiv reconciliation_centralised_capital adequacy September 2009_Recon W1" xfId="971"/>
    <cellStyle name="_08_IBM_H.4_Interdiv reconciliation_centralised_capital adequacy September 2009_Recon_1" xfId="972"/>
    <cellStyle name="_08_IBM_H.4_Interdiv reconciliation_centralised_capital adequacy September 2009_Recon_2" xfId="973"/>
    <cellStyle name="_08_IBM_H.4_Interdiv reconciliation_centralised_capital adequacy September 2009_Recon_3" xfId="974"/>
    <cellStyle name="_08_IBM_H.4_Interdiv reconciliation_centralised_capital adequacy September 2009_Reconciliation" xfId="975"/>
    <cellStyle name="_08_IBM_H.4_Interdiv reconciliation_centralised_capital adequacy September 2009_Reconciliation_1" xfId="976"/>
    <cellStyle name="_08_IBM_H.4_Interdiv reconciliation_centralised_capital adequacy September 2009_Reconciliation_2" xfId="977"/>
    <cellStyle name="_08_IBM_H.4_Interdiv reconciliation_centralised_capital adequacy September 2009_Reconciliation_3" xfId="978"/>
    <cellStyle name="_08_IBM_H.4_Interdiv reconciliation_centralised_Copy of Mauritius-USD based ledger" xfId="979"/>
    <cellStyle name="_08_IBM_H.4_Interdiv reconciliation_centralised_Copy of Mauritius-USD based ledger_Recon" xfId="980"/>
    <cellStyle name="_08_IBM_H.4_Interdiv reconciliation_centralised_Copy of Mauritius-USD based ledger_Recon W1" xfId="981"/>
    <cellStyle name="_08_IBM_H.4_Interdiv reconciliation_centralised_Copy of Mauritius-USD based ledger_Recon_1" xfId="982"/>
    <cellStyle name="_08_IBM_H.4_Interdiv reconciliation_centralised_Copy of Mauritius-USD based ledger_Recon_2" xfId="983"/>
    <cellStyle name="_08_IBM_H.4_Interdiv reconciliation_centralised_Copy of Mauritius-USD based ledger_Recon_3" xfId="984"/>
    <cellStyle name="_08_IBM_H.4_Interdiv reconciliation_centralised_Copy of Mauritius-USD based ledger_Reconciliation" xfId="985"/>
    <cellStyle name="_08_IBM_H.4_Interdiv reconciliation_centralised_Copy of Mauritius-USD based ledger_Reconciliation_1" xfId="986"/>
    <cellStyle name="_08_IBM_H.4_Interdiv reconciliation_centralised_Copy of Mauritius-USD based ledger_Reconciliation_2" xfId="987"/>
    <cellStyle name="_08_IBM_H.4_Interdiv reconciliation_centralised_Copy of Mauritius-USD based ledger_Reconciliation_3" xfId="988"/>
    <cellStyle name="_08_IBM_H.4_Interdiv reconciliation_centralised_Fixed Assets Register 11 Feb10" xfId="989"/>
    <cellStyle name="_08_IBM_H.4_Interdiv reconciliation_centralised_Fixed Assets Register 11 Feb10_(19) Loan Feb-11(Feb-11 figures)" xfId="990"/>
    <cellStyle name="_08_IBM_H.4_Interdiv reconciliation_centralised_Fixed Assets Register 12 Mar10.xls" xfId="991"/>
    <cellStyle name="_08_IBM_H.4_Interdiv reconciliation_centralised_Fixed Assets Register 12 Mar10.xls_(19) Loan Feb-11(Feb-11 figures)" xfId="992"/>
    <cellStyle name="_08_IBM_H.4_Interdiv reconciliation_centralised_IBM Input Sheet 31.03.2010 v0.4" xfId="993"/>
    <cellStyle name="_08_IBM_H.4_Interdiv reconciliation_centralised_IBM Input Sheet 31.03.2010 v0.4_(19) Loan Feb-11(Feb-11 figures)" xfId="994"/>
    <cellStyle name="_08_IBM_H.4_Interdiv reconciliation_centralised_IBM_Grouped(2)" xfId="995"/>
    <cellStyle name="_08_IBM_H.4_Interdiv reconciliation_centralised_IBM_Grouped(2)_Recon" xfId="996"/>
    <cellStyle name="_08_IBM_H.4_Interdiv reconciliation_centralised_IBM_Grouped(2)_Recon W1" xfId="997"/>
    <cellStyle name="_08_IBM_H.4_Interdiv reconciliation_centralised_IBM_Grouped(2)_Recon_1" xfId="998"/>
    <cellStyle name="_08_IBM_H.4_Interdiv reconciliation_centralised_IBM_Grouped(2)_Recon_2" xfId="999"/>
    <cellStyle name="_08_IBM_H.4_Interdiv reconciliation_centralised_IBM_Grouped(2)_Recon_3" xfId="1000"/>
    <cellStyle name="_08_IBM_H.4_Interdiv reconciliation_centralised_IBM_Grouped(2)_Reconciliation" xfId="1001"/>
    <cellStyle name="_08_IBM_H.4_Interdiv reconciliation_centralised_IBM_Grouped(2)_Reconciliation_1" xfId="1002"/>
    <cellStyle name="_08_IBM_H.4_Interdiv reconciliation_centralised_IBM_Grouped(2)_Reconciliation_2" xfId="1003"/>
    <cellStyle name="_08_IBM_H.4_Interdiv reconciliation_centralised_IBM_Grouped(2)_Reconciliation_3" xfId="1004"/>
    <cellStyle name="_08_IBM_H.4_Interdiv reconciliation_centralised_IBM_Grouped_USD" xfId="1005"/>
    <cellStyle name="_08_IBM_H.4_Interdiv reconciliation_centralised_IBM_Grouped_USD_Recon" xfId="1006"/>
    <cellStyle name="_08_IBM_H.4_Interdiv reconciliation_centralised_IBM_Grouped_USD_Recon W1" xfId="1007"/>
    <cellStyle name="_08_IBM_H.4_Interdiv reconciliation_centralised_IBM_Grouped_USD_Recon_1" xfId="1008"/>
    <cellStyle name="_08_IBM_H.4_Interdiv reconciliation_centralised_IBM_Grouped_USD_Recon_2" xfId="1009"/>
    <cellStyle name="_08_IBM_H.4_Interdiv reconciliation_centralised_IBM_Grouped_USD_Recon_3" xfId="1010"/>
    <cellStyle name="_08_IBM_H.4_Interdiv reconciliation_centralised_IBM_Grouped_USD_Reconciliation" xfId="1011"/>
    <cellStyle name="_08_IBM_H.4_Interdiv reconciliation_centralised_IBM_Grouped_USD_Reconciliation_1" xfId="1012"/>
    <cellStyle name="_08_IBM_H.4_Interdiv reconciliation_centralised_IBM_Grouped_USD_Reconciliation_2" xfId="1013"/>
    <cellStyle name="_08_IBM_H.4_Interdiv reconciliation_centralised_IBM_Grouped_USD_Reconciliation_3" xfId="1014"/>
    <cellStyle name="_08_IBM_H.4_Interdiv reconciliation_centralised_IBM_Grouped_ZAR" xfId="1015"/>
    <cellStyle name="_08_IBM_H.4_Interdiv reconciliation_centralised_IBM_Grouped_ZAR_Recon" xfId="1016"/>
    <cellStyle name="_08_IBM_H.4_Interdiv reconciliation_centralised_IBM_Grouped_ZAR_Recon W1" xfId="1017"/>
    <cellStyle name="_08_IBM_H.4_Interdiv reconciliation_centralised_IBM_Grouped_ZAR_Recon_1" xfId="1018"/>
    <cellStyle name="_08_IBM_H.4_Interdiv reconciliation_centralised_IBM_Grouped_ZAR_Recon_2" xfId="1019"/>
    <cellStyle name="_08_IBM_H.4_Interdiv reconciliation_centralised_IBM_Grouped_ZAR_Recon_3" xfId="1020"/>
    <cellStyle name="_08_IBM_H.4_Interdiv reconciliation_centralised_IBM_Grouped_ZAR_Reconciliation" xfId="1021"/>
    <cellStyle name="_08_IBM_H.4_Interdiv reconciliation_centralised_IBM_Grouped_ZAR_Reconciliation_1" xfId="1022"/>
    <cellStyle name="_08_IBM_H.4_Interdiv reconciliation_centralised_IBM_Grouped_ZAR_Reconciliation_2" xfId="1023"/>
    <cellStyle name="_08_IBM_H.4_Interdiv reconciliation_centralised_IBM_Grouped_ZAR_Reconciliation_3" xfId="1024"/>
    <cellStyle name="_08_IBM_H.4_Interdiv reconciliation_centralised_Liquidity and repricing" xfId="1025"/>
    <cellStyle name="_08_IBM_H.4_Interdiv reconciliation_centralised_Liquidity and repricing_IBM_Grouped(2)" xfId="1026"/>
    <cellStyle name="_08_IBM_H.4_Interdiv reconciliation_centralised_Liquidity and repricing_IBM_Grouped(2)_Recon" xfId="1027"/>
    <cellStyle name="_08_IBM_H.4_Interdiv reconciliation_centralised_Liquidity and repricing_IBM_Grouped(2)_Recon to Segmental Report" xfId="1028"/>
    <cellStyle name="_08_IBM_H.4_Interdiv reconciliation_centralised_Liquidity and repricing_IBM_Grouped(2)_Recon_1" xfId="1029"/>
    <cellStyle name="_08_IBM_H.4_Interdiv reconciliation_centralised_Liquidity and repricing_IBM_Grouped(2)_Recon_2" xfId="1030"/>
    <cellStyle name="_08_IBM_H.4_Interdiv reconciliation_centralised_Liquidity and repricing_IBM_Grouped(2)_Recon_3" xfId="1031"/>
    <cellStyle name="_08_IBM_H.4_Interdiv reconciliation_centralised_Liquidity and repricing_IBM_Grouped(2)_Recon_4" xfId="1032"/>
    <cellStyle name="_08_IBM_H.4_Interdiv reconciliation_centralised_Liquidity and repricing_IBM_Grouped(2)_Reconciliation" xfId="1033"/>
    <cellStyle name="_08_IBM_H.4_Interdiv reconciliation_centralised_Liquidity and repricing_IBM_Grouped(2)_Reconciliation_1" xfId="1034"/>
    <cellStyle name="_08_IBM_H.4_Interdiv reconciliation_centralised_Liquidity and repricing_IBM_Grouped(2)_Reconciliation_2" xfId="1035"/>
    <cellStyle name="_08_IBM_H.4_Interdiv reconciliation_centralised_Liquidity and repricing_IBM_Grouped(2)_Reconciliation_3" xfId="1036"/>
    <cellStyle name="_08_IBM_H.4_Interdiv reconciliation_centralised_Liquidity and repricing_Recon" xfId="1037"/>
    <cellStyle name="_08_IBM_H.4_Interdiv reconciliation_centralised_Liquidity and repricing_Recon W1" xfId="1038"/>
    <cellStyle name="_08_IBM_H.4_Interdiv reconciliation_centralised_Liquidity and repricing_Recon_1" xfId="1039"/>
    <cellStyle name="_08_IBM_H.4_Interdiv reconciliation_centralised_Liquidity and repricing_Recon_2" xfId="1040"/>
    <cellStyle name="_08_IBM_H.4_Interdiv reconciliation_centralised_Liquidity and repricing_Recon_3" xfId="1041"/>
    <cellStyle name="_08_IBM_H.4_Interdiv reconciliation_centralised_Liquidity and repricing_Reconciliation" xfId="1042"/>
    <cellStyle name="_08_IBM_H.4_Interdiv reconciliation_centralised_Liquidity and repricing_Reconciliation_1" xfId="1043"/>
    <cellStyle name="_08_IBM_H.4_Interdiv reconciliation_centralised_Liquidity and repricing_Reconciliation_2" xfId="1044"/>
    <cellStyle name="_08_IBM_H.4_Interdiv reconciliation_centralised_Liquidity and repricing_Reconciliation_3" xfId="1045"/>
    <cellStyle name="_08_IBM_H.4_Interdiv reconciliation_centralised_MUR position" xfId="1046"/>
    <cellStyle name="_08_IBM_H.4_Interdiv reconciliation_centralised_NOP 2010 01 31 USD BASED" xfId="1047"/>
    <cellStyle name="_08_IBM_H.4_Interdiv reconciliation_centralised_NOP 2010 01 31 USD BASED_Report Finance" xfId="1048"/>
    <cellStyle name="_08_IBM_H.4_Interdiv reconciliation_centralised_NOP 2010 02 28 USD BASED Final" xfId="1049"/>
    <cellStyle name="_08_IBM_H.4_Interdiv reconciliation_centralised_NOP 2010 02 28 USD BASED Final_Report Finance" xfId="1050"/>
    <cellStyle name="_08_IBM_H.4_Interdiv reconciliation_centralised_NOP 2010 03 31 USD BASEDrevised" xfId="1051"/>
    <cellStyle name="_08_IBM_H.4_Interdiv reconciliation_centralised_NOP 2010 03 31 USD BASEDrevised_Report Finance" xfId="1052"/>
    <cellStyle name="_08_IBM_H.4_Interdiv reconciliation_centralised_NOP 2010 04 30" xfId="1053"/>
    <cellStyle name="_08_IBM_H.4_Interdiv reconciliation_centralised_NOP 2010 04 30_Recon" xfId="1054"/>
    <cellStyle name="_08_IBM_H.4_Interdiv reconciliation_centralised_NOP 2010 04 30_Recon W1" xfId="1055"/>
    <cellStyle name="_08_IBM_H.4_Interdiv reconciliation_centralised_NOP 2010 04 30_Recon_1" xfId="1056"/>
    <cellStyle name="_08_IBM_H.4_Interdiv reconciliation_centralised_NOP 2010 04 30_Recon_2" xfId="1057"/>
    <cellStyle name="_08_IBM_H.4_Interdiv reconciliation_centralised_NOP 2010 04 30_Recon_3" xfId="1058"/>
    <cellStyle name="_08_IBM_H.4_Interdiv reconciliation_centralised_NOP 2010 04 30_Reconciliation" xfId="1059"/>
    <cellStyle name="_08_IBM_H.4_Interdiv reconciliation_centralised_NOP 2010 04 30_Reconciliation_1" xfId="1060"/>
    <cellStyle name="_08_IBM_H.4_Interdiv reconciliation_centralised_NOP 2010 04 30_Reconciliation_2" xfId="1061"/>
    <cellStyle name="_08_IBM_H.4_Interdiv reconciliation_centralised_NOP 2010 04 30_Reconciliation_3" xfId="1062"/>
    <cellStyle name="_08_IBM_H.4_Interdiv reconciliation_centralised_NOP 2010 04 30_Report Finance" xfId="1063"/>
    <cellStyle name="_08_IBM_H.4_Interdiv reconciliation_centralised_ORIGINAL NOP 2009 12 31 USD BASED" xfId="1064"/>
    <cellStyle name="_08_IBM_H.4_Interdiv reconciliation_centralised_ORIGINAL NOP 2009 12 31 USD BASED_Report Finance" xfId="1065"/>
    <cellStyle name="_08_IBM_H.4_Interdiv reconciliation_centralised_Recon" xfId="1066"/>
    <cellStyle name="_08_IBM_H.4_Interdiv reconciliation_centralised_Recon W1" xfId="1067"/>
    <cellStyle name="_08_IBM_H.4_Interdiv reconciliation_centralised_Recon_1" xfId="1068"/>
    <cellStyle name="_08_IBM_H.4_Interdiv reconciliation_centralised_Recon_2" xfId="1069"/>
    <cellStyle name="_08_IBM_H.4_Interdiv reconciliation_centralised_Recon_3" xfId="1070"/>
    <cellStyle name="_08_IBM_H.4_Interdiv reconciliation_centralised_Reconciliation" xfId="1071"/>
    <cellStyle name="_08_IBM_H.4_Interdiv reconciliation_centralised_Reconciliation_1" xfId="1072"/>
    <cellStyle name="_08_IBM_H.4_Interdiv reconciliation_centralised_Reconciliation_2" xfId="1073"/>
    <cellStyle name="_08_IBM_H.4_Interdiv reconciliation_centralised_Reconciliation_3" xfId="1074"/>
    <cellStyle name="_08_IBM_H.4_Interdiv reconciliation_centralised_Report Finance" xfId="1075"/>
    <cellStyle name="_08_IBM_H.4_Interdiv reconciliation_centralised_SC_Treasury_Other" xfId="1076"/>
    <cellStyle name="_08_IBM_H.4_Interdiv reconciliation_centralised_SC_Treasury_Other_Recon" xfId="1077"/>
    <cellStyle name="_08_IBM_H.4_Interdiv reconciliation_centralised_SC_Treasury_Other_Recon_1" xfId="1078"/>
    <cellStyle name="_08_IBM_H.4_Interdiv reconciliation_centralised_SC_Treasury_Other_Recon_2" xfId="1079"/>
    <cellStyle name="_08_IBM_H.4_Interdiv reconciliation_centralised_SC_Treasury_Other_Recon_3" xfId="1080"/>
    <cellStyle name="_08_IBM_H.4_Interdiv reconciliation_centralised_SC_Treasury_Other_Reconciliation" xfId="1081"/>
    <cellStyle name="_08_IBM_H.4_Interdiv reconciliation_centralised_SC_Treasury_Other_Reconciliation_1" xfId="1082"/>
    <cellStyle name="_08_IBM_H.4_Interdiv reconciliation_centralised_Sheet1" xfId="1083"/>
    <cellStyle name="_08_IBM_H.4_Interdiv reconciliation_centralised_Sheet1_1" xfId="1084"/>
    <cellStyle name="_08_IBM_Interim_Loan review" xfId="1085"/>
    <cellStyle name="_08_IBM_Interim_Loan review_Recon" xfId="1086"/>
    <cellStyle name="_08_IBM_Interim_Loan review_Recon W1" xfId="1087"/>
    <cellStyle name="_08_IBM_Interim_Loan review_Recon_1" xfId="1088"/>
    <cellStyle name="_08_IBM_Interim_Loan review_Recon_2" xfId="1089"/>
    <cellStyle name="_08_IBM_Interim_Loan review_Recon_3" xfId="1090"/>
    <cellStyle name="_08_IBM_Interim_Loan review_Reconciliation" xfId="1091"/>
    <cellStyle name="_08_IBM_Interim_Loan review_Reconciliation_1" xfId="1092"/>
    <cellStyle name="_08_IBM_Interim_Loan review_Reconciliation_2" xfId="1093"/>
    <cellStyle name="_08_IBM_Interim_Loan review_Reconciliation_3" xfId="1094"/>
    <cellStyle name="_08_IBM_Interim_Loan review_Sheet1" xfId="1095"/>
    <cellStyle name="_08_IBM_Port Louis Treasury_pre-final_BS(25.03.08)" xfId="1096"/>
    <cellStyle name="_08_IBM_Port Louis Treasury_pre-final_BS(25.03.08)_Recon" xfId="1097"/>
    <cellStyle name="_08_IBM_Port Louis Treasury_pre-final_BS(25.03.08)_Recon W1" xfId="1098"/>
    <cellStyle name="_08_IBM_Port Louis Treasury_pre-final_BS(25.03.08)_Recon_1" xfId="1099"/>
    <cellStyle name="_08_IBM_Port Louis Treasury_pre-final_BS(25.03.08)_Recon_2" xfId="1100"/>
    <cellStyle name="_08_IBM_Port Louis Treasury_pre-final_BS(25.03.08)_Recon_3" xfId="1101"/>
    <cellStyle name="_08_IBM_Port Louis Treasury_pre-final_BS(25.03.08)_Reconciliation" xfId="1102"/>
    <cellStyle name="_08_IBM_Port Louis Treasury_pre-final_BS(25.03.08)_Reconciliation_1" xfId="1103"/>
    <cellStyle name="_08_IBM_Port Louis Treasury_pre-final_BS(25.03.08)_Reconciliation_2" xfId="1104"/>
    <cellStyle name="_08_IBM_Port Louis Treasury_pre-final_BS(25.03.08)_Reconciliation_3" xfId="1105"/>
    <cellStyle name="_08_IBM_Port Louis Treasury_pre-final_BS(25.03.08)_Sheet1" xfId="1106"/>
    <cellStyle name="_1 MBIA" xfId="1107"/>
    <cellStyle name="_1 MBIA_Sheet1" xfId="1108"/>
    <cellStyle name="_2 Indy6" xfId="1109"/>
    <cellStyle name="_2 Indy6_Sheet1" xfId="1110"/>
    <cellStyle name="_3 Vandy Dunhill" xfId="1111"/>
    <cellStyle name="_3 Vandy Dunhill_Sheet1" xfId="1112"/>
    <cellStyle name="_6 Chotin" xfId="1113"/>
    <cellStyle name="_6 Chotin_Sheet1" xfId="1114"/>
    <cellStyle name="_72370 BS Audit Schedules - Aug 07" xfId="1115"/>
    <cellStyle name="_72370 BS Audit Schedules - Jun 07" xfId="1116"/>
    <cellStyle name="_72370 BS Audit Schedules - Nov 07" xfId="1117"/>
    <cellStyle name="_72370 BS Audit Schedules - Sep 07" xfId="1118"/>
    <cellStyle name="_8 TCW" xfId="1119"/>
    <cellStyle name="_8 TCW_Sheet1" xfId="1120"/>
    <cellStyle name="_A" xfId="1121"/>
    <cellStyle name="_A Wint AAA" xfId="1122"/>
    <cellStyle name="_A Wint AAA_Sheet1" xfId="1123"/>
    <cellStyle name="_A_1" xfId="1124"/>
    <cellStyle name="_A_1_Sheet1" xfId="1125"/>
    <cellStyle name="_A_Sheet1" xfId="1126"/>
    <cellStyle name="_ABSCDO5" xfId="1127"/>
    <cellStyle name="_ABSCDO5_Sheet1" xfId="1128"/>
    <cellStyle name="_additions- Sandhya" xfId="1129"/>
    <cellStyle name="_ALL" xfId="1130"/>
    <cellStyle name="_ALL_Sheet1" xfId="1131"/>
    <cellStyle name="_AllData" xfId="1132"/>
    <cellStyle name="_AllData_Sheet1" xfId="1133"/>
    <cellStyle name="_AnalysisTemplate" xfId="1134"/>
    <cellStyle name="_AnalysisTemplate_Sheet1" xfId="1135"/>
    <cellStyle name="_Arrear 4 -Raj" xfId="1136"/>
    <cellStyle name="_Arrear 4 -Raj_(26) Oct-09 (AL)" xfId="1137"/>
    <cellStyle name="_Arrear 4 -Raj_(26) Oct-09 (AL)_IBM_Grouped(2)" xfId="1138"/>
    <cellStyle name="_Arrear 4 -Raj_(26) Oct-09 (AL)_IBM_Grouped(2)_Recon" xfId="1139"/>
    <cellStyle name="_Arrear 4 -Raj_(26) Oct-09 (AL)_IBM_Grouped(2)_Recon to Segmental Report" xfId="1140"/>
    <cellStyle name="_Arrear 4 -Raj_(26) Oct-09 (AL)_IBM_Grouped(2)_Recon_1" xfId="1141"/>
    <cellStyle name="_Arrear 4 -Raj_(26) Oct-09 (AL)_IBM_Grouped(2)_Recon_2" xfId="1142"/>
    <cellStyle name="_Arrear 4 -Raj_(26) Oct-09 (AL)_IBM_Grouped(2)_Recon_3" xfId="1143"/>
    <cellStyle name="_Arrear 4 -Raj_(26) Oct-09 (AL)_IBM_Grouped(2)_Recon_4" xfId="1144"/>
    <cellStyle name="_Arrear 4 -Raj_(26) Oct-09 (AL)_IBM_Grouped(2)_Reconciliation" xfId="1145"/>
    <cellStyle name="_Arrear 4 -Raj_(26) Oct-09 (AL)_IBM_Grouped(2)_Reconciliation_1" xfId="1146"/>
    <cellStyle name="_Arrear 4 -Raj_(26) Oct-09 (AL)_IBM_Grouped(2)_Reconciliation_2" xfId="1147"/>
    <cellStyle name="_Arrear 4 -Raj_(26) Oct-09 (AL)_IBM_Grouped(2)_Reconciliation_3" xfId="1148"/>
    <cellStyle name="_Arrear 4 -Raj_(26) Oct-09 (AL)_Recon" xfId="1149"/>
    <cellStyle name="_Arrear 4 -Raj_(26) Oct-09 (AL)_Recon W1" xfId="1150"/>
    <cellStyle name="_Arrear 4 -Raj_(26) Oct-09 (AL)_Recon_1" xfId="1151"/>
    <cellStyle name="_Arrear 4 -Raj_(26) Oct-09 (AL)_Recon_2" xfId="1152"/>
    <cellStyle name="_Arrear 4 -Raj_(26) Oct-09 (AL)_Recon_3" xfId="1153"/>
    <cellStyle name="_Arrear 4 -Raj_(26) Oct-09 (AL)_Reconciliation" xfId="1154"/>
    <cellStyle name="_Arrear 4 -Raj_(26) Oct-09 (AL)_Reconciliation_1" xfId="1155"/>
    <cellStyle name="_Arrear 4 -Raj_(26) Oct-09 (AL)_Reconciliation_2" xfId="1156"/>
    <cellStyle name="_Arrear 4 -Raj_(26) Oct-09 (AL)_Reconciliation_3" xfId="1157"/>
    <cellStyle name="_Arrear 4 -Raj_(27) Nov-09 (AL)" xfId="1158"/>
    <cellStyle name="_Arrear 4 -Raj_(27) Nov-09 (AL)_IBM_Grouped(2)" xfId="1159"/>
    <cellStyle name="_Arrear 4 -Raj_(27) Nov-09 (AL)_IBM_Grouped(2)_Recon" xfId="1160"/>
    <cellStyle name="_Arrear 4 -Raj_(27) Nov-09 (AL)_IBM_Grouped(2)_Recon to Segmental Report" xfId="1161"/>
    <cellStyle name="_Arrear 4 -Raj_(27) Nov-09 (AL)_IBM_Grouped(2)_Recon_1" xfId="1162"/>
    <cellStyle name="_Arrear 4 -Raj_(27) Nov-09 (AL)_IBM_Grouped(2)_Recon_2" xfId="1163"/>
    <cellStyle name="_Arrear 4 -Raj_(27) Nov-09 (AL)_IBM_Grouped(2)_Recon_3" xfId="1164"/>
    <cellStyle name="_Arrear 4 -Raj_(27) Nov-09 (AL)_IBM_Grouped(2)_Recon_4" xfId="1165"/>
    <cellStyle name="_Arrear 4 -Raj_(27) Nov-09 (AL)_IBM_Grouped(2)_Reconciliation" xfId="1166"/>
    <cellStyle name="_Arrear 4 -Raj_(27) Nov-09 (AL)_IBM_Grouped(2)_Reconciliation_1" xfId="1167"/>
    <cellStyle name="_Arrear 4 -Raj_(27) Nov-09 (AL)_IBM_Grouped(2)_Reconciliation_2" xfId="1168"/>
    <cellStyle name="_Arrear 4 -Raj_(27) Nov-09 (AL)_IBM_Grouped(2)_Reconciliation_3" xfId="1169"/>
    <cellStyle name="_Arrear 4 -Raj_(27) Nov-09 (AL)_Recon" xfId="1170"/>
    <cellStyle name="_Arrear 4 -Raj_(27) Nov-09 (AL)_Recon W1" xfId="1171"/>
    <cellStyle name="_Arrear 4 -Raj_(27) Nov-09 (AL)_Recon_1" xfId="1172"/>
    <cellStyle name="_Arrear 4 -Raj_(27) Nov-09 (AL)_Recon_2" xfId="1173"/>
    <cellStyle name="_Arrear 4 -Raj_(27) Nov-09 (AL)_Recon_3" xfId="1174"/>
    <cellStyle name="_Arrear 4 -Raj_(27) Nov-09 (AL)_Reconciliation" xfId="1175"/>
    <cellStyle name="_Arrear 4 -Raj_(27) Nov-09 (AL)_Reconciliation_1" xfId="1176"/>
    <cellStyle name="_Arrear 4 -Raj_(27) Nov-09 (AL)_Reconciliation_2" xfId="1177"/>
    <cellStyle name="_Arrear 4 -Raj_(27) Nov-09 (AL)_Reconciliation_3" xfId="1178"/>
    <cellStyle name="_Arrear 4 -Raj_31.12.09 Mauritius-USD based ledger - Final1" xfId="1179"/>
    <cellStyle name="_Arrear 4 -Raj_Book1 (4)" xfId="1180"/>
    <cellStyle name="_Arrear 4 -Raj_Book4" xfId="1181"/>
    <cellStyle name="_Arrear 4 -Raj_Book4_Recon" xfId="1182"/>
    <cellStyle name="_Arrear 4 -Raj_Book4_Recon W1" xfId="1183"/>
    <cellStyle name="_Arrear 4 -Raj_Book4_Recon_1" xfId="1184"/>
    <cellStyle name="_Arrear 4 -Raj_Book4_Recon_2" xfId="1185"/>
    <cellStyle name="_Arrear 4 -Raj_Book4_Recon_3" xfId="1186"/>
    <cellStyle name="_Arrear 4 -Raj_Book4_Reconciliation" xfId="1187"/>
    <cellStyle name="_Arrear 4 -Raj_Book4_Reconciliation_1" xfId="1188"/>
    <cellStyle name="_Arrear 4 -Raj_Book4_Reconciliation_2" xfId="1189"/>
    <cellStyle name="_Arrear 4 -Raj_Book4_Reconciliation_3" xfId="1190"/>
    <cellStyle name="_Arrear 4 -Raj_capital adequacy September 2009" xfId="1191"/>
    <cellStyle name="_Arrear 4 -Raj_capital adequacy September 2009_IBM_Grouped(2)" xfId="1192"/>
    <cellStyle name="_Arrear 4 -Raj_capital adequacy September 2009_IBM_Grouped(2)_Recon" xfId="1193"/>
    <cellStyle name="_Arrear 4 -Raj_capital adequacy September 2009_IBM_Grouped(2)_Recon to Segmental Report" xfId="1194"/>
    <cellStyle name="_Arrear 4 -Raj_capital adequacy September 2009_IBM_Grouped(2)_Recon_1" xfId="1195"/>
    <cellStyle name="_Arrear 4 -Raj_capital adequacy September 2009_IBM_Grouped(2)_Recon_2" xfId="1196"/>
    <cellStyle name="_Arrear 4 -Raj_capital adequacy September 2009_IBM_Grouped(2)_Recon_3" xfId="1197"/>
    <cellStyle name="_Arrear 4 -Raj_capital adequacy September 2009_IBM_Grouped(2)_Recon_4" xfId="1198"/>
    <cellStyle name="_Arrear 4 -Raj_capital adequacy September 2009_IBM_Grouped(2)_Reconciliation" xfId="1199"/>
    <cellStyle name="_Arrear 4 -Raj_capital adequacy September 2009_IBM_Grouped(2)_Reconciliation_1" xfId="1200"/>
    <cellStyle name="_Arrear 4 -Raj_capital adequacy September 2009_IBM_Grouped(2)_Reconciliation_2" xfId="1201"/>
    <cellStyle name="_Arrear 4 -Raj_capital adequacy September 2009_IBM_Grouped(2)_Reconciliation_3" xfId="1202"/>
    <cellStyle name="_Arrear 4 -Raj_capital adequacy September 2009_Recon" xfId="1203"/>
    <cellStyle name="_Arrear 4 -Raj_capital adequacy September 2009_Recon W1" xfId="1204"/>
    <cellStyle name="_Arrear 4 -Raj_capital adequacy September 2009_Recon_1" xfId="1205"/>
    <cellStyle name="_Arrear 4 -Raj_capital adequacy September 2009_Recon_2" xfId="1206"/>
    <cellStyle name="_Arrear 4 -Raj_capital adequacy September 2009_Recon_3" xfId="1207"/>
    <cellStyle name="_Arrear 4 -Raj_capital adequacy September 2009_Reconciliation" xfId="1208"/>
    <cellStyle name="_Arrear 4 -Raj_capital adequacy September 2009_Reconciliation_1" xfId="1209"/>
    <cellStyle name="_Arrear 4 -Raj_capital adequacy September 2009_Reconciliation_2" xfId="1210"/>
    <cellStyle name="_Arrear 4 -Raj_capital adequacy September 2009_Reconciliation_3" xfId="1211"/>
    <cellStyle name="_Arrear 4 -Raj_Copy of Mauritius-USD based ledger" xfId="1212"/>
    <cellStyle name="_Arrear 4 -Raj_Copy of Mauritius-USD based ledger_Recon" xfId="1213"/>
    <cellStyle name="_Arrear 4 -Raj_Copy of Mauritius-USD based ledger_Recon W1" xfId="1214"/>
    <cellStyle name="_Arrear 4 -Raj_Copy of Mauritius-USD based ledger_Recon_1" xfId="1215"/>
    <cellStyle name="_Arrear 4 -Raj_Copy of Mauritius-USD based ledger_Recon_2" xfId="1216"/>
    <cellStyle name="_Arrear 4 -Raj_Copy of Mauritius-USD based ledger_Recon_3" xfId="1217"/>
    <cellStyle name="_Arrear 4 -Raj_Copy of Mauritius-USD based ledger_Reconciliation" xfId="1218"/>
    <cellStyle name="_Arrear 4 -Raj_Copy of Mauritius-USD based ledger_Reconciliation_1" xfId="1219"/>
    <cellStyle name="_Arrear 4 -Raj_Copy of Mauritius-USD based ledger_Reconciliation_2" xfId="1220"/>
    <cellStyle name="_Arrear 4 -Raj_Copy of Mauritius-USD based ledger_Reconciliation_3" xfId="1221"/>
    <cellStyle name="_Arrear 4 -Raj_IBM_Grouped(2)" xfId="1222"/>
    <cellStyle name="_Arrear 4 -Raj_IBM_Grouped(2)_Recon" xfId="1223"/>
    <cellStyle name="_Arrear 4 -Raj_IBM_Grouped(2)_Recon W1" xfId="1224"/>
    <cellStyle name="_Arrear 4 -Raj_IBM_Grouped(2)_Recon_1" xfId="1225"/>
    <cellStyle name="_Arrear 4 -Raj_IBM_Grouped(2)_Recon_2" xfId="1226"/>
    <cellStyle name="_Arrear 4 -Raj_IBM_Grouped(2)_Recon_3" xfId="1227"/>
    <cellStyle name="_Arrear 4 -Raj_IBM_Grouped(2)_Reconciliation" xfId="1228"/>
    <cellStyle name="_Arrear 4 -Raj_IBM_Grouped(2)_Reconciliation_1" xfId="1229"/>
    <cellStyle name="_Arrear 4 -Raj_IBM_Grouped(2)_Reconciliation_2" xfId="1230"/>
    <cellStyle name="_Arrear 4 -Raj_IBM_Grouped(2)_Reconciliation_3" xfId="1231"/>
    <cellStyle name="_Arrear 4 -Raj_IBM_Grouped_USD" xfId="1232"/>
    <cellStyle name="_Arrear 4 -Raj_IBM_Grouped_USD_Recon" xfId="1233"/>
    <cellStyle name="_Arrear 4 -Raj_IBM_Grouped_USD_Recon W1" xfId="1234"/>
    <cellStyle name="_Arrear 4 -Raj_IBM_Grouped_USD_Recon_1" xfId="1235"/>
    <cellStyle name="_Arrear 4 -Raj_IBM_Grouped_USD_Recon_2" xfId="1236"/>
    <cellStyle name="_Arrear 4 -Raj_IBM_Grouped_USD_Recon_3" xfId="1237"/>
    <cellStyle name="_Arrear 4 -Raj_IBM_Grouped_USD_Reconciliation" xfId="1238"/>
    <cellStyle name="_Arrear 4 -Raj_IBM_Grouped_USD_Reconciliation_1" xfId="1239"/>
    <cellStyle name="_Arrear 4 -Raj_IBM_Grouped_USD_Reconciliation_2" xfId="1240"/>
    <cellStyle name="_Arrear 4 -Raj_IBM_Grouped_USD_Reconciliation_3" xfId="1241"/>
    <cellStyle name="_Arrear 4 -Raj_IBM_Grouped_ZAR" xfId="1242"/>
    <cellStyle name="_Arrear 4 -Raj_IBM_Grouped_ZAR_Recon" xfId="1243"/>
    <cellStyle name="_Arrear 4 -Raj_IBM_Grouped_ZAR_Recon W1" xfId="1244"/>
    <cellStyle name="_Arrear 4 -Raj_IBM_Grouped_ZAR_Recon_1" xfId="1245"/>
    <cellStyle name="_Arrear 4 -Raj_IBM_Grouped_ZAR_Recon_2" xfId="1246"/>
    <cellStyle name="_Arrear 4 -Raj_IBM_Grouped_ZAR_Recon_3" xfId="1247"/>
    <cellStyle name="_Arrear 4 -Raj_IBM_Grouped_ZAR_Reconciliation" xfId="1248"/>
    <cellStyle name="_Arrear 4 -Raj_IBM_Grouped_ZAR_Reconciliation_1" xfId="1249"/>
    <cellStyle name="_Arrear 4 -Raj_IBM_Grouped_ZAR_Reconciliation_2" xfId="1250"/>
    <cellStyle name="_Arrear 4 -Raj_IBM_Grouped_ZAR_Reconciliation_3" xfId="1251"/>
    <cellStyle name="_Arrear 4 -Raj_Liquidity and repricing" xfId="1252"/>
    <cellStyle name="_Arrear 4 -Raj_Liquidity and repricing_IBM_Grouped(2)" xfId="1253"/>
    <cellStyle name="_Arrear 4 -Raj_Liquidity and repricing_IBM_Grouped(2)_Recon" xfId="1254"/>
    <cellStyle name="_Arrear 4 -Raj_Liquidity and repricing_IBM_Grouped(2)_Recon to Segmental Report" xfId="1255"/>
    <cellStyle name="_Arrear 4 -Raj_Liquidity and repricing_IBM_Grouped(2)_Recon_1" xfId="1256"/>
    <cellStyle name="_Arrear 4 -Raj_Liquidity and repricing_IBM_Grouped(2)_Recon_2" xfId="1257"/>
    <cellStyle name="_Arrear 4 -Raj_Liquidity and repricing_IBM_Grouped(2)_Recon_3" xfId="1258"/>
    <cellStyle name="_Arrear 4 -Raj_Liquidity and repricing_IBM_Grouped(2)_Recon_4" xfId="1259"/>
    <cellStyle name="_Arrear 4 -Raj_Liquidity and repricing_IBM_Grouped(2)_Reconciliation" xfId="1260"/>
    <cellStyle name="_Arrear 4 -Raj_Liquidity and repricing_IBM_Grouped(2)_Reconciliation_1" xfId="1261"/>
    <cellStyle name="_Arrear 4 -Raj_Liquidity and repricing_IBM_Grouped(2)_Reconciliation_2" xfId="1262"/>
    <cellStyle name="_Arrear 4 -Raj_Liquidity and repricing_IBM_Grouped(2)_Reconciliation_3" xfId="1263"/>
    <cellStyle name="_Arrear 4 -Raj_Liquidity and repricing_Recon" xfId="1264"/>
    <cellStyle name="_Arrear 4 -Raj_Liquidity and repricing_Recon W1" xfId="1265"/>
    <cellStyle name="_Arrear 4 -Raj_Liquidity and repricing_Recon_1" xfId="1266"/>
    <cellStyle name="_Arrear 4 -Raj_Liquidity and repricing_Recon_2" xfId="1267"/>
    <cellStyle name="_Arrear 4 -Raj_Liquidity and repricing_Recon_3" xfId="1268"/>
    <cellStyle name="_Arrear 4 -Raj_Liquidity and repricing_Reconciliation" xfId="1269"/>
    <cellStyle name="_Arrear 4 -Raj_Liquidity and repricing_Reconciliation_1" xfId="1270"/>
    <cellStyle name="_Arrear 4 -Raj_Liquidity and repricing_Reconciliation_2" xfId="1271"/>
    <cellStyle name="_Arrear 4 -Raj_Liquidity and repricing_Reconciliation_3" xfId="1272"/>
    <cellStyle name="_Arrear 4 -Raj_MUR position" xfId="1273"/>
    <cellStyle name="_Arrear 4 -Raj_NOP 2010 01 31 USD BASED" xfId="1274"/>
    <cellStyle name="_Arrear 4 -Raj_NOP 2010 01 31 USD BASED_Report Finance" xfId="1275"/>
    <cellStyle name="_Arrear 4 -Raj_NOP 2010 02 28 USD BASED Final" xfId="1276"/>
    <cellStyle name="_Arrear 4 -Raj_NOP 2010 02 28 USD BASED Final_Report Finance" xfId="1277"/>
    <cellStyle name="_Arrear 4 -Raj_NOP 2010 03 31 USD BASEDrevised" xfId="1278"/>
    <cellStyle name="_Arrear 4 -Raj_NOP 2010 03 31 USD BASEDrevised_Report Finance" xfId="1279"/>
    <cellStyle name="_Arrear 4 -Raj_NOP 2010 04 30" xfId="1280"/>
    <cellStyle name="_Arrear 4 -Raj_NOP 2010 04 30_Recon" xfId="1281"/>
    <cellStyle name="_Arrear 4 -Raj_NOP 2010 04 30_Recon W1" xfId="1282"/>
    <cellStyle name="_Arrear 4 -Raj_NOP 2010 04 30_Recon_1" xfId="1283"/>
    <cellStyle name="_Arrear 4 -Raj_NOP 2010 04 30_Recon_2" xfId="1284"/>
    <cellStyle name="_Arrear 4 -Raj_NOP 2010 04 30_Recon_3" xfId="1285"/>
    <cellStyle name="_Arrear 4 -Raj_NOP 2010 04 30_Reconciliation" xfId="1286"/>
    <cellStyle name="_Arrear 4 -Raj_NOP 2010 04 30_Reconciliation_1" xfId="1287"/>
    <cellStyle name="_Arrear 4 -Raj_NOP 2010 04 30_Reconciliation_2" xfId="1288"/>
    <cellStyle name="_Arrear 4 -Raj_NOP 2010 04 30_Reconciliation_3" xfId="1289"/>
    <cellStyle name="_Arrear 4 -Raj_NOP 2010 04 30_Report Finance" xfId="1290"/>
    <cellStyle name="_Arrear 4 -Raj_ORIGINAL NOP 2009 12 31 USD BASED" xfId="1291"/>
    <cellStyle name="_Arrear 4 -Raj_ORIGINAL NOP 2009 12 31 USD BASED_Report Finance" xfId="1292"/>
    <cellStyle name="_Arrear 4 -Raj_Recon" xfId="1293"/>
    <cellStyle name="_Arrear 4 -Raj_Recon W1" xfId="1294"/>
    <cellStyle name="_Arrear 4 -Raj_Recon_1" xfId="1295"/>
    <cellStyle name="_Arrear 4 -Raj_Recon_2" xfId="1296"/>
    <cellStyle name="_Arrear 4 -Raj_Recon_3" xfId="1297"/>
    <cellStyle name="_Arrear 4 -Raj_Reconciliation" xfId="1298"/>
    <cellStyle name="_Arrear 4 -Raj_Reconciliation_1" xfId="1299"/>
    <cellStyle name="_Arrear 4 -Raj_Reconciliation_2" xfId="1300"/>
    <cellStyle name="_Arrear 4 -Raj_Reconciliation_3" xfId="1301"/>
    <cellStyle name="_Arrear 4 -Raj_Report Finance" xfId="1302"/>
    <cellStyle name="_Arrear 4 -Raj_SC_Treasury_Other" xfId="1303"/>
    <cellStyle name="_Arrear 4 -Raj_SC_Treasury_Other_Recon" xfId="1304"/>
    <cellStyle name="_Arrear 4 -Raj_SC_Treasury_Other_Recon_1" xfId="1305"/>
    <cellStyle name="_Arrear 4 -Raj_SC_Treasury_Other_Recon_2" xfId="1306"/>
    <cellStyle name="_Arrear 4 -Raj_SC_Treasury_Other_Recon_3" xfId="1307"/>
    <cellStyle name="_Arrear 4 -Raj_SC_Treasury_Other_Reconciliation" xfId="1308"/>
    <cellStyle name="_Arrear 4 -Raj_SC_Treasury_Other_Reconciliation_1" xfId="1309"/>
    <cellStyle name="_Arrear 4 -Raj_Sheet1" xfId="1310"/>
    <cellStyle name="_Arrear 4 -Raj_Sheet1_1" xfId="1311"/>
    <cellStyle name="_Arrears 2 (Raj)" xfId="1312"/>
    <cellStyle name="_Arrears 2 (Raj)_(05) CAR Dec-07" xfId="1313"/>
    <cellStyle name="_Arrears 2 (Raj)_(05) CAR Dec-07_(26) Oct-09 (AL)" xfId="1314"/>
    <cellStyle name="_Arrears 2 (Raj)_(05) CAR Dec-07_(26) Oct-09 (AL)_IBM_Grouped(2)" xfId="1315"/>
    <cellStyle name="_Arrears 2 (Raj)_(05) CAR Dec-07_(26) Oct-09 (AL)_IBM_Grouped(2)_Recon" xfId="1316"/>
    <cellStyle name="_Arrears 2 (Raj)_(05) CAR Dec-07_(26) Oct-09 (AL)_IBM_Grouped(2)_Recon to Segmental Report" xfId="1317"/>
    <cellStyle name="_Arrears 2 (Raj)_(05) CAR Dec-07_(26) Oct-09 (AL)_IBM_Grouped(2)_Recon_1" xfId="1318"/>
    <cellStyle name="_Arrears 2 (Raj)_(05) CAR Dec-07_(26) Oct-09 (AL)_IBM_Grouped(2)_Recon_2" xfId="1319"/>
    <cellStyle name="_Arrears 2 (Raj)_(05) CAR Dec-07_(26) Oct-09 (AL)_IBM_Grouped(2)_Recon_3" xfId="1320"/>
    <cellStyle name="_Arrears 2 (Raj)_(05) CAR Dec-07_(26) Oct-09 (AL)_IBM_Grouped(2)_Recon_4" xfId="1321"/>
    <cellStyle name="_Arrears 2 (Raj)_(05) CAR Dec-07_(26) Oct-09 (AL)_IBM_Grouped(2)_Reconciliation" xfId="1322"/>
    <cellStyle name="_Arrears 2 (Raj)_(05) CAR Dec-07_(26) Oct-09 (AL)_IBM_Grouped(2)_Reconciliation_1" xfId="1323"/>
    <cellStyle name="_Arrears 2 (Raj)_(05) CAR Dec-07_(26) Oct-09 (AL)_IBM_Grouped(2)_Reconciliation_2" xfId="1324"/>
    <cellStyle name="_Arrears 2 (Raj)_(05) CAR Dec-07_(26) Oct-09 (AL)_IBM_Grouped(2)_Reconciliation_3" xfId="1325"/>
    <cellStyle name="_Arrears 2 (Raj)_(05) CAR Dec-07_(26) Oct-09 (AL)_Recon" xfId="1326"/>
    <cellStyle name="_Arrears 2 (Raj)_(05) CAR Dec-07_(26) Oct-09 (AL)_Recon W1" xfId="1327"/>
    <cellStyle name="_Arrears 2 (Raj)_(05) CAR Dec-07_(26) Oct-09 (AL)_Recon_1" xfId="1328"/>
    <cellStyle name="_Arrears 2 (Raj)_(05) CAR Dec-07_(26) Oct-09 (AL)_Recon_2" xfId="1329"/>
    <cellStyle name="_Arrears 2 (Raj)_(05) CAR Dec-07_(26) Oct-09 (AL)_Recon_3" xfId="1330"/>
    <cellStyle name="_Arrears 2 (Raj)_(05) CAR Dec-07_(26) Oct-09 (AL)_Reconciliation" xfId="1331"/>
    <cellStyle name="_Arrears 2 (Raj)_(05) CAR Dec-07_(26) Oct-09 (AL)_Reconciliation_1" xfId="1332"/>
    <cellStyle name="_Arrears 2 (Raj)_(05) CAR Dec-07_(26) Oct-09 (AL)_Reconciliation_2" xfId="1333"/>
    <cellStyle name="_Arrears 2 (Raj)_(05) CAR Dec-07_(26) Oct-09 (AL)_Reconciliation_3" xfId="1334"/>
    <cellStyle name="_Arrears 2 (Raj)_(05) CAR Dec-07_(27) Nov-09 (AL)" xfId="1335"/>
    <cellStyle name="_Arrears 2 (Raj)_(05) CAR Dec-07_(27) Nov-09 (AL)_IBM_Grouped(2)" xfId="1336"/>
    <cellStyle name="_Arrears 2 (Raj)_(05) CAR Dec-07_(27) Nov-09 (AL)_IBM_Grouped(2)_Recon" xfId="1337"/>
    <cellStyle name="_Arrears 2 (Raj)_(05) CAR Dec-07_(27) Nov-09 (AL)_IBM_Grouped(2)_Recon to Segmental Report" xfId="1338"/>
    <cellStyle name="_Arrears 2 (Raj)_(05) CAR Dec-07_(27) Nov-09 (AL)_IBM_Grouped(2)_Recon_1" xfId="1339"/>
    <cellStyle name="_Arrears 2 (Raj)_(05) CAR Dec-07_(27) Nov-09 (AL)_IBM_Grouped(2)_Recon_2" xfId="1340"/>
    <cellStyle name="_Arrears 2 (Raj)_(05) CAR Dec-07_(27) Nov-09 (AL)_IBM_Grouped(2)_Recon_3" xfId="1341"/>
    <cellStyle name="_Arrears 2 (Raj)_(05) CAR Dec-07_(27) Nov-09 (AL)_IBM_Grouped(2)_Recon_4" xfId="1342"/>
    <cellStyle name="_Arrears 2 (Raj)_(05) CAR Dec-07_(27) Nov-09 (AL)_IBM_Grouped(2)_Reconciliation" xfId="1343"/>
    <cellStyle name="_Arrears 2 (Raj)_(05) CAR Dec-07_(27) Nov-09 (AL)_IBM_Grouped(2)_Reconciliation_1" xfId="1344"/>
    <cellStyle name="_Arrears 2 (Raj)_(05) CAR Dec-07_(27) Nov-09 (AL)_IBM_Grouped(2)_Reconciliation_2" xfId="1345"/>
    <cellStyle name="_Arrears 2 (Raj)_(05) CAR Dec-07_(27) Nov-09 (AL)_IBM_Grouped(2)_Reconciliation_3" xfId="1346"/>
    <cellStyle name="_Arrears 2 (Raj)_(05) CAR Dec-07_(27) Nov-09 (AL)_Recon" xfId="1347"/>
    <cellStyle name="_Arrears 2 (Raj)_(05) CAR Dec-07_(27) Nov-09 (AL)_Recon W1" xfId="1348"/>
    <cellStyle name="_Arrears 2 (Raj)_(05) CAR Dec-07_(27) Nov-09 (AL)_Recon_1" xfId="1349"/>
    <cellStyle name="_Arrears 2 (Raj)_(05) CAR Dec-07_(27) Nov-09 (AL)_Recon_2" xfId="1350"/>
    <cellStyle name="_Arrears 2 (Raj)_(05) CAR Dec-07_(27) Nov-09 (AL)_Recon_3" xfId="1351"/>
    <cellStyle name="_Arrears 2 (Raj)_(05) CAR Dec-07_(27) Nov-09 (AL)_Reconciliation" xfId="1352"/>
    <cellStyle name="_Arrears 2 (Raj)_(05) CAR Dec-07_(27) Nov-09 (AL)_Reconciliation_1" xfId="1353"/>
    <cellStyle name="_Arrears 2 (Raj)_(05) CAR Dec-07_(27) Nov-09 (AL)_Reconciliation_2" xfId="1354"/>
    <cellStyle name="_Arrears 2 (Raj)_(05) CAR Dec-07_(27) Nov-09 (AL)_Reconciliation_3" xfId="1355"/>
    <cellStyle name="_Arrears 2 (Raj)_(05) CAR Dec-07_31.12.09 Mauritius-USD based ledger - Final1" xfId="1356"/>
    <cellStyle name="_Arrears 2 (Raj)_(05) CAR Dec-07_Book1 (4)" xfId="1357"/>
    <cellStyle name="_Arrears 2 (Raj)_(05) CAR Dec-07_Book4" xfId="1358"/>
    <cellStyle name="_Arrears 2 (Raj)_(05) CAR Dec-07_Book4_Recon" xfId="1359"/>
    <cellStyle name="_Arrears 2 (Raj)_(05) CAR Dec-07_Book4_Recon W1" xfId="1360"/>
    <cellStyle name="_Arrears 2 (Raj)_(05) CAR Dec-07_Book4_Recon_1" xfId="1361"/>
    <cellStyle name="_Arrears 2 (Raj)_(05) CAR Dec-07_Book4_Recon_2" xfId="1362"/>
    <cellStyle name="_Arrears 2 (Raj)_(05) CAR Dec-07_Book4_Recon_3" xfId="1363"/>
    <cellStyle name="_Arrears 2 (Raj)_(05) CAR Dec-07_Book4_Reconciliation" xfId="1364"/>
    <cellStyle name="_Arrears 2 (Raj)_(05) CAR Dec-07_Book4_Reconciliation_1" xfId="1365"/>
    <cellStyle name="_Arrears 2 (Raj)_(05) CAR Dec-07_Book4_Reconciliation_2" xfId="1366"/>
    <cellStyle name="_Arrears 2 (Raj)_(05) CAR Dec-07_Book4_Reconciliation_3" xfId="1367"/>
    <cellStyle name="_Arrears 2 (Raj)_(05) CAR Dec-07_capital adequacy September 2009" xfId="1368"/>
    <cellStyle name="_Arrears 2 (Raj)_(05) CAR Dec-07_capital adequacy September 2009_IBM_Grouped(2)" xfId="1369"/>
    <cellStyle name="_Arrears 2 (Raj)_(05) CAR Dec-07_capital adequacy September 2009_IBM_Grouped(2)_Recon" xfId="1370"/>
    <cellStyle name="_Arrears 2 (Raj)_(05) CAR Dec-07_capital adequacy September 2009_IBM_Grouped(2)_Recon to Segmental Report" xfId="1371"/>
    <cellStyle name="_Arrears 2 (Raj)_(05) CAR Dec-07_capital adequacy September 2009_IBM_Grouped(2)_Recon_1" xfId="1372"/>
    <cellStyle name="_Arrears 2 (Raj)_(05) CAR Dec-07_capital adequacy September 2009_IBM_Grouped(2)_Recon_2" xfId="1373"/>
    <cellStyle name="_Arrears 2 (Raj)_(05) CAR Dec-07_capital adequacy September 2009_IBM_Grouped(2)_Recon_3" xfId="1374"/>
    <cellStyle name="_Arrears 2 (Raj)_(05) CAR Dec-07_capital adequacy September 2009_IBM_Grouped(2)_Recon_4" xfId="1375"/>
    <cellStyle name="_Arrears 2 (Raj)_(05) CAR Dec-07_capital adequacy September 2009_IBM_Grouped(2)_Reconciliation" xfId="1376"/>
    <cellStyle name="_Arrears 2 (Raj)_(05) CAR Dec-07_capital adequacy September 2009_IBM_Grouped(2)_Reconciliation_1" xfId="1377"/>
    <cellStyle name="_Arrears 2 (Raj)_(05) CAR Dec-07_capital adequacy September 2009_IBM_Grouped(2)_Reconciliation_2" xfId="1378"/>
    <cellStyle name="_Arrears 2 (Raj)_(05) CAR Dec-07_capital adequacy September 2009_IBM_Grouped(2)_Reconciliation_3" xfId="1379"/>
    <cellStyle name="_Arrears 2 (Raj)_(05) CAR Dec-07_capital adequacy September 2009_Recon" xfId="1380"/>
    <cellStyle name="_Arrears 2 (Raj)_(05) CAR Dec-07_capital adequacy September 2009_Recon W1" xfId="1381"/>
    <cellStyle name="_Arrears 2 (Raj)_(05) CAR Dec-07_capital adequacy September 2009_Recon_1" xfId="1382"/>
    <cellStyle name="_Arrears 2 (Raj)_(05) CAR Dec-07_capital adequacy September 2009_Recon_2" xfId="1383"/>
    <cellStyle name="_Arrears 2 (Raj)_(05) CAR Dec-07_capital adequacy September 2009_Recon_3" xfId="1384"/>
    <cellStyle name="_Arrears 2 (Raj)_(05) CAR Dec-07_capital adequacy September 2009_Reconciliation" xfId="1385"/>
    <cellStyle name="_Arrears 2 (Raj)_(05) CAR Dec-07_capital adequacy September 2009_Reconciliation_1" xfId="1386"/>
    <cellStyle name="_Arrears 2 (Raj)_(05) CAR Dec-07_capital adequacy September 2009_Reconciliation_2" xfId="1387"/>
    <cellStyle name="_Arrears 2 (Raj)_(05) CAR Dec-07_capital adequacy September 2009_Reconciliation_3" xfId="1388"/>
    <cellStyle name="_Arrears 2 (Raj)_(05) CAR Dec-07_Copy of Mauritius-USD based ledger" xfId="1389"/>
    <cellStyle name="_Arrears 2 (Raj)_(05) CAR Dec-07_Copy of Mauritius-USD based ledger_Recon" xfId="1390"/>
    <cellStyle name="_Arrears 2 (Raj)_(05) CAR Dec-07_Copy of Mauritius-USD based ledger_Recon W1" xfId="1391"/>
    <cellStyle name="_Arrears 2 (Raj)_(05) CAR Dec-07_Copy of Mauritius-USD based ledger_Recon_1" xfId="1392"/>
    <cellStyle name="_Arrears 2 (Raj)_(05) CAR Dec-07_Copy of Mauritius-USD based ledger_Recon_2" xfId="1393"/>
    <cellStyle name="_Arrears 2 (Raj)_(05) CAR Dec-07_Copy of Mauritius-USD based ledger_Recon_3" xfId="1394"/>
    <cellStyle name="_Arrears 2 (Raj)_(05) CAR Dec-07_Copy of Mauritius-USD based ledger_Reconciliation" xfId="1395"/>
    <cellStyle name="_Arrears 2 (Raj)_(05) CAR Dec-07_Copy of Mauritius-USD based ledger_Reconciliation_1" xfId="1396"/>
    <cellStyle name="_Arrears 2 (Raj)_(05) CAR Dec-07_Copy of Mauritius-USD based ledger_Reconciliation_2" xfId="1397"/>
    <cellStyle name="_Arrears 2 (Raj)_(05) CAR Dec-07_Copy of Mauritius-USD based ledger_Reconciliation_3" xfId="1398"/>
    <cellStyle name="_Arrears 2 (Raj)_(05) CAR Dec-07_IBM_Grouped(2)" xfId="1399"/>
    <cellStyle name="_Arrears 2 (Raj)_(05) CAR Dec-07_IBM_Grouped(2)_Recon" xfId="1400"/>
    <cellStyle name="_Arrears 2 (Raj)_(05) CAR Dec-07_IBM_Grouped(2)_Recon W1" xfId="1401"/>
    <cellStyle name="_Arrears 2 (Raj)_(05) CAR Dec-07_IBM_Grouped(2)_Recon_1" xfId="1402"/>
    <cellStyle name="_Arrears 2 (Raj)_(05) CAR Dec-07_IBM_Grouped(2)_Recon_2" xfId="1403"/>
    <cellStyle name="_Arrears 2 (Raj)_(05) CAR Dec-07_IBM_Grouped(2)_Recon_3" xfId="1404"/>
    <cellStyle name="_Arrears 2 (Raj)_(05) CAR Dec-07_IBM_Grouped(2)_Reconciliation" xfId="1405"/>
    <cellStyle name="_Arrears 2 (Raj)_(05) CAR Dec-07_IBM_Grouped(2)_Reconciliation_1" xfId="1406"/>
    <cellStyle name="_Arrears 2 (Raj)_(05) CAR Dec-07_IBM_Grouped(2)_Reconciliation_2" xfId="1407"/>
    <cellStyle name="_Arrears 2 (Raj)_(05) CAR Dec-07_IBM_Grouped(2)_Reconciliation_3" xfId="1408"/>
    <cellStyle name="_Arrears 2 (Raj)_(05) CAR Dec-07_IBM_Grouped_USD" xfId="1409"/>
    <cellStyle name="_Arrears 2 (Raj)_(05) CAR Dec-07_IBM_Grouped_USD_Recon" xfId="1410"/>
    <cellStyle name="_Arrears 2 (Raj)_(05) CAR Dec-07_IBM_Grouped_USD_Recon W1" xfId="1411"/>
    <cellStyle name="_Arrears 2 (Raj)_(05) CAR Dec-07_IBM_Grouped_USD_Recon_1" xfId="1412"/>
    <cellStyle name="_Arrears 2 (Raj)_(05) CAR Dec-07_IBM_Grouped_USD_Recon_2" xfId="1413"/>
    <cellStyle name="_Arrears 2 (Raj)_(05) CAR Dec-07_IBM_Grouped_USD_Recon_3" xfId="1414"/>
    <cellStyle name="_Arrears 2 (Raj)_(05) CAR Dec-07_IBM_Grouped_USD_Reconciliation" xfId="1415"/>
    <cellStyle name="_Arrears 2 (Raj)_(05) CAR Dec-07_IBM_Grouped_USD_Reconciliation_1" xfId="1416"/>
    <cellStyle name="_Arrears 2 (Raj)_(05) CAR Dec-07_IBM_Grouped_USD_Reconciliation_2" xfId="1417"/>
    <cellStyle name="_Arrears 2 (Raj)_(05) CAR Dec-07_IBM_Grouped_USD_Reconciliation_3" xfId="1418"/>
    <cellStyle name="_Arrears 2 (Raj)_(05) CAR Dec-07_IBM_Grouped_ZAR" xfId="1419"/>
    <cellStyle name="_Arrears 2 (Raj)_(05) CAR Dec-07_IBM_Grouped_ZAR_Recon" xfId="1420"/>
    <cellStyle name="_Arrears 2 (Raj)_(05) CAR Dec-07_IBM_Grouped_ZAR_Recon W1" xfId="1421"/>
    <cellStyle name="_Arrears 2 (Raj)_(05) CAR Dec-07_IBM_Grouped_ZAR_Recon_1" xfId="1422"/>
    <cellStyle name="_Arrears 2 (Raj)_(05) CAR Dec-07_IBM_Grouped_ZAR_Recon_2" xfId="1423"/>
    <cellStyle name="_Arrears 2 (Raj)_(05) CAR Dec-07_IBM_Grouped_ZAR_Recon_3" xfId="1424"/>
    <cellStyle name="_Arrears 2 (Raj)_(05) CAR Dec-07_IBM_Grouped_ZAR_Reconciliation" xfId="1425"/>
    <cellStyle name="_Arrears 2 (Raj)_(05) CAR Dec-07_IBM_Grouped_ZAR_Reconciliation_1" xfId="1426"/>
    <cellStyle name="_Arrears 2 (Raj)_(05) CAR Dec-07_IBM_Grouped_ZAR_Reconciliation_2" xfId="1427"/>
    <cellStyle name="_Arrears 2 (Raj)_(05) CAR Dec-07_IBM_Grouped_ZAR_Reconciliation_3" xfId="1428"/>
    <cellStyle name="_Arrears 2 (Raj)_(05) CAR Dec-07_Liquidity and repricing" xfId="1429"/>
    <cellStyle name="_Arrears 2 (Raj)_(05) CAR Dec-07_Liquidity and repricing_IBM_Grouped(2)" xfId="1430"/>
    <cellStyle name="_Arrears 2 (Raj)_(05) CAR Dec-07_Liquidity and repricing_IBM_Grouped(2)_Recon" xfId="1431"/>
    <cellStyle name="_Arrears 2 (Raj)_(05) CAR Dec-07_Liquidity and repricing_IBM_Grouped(2)_Recon to Segmental Report" xfId="1432"/>
    <cellStyle name="_Arrears 2 (Raj)_(05) CAR Dec-07_Liquidity and repricing_IBM_Grouped(2)_Recon_1" xfId="1433"/>
    <cellStyle name="_Arrears 2 (Raj)_(05) CAR Dec-07_Liquidity and repricing_IBM_Grouped(2)_Recon_2" xfId="1434"/>
    <cellStyle name="_Arrears 2 (Raj)_(05) CAR Dec-07_Liquidity and repricing_IBM_Grouped(2)_Recon_3" xfId="1435"/>
    <cellStyle name="_Arrears 2 (Raj)_(05) CAR Dec-07_Liquidity and repricing_IBM_Grouped(2)_Recon_4" xfId="1436"/>
    <cellStyle name="_Arrears 2 (Raj)_(05) CAR Dec-07_Liquidity and repricing_IBM_Grouped(2)_Reconciliation" xfId="1437"/>
    <cellStyle name="_Arrears 2 (Raj)_(05) CAR Dec-07_Liquidity and repricing_IBM_Grouped(2)_Reconciliation_1" xfId="1438"/>
    <cellStyle name="_Arrears 2 (Raj)_(05) CAR Dec-07_Liquidity and repricing_IBM_Grouped(2)_Reconciliation_2" xfId="1439"/>
    <cellStyle name="_Arrears 2 (Raj)_(05) CAR Dec-07_Liquidity and repricing_IBM_Grouped(2)_Reconciliation_3" xfId="1440"/>
    <cellStyle name="_Arrears 2 (Raj)_(05) CAR Dec-07_Liquidity and repricing_Recon" xfId="1441"/>
    <cellStyle name="_Arrears 2 (Raj)_(05) CAR Dec-07_Liquidity and repricing_Recon W1" xfId="1442"/>
    <cellStyle name="_Arrears 2 (Raj)_(05) CAR Dec-07_Liquidity and repricing_Recon_1" xfId="1443"/>
    <cellStyle name="_Arrears 2 (Raj)_(05) CAR Dec-07_Liquidity and repricing_Recon_2" xfId="1444"/>
    <cellStyle name="_Arrears 2 (Raj)_(05) CAR Dec-07_Liquidity and repricing_Recon_3" xfId="1445"/>
    <cellStyle name="_Arrears 2 (Raj)_(05) CAR Dec-07_Liquidity and repricing_Reconciliation" xfId="1446"/>
    <cellStyle name="_Arrears 2 (Raj)_(05) CAR Dec-07_Liquidity and repricing_Reconciliation_1" xfId="1447"/>
    <cellStyle name="_Arrears 2 (Raj)_(05) CAR Dec-07_Liquidity and repricing_Reconciliation_2" xfId="1448"/>
    <cellStyle name="_Arrears 2 (Raj)_(05) CAR Dec-07_Liquidity and repricing_Reconciliation_3" xfId="1449"/>
    <cellStyle name="_Arrears 2 (Raj)_(05) CAR Dec-07_NOP 2010 01 31 USD BASED" xfId="1450"/>
    <cellStyle name="_Arrears 2 (Raj)_(05) CAR Dec-07_NOP 2010 01 31 USD BASED_Report Finance" xfId="1451"/>
    <cellStyle name="_Arrears 2 (Raj)_(05) CAR Dec-07_NOP 2010 02 28 USD BASED Final" xfId="1452"/>
    <cellStyle name="_Arrears 2 (Raj)_(05) CAR Dec-07_NOP 2010 02 28 USD BASED Final_Report Finance" xfId="1453"/>
    <cellStyle name="_Arrears 2 (Raj)_(05) CAR Dec-07_NOP 2010 03 31 USD BASEDrevised" xfId="1454"/>
    <cellStyle name="_Arrears 2 (Raj)_(05) CAR Dec-07_NOP 2010 03 31 USD BASEDrevised_Report Finance" xfId="1455"/>
    <cellStyle name="_Arrears 2 (Raj)_(05) CAR Dec-07_NOP 2010 04 30" xfId="1456"/>
    <cellStyle name="_Arrears 2 (Raj)_(05) CAR Dec-07_NOP 2010 04 30_Recon" xfId="1457"/>
    <cellStyle name="_Arrears 2 (Raj)_(05) CAR Dec-07_NOP 2010 04 30_Recon W1" xfId="1458"/>
    <cellStyle name="_Arrears 2 (Raj)_(05) CAR Dec-07_NOP 2010 04 30_Recon_1" xfId="1459"/>
    <cellStyle name="_Arrears 2 (Raj)_(05) CAR Dec-07_NOP 2010 04 30_Recon_2" xfId="1460"/>
    <cellStyle name="_Arrears 2 (Raj)_(05) CAR Dec-07_NOP 2010 04 30_Recon_3" xfId="1461"/>
    <cellStyle name="_Arrears 2 (Raj)_(05) CAR Dec-07_NOP 2010 04 30_Reconciliation" xfId="1462"/>
    <cellStyle name="_Arrears 2 (Raj)_(05) CAR Dec-07_NOP 2010 04 30_Reconciliation_1" xfId="1463"/>
    <cellStyle name="_Arrears 2 (Raj)_(05) CAR Dec-07_NOP 2010 04 30_Reconciliation_2" xfId="1464"/>
    <cellStyle name="_Arrears 2 (Raj)_(05) CAR Dec-07_NOP 2010 04 30_Reconciliation_3" xfId="1465"/>
    <cellStyle name="_Arrears 2 (Raj)_(05) CAR Dec-07_NOP 2010 04 30_Report Finance" xfId="1466"/>
    <cellStyle name="_Arrears 2 (Raj)_(05) CAR Dec-07_ORIGINAL NOP 2009 12 31 USD BASED" xfId="1467"/>
    <cellStyle name="_Arrears 2 (Raj)_(05) CAR Dec-07_ORIGINAL NOP 2009 12 31 USD BASED_Report Finance" xfId="1468"/>
    <cellStyle name="_Arrears 2 (Raj)_(05) CAR Dec-07_Recon" xfId="1469"/>
    <cellStyle name="_Arrears 2 (Raj)_(05) CAR Dec-07_Recon W1" xfId="1470"/>
    <cellStyle name="_Arrears 2 (Raj)_(05) CAR Dec-07_Recon_1" xfId="1471"/>
    <cellStyle name="_Arrears 2 (Raj)_(05) CAR Dec-07_Recon_2" xfId="1472"/>
    <cellStyle name="_Arrears 2 (Raj)_(05) CAR Dec-07_Recon_3" xfId="1473"/>
    <cellStyle name="_Arrears 2 (Raj)_(05) CAR Dec-07_Reconciliation" xfId="1474"/>
    <cellStyle name="_Arrears 2 (Raj)_(05) CAR Dec-07_Reconciliation_1" xfId="1475"/>
    <cellStyle name="_Arrears 2 (Raj)_(05) CAR Dec-07_Reconciliation_2" xfId="1476"/>
    <cellStyle name="_Arrears 2 (Raj)_(05) CAR Dec-07_Reconciliation_3" xfId="1477"/>
    <cellStyle name="_Arrears 2 (Raj)_(05) CAR Dec-07_SC_Treasury_Other" xfId="1478"/>
    <cellStyle name="_Arrears 2 (Raj)_(05) CAR Dec-07_SC_Treasury_Other_Recon" xfId="1479"/>
    <cellStyle name="_Arrears 2 (Raj)_(05) CAR Dec-07_SC_Treasury_Other_Recon_1" xfId="1480"/>
    <cellStyle name="_Arrears 2 (Raj)_(05) CAR Dec-07_SC_Treasury_Other_Recon_2" xfId="1481"/>
    <cellStyle name="_Arrears 2 (Raj)_(05) CAR Dec-07_SC_Treasury_Other_Recon_3" xfId="1482"/>
    <cellStyle name="_Arrears 2 (Raj)_(05) CAR Dec-07_SC_Treasury_Other_Reconciliation" xfId="1483"/>
    <cellStyle name="_Arrears 2 (Raj)_(05) CAR Dec-07_SC_Treasury_Other_Reconciliation_1" xfId="1484"/>
    <cellStyle name="_Arrears 2 (Raj)_(05) CAR Dec-07_Sheet1" xfId="1485"/>
    <cellStyle name="_Arrears 2 (Raj)_(26) Oct-09 (AL)" xfId="1486"/>
    <cellStyle name="_Arrears 2 (Raj)_(26) Oct-09 (AL)_IBM_Grouped(2)" xfId="1487"/>
    <cellStyle name="_Arrears 2 (Raj)_(26) Oct-09 (AL)_IBM_Grouped(2)_Recon" xfId="1488"/>
    <cellStyle name="_Arrears 2 (Raj)_(26) Oct-09 (AL)_IBM_Grouped(2)_Recon to Segmental Report" xfId="1489"/>
    <cellStyle name="_Arrears 2 (Raj)_(26) Oct-09 (AL)_IBM_Grouped(2)_Recon_1" xfId="1490"/>
    <cellStyle name="_Arrears 2 (Raj)_(26) Oct-09 (AL)_IBM_Grouped(2)_Recon_2" xfId="1491"/>
    <cellStyle name="_Arrears 2 (Raj)_(26) Oct-09 (AL)_IBM_Grouped(2)_Recon_3" xfId="1492"/>
    <cellStyle name="_Arrears 2 (Raj)_(26) Oct-09 (AL)_IBM_Grouped(2)_Recon_4" xfId="1493"/>
    <cellStyle name="_Arrears 2 (Raj)_(26) Oct-09 (AL)_IBM_Grouped(2)_Reconciliation" xfId="1494"/>
    <cellStyle name="_Arrears 2 (Raj)_(26) Oct-09 (AL)_IBM_Grouped(2)_Reconciliation_1" xfId="1495"/>
    <cellStyle name="_Arrears 2 (Raj)_(26) Oct-09 (AL)_IBM_Grouped(2)_Reconciliation_2" xfId="1496"/>
    <cellStyle name="_Arrears 2 (Raj)_(26) Oct-09 (AL)_IBM_Grouped(2)_Reconciliation_3" xfId="1497"/>
    <cellStyle name="_Arrears 2 (Raj)_(26) Oct-09 (AL)_Recon" xfId="1498"/>
    <cellStyle name="_Arrears 2 (Raj)_(26) Oct-09 (AL)_Recon W1" xfId="1499"/>
    <cellStyle name="_Arrears 2 (Raj)_(26) Oct-09 (AL)_Recon_1" xfId="1500"/>
    <cellStyle name="_Arrears 2 (Raj)_(26) Oct-09 (AL)_Recon_2" xfId="1501"/>
    <cellStyle name="_Arrears 2 (Raj)_(26) Oct-09 (AL)_Recon_3" xfId="1502"/>
    <cellStyle name="_Arrears 2 (Raj)_(26) Oct-09 (AL)_Reconciliation" xfId="1503"/>
    <cellStyle name="_Arrears 2 (Raj)_(26) Oct-09 (AL)_Reconciliation_1" xfId="1504"/>
    <cellStyle name="_Arrears 2 (Raj)_(26) Oct-09 (AL)_Reconciliation_2" xfId="1505"/>
    <cellStyle name="_Arrears 2 (Raj)_(26) Oct-09 (AL)_Reconciliation_3" xfId="1506"/>
    <cellStyle name="_Arrears 2 (Raj)_(27) Nov-09 (AL)" xfId="1507"/>
    <cellStyle name="_Arrears 2 (Raj)_(27) Nov-09 (AL)_IBM_Grouped(2)" xfId="1508"/>
    <cellStyle name="_Arrears 2 (Raj)_(27) Nov-09 (AL)_IBM_Grouped(2)_Recon" xfId="1509"/>
    <cellStyle name="_Arrears 2 (Raj)_(27) Nov-09 (AL)_IBM_Grouped(2)_Recon to Segmental Report" xfId="1510"/>
    <cellStyle name="_Arrears 2 (Raj)_(27) Nov-09 (AL)_IBM_Grouped(2)_Recon_1" xfId="1511"/>
    <cellStyle name="_Arrears 2 (Raj)_(27) Nov-09 (AL)_IBM_Grouped(2)_Recon_2" xfId="1512"/>
    <cellStyle name="_Arrears 2 (Raj)_(27) Nov-09 (AL)_IBM_Grouped(2)_Recon_3" xfId="1513"/>
    <cellStyle name="_Arrears 2 (Raj)_(27) Nov-09 (AL)_IBM_Grouped(2)_Recon_4" xfId="1514"/>
    <cellStyle name="_Arrears 2 (Raj)_(27) Nov-09 (AL)_IBM_Grouped(2)_Reconciliation" xfId="1515"/>
    <cellStyle name="_Arrears 2 (Raj)_(27) Nov-09 (AL)_IBM_Grouped(2)_Reconciliation_1" xfId="1516"/>
    <cellStyle name="_Arrears 2 (Raj)_(27) Nov-09 (AL)_IBM_Grouped(2)_Reconciliation_2" xfId="1517"/>
    <cellStyle name="_Arrears 2 (Raj)_(27) Nov-09 (AL)_IBM_Grouped(2)_Reconciliation_3" xfId="1518"/>
    <cellStyle name="_Arrears 2 (Raj)_(27) Nov-09 (AL)_Recon" xfId="1519"/>
    <cellStyle name="_Arrears 2 (Raj)_(27) Nov-09 (AL)_Recon W1" xfId="1520"/>
    <cellStyle name="_Arrears 2 (Raj)_(27) Nov-09 (AL)_Recon_1" xfId="1521"/>
    <cellStyle name="_Arrears 2 (Raj)_(27) Nov-09 (AL)_Recon_2" xfId="1522"/>
    <cellStyle name="_Arrears 2 (Raj)_(27) Nov-09 (AL)_Recon_3" xfId="1523"/>
    <cellStyle name="_Arrears 2 (Raj)_(27) Nov-09 (AL)_Reconciliation" xfId="1524"/>
    <cellStyle name="_Arrears 2 (Raj)_(27) Nov-09 (AL)_Reconciliation_1" xfId="1525"/>
    <cellStyle name="_Arrears 2 (Raj)_(27) Nov-09 (AL)_Reconciliation_2" xfId="1526"/>
    <cellStyle name="_Arrears 2 (Raj)_(27) Nov-09 (AL)_Reconciliation_3" xfId="1527"/>
    <cellStyle name="_Arrears 2 (Raj)_08_IBM_A2.2.1 to A2.2.15_Statutory workings - 31 03 08" xfId="1528"/>
    <cellStyle name="_Arrears 2 (Raj)_08_IBM_A2.2.1 to A2.2.15_Statutory workings - 31 03 08_31.12.09 Mauritius-USD based ledger - Final1" xfId="1529"/>
    <cellStyle name="_Arrears 2 (Raj)_08_IBM_A2.2.1 to A2.2.15_Statutory workings - 31 03 08_Book4" xfId="1530"/>
    <cellStyle name="_Arrears 2 (Raj)_08_IBM_A2.2.1 to A2.2.15_Statutory workings - 31 03 08_Book4_IBM_Grouped(2)" xfId="1531"/>
    <cellStyle name="_Arrears 2 (Raj)_08_IBM_A2.2.1 to A2.2.15_Statutory workings - 31 03 08_Book4_IBM_Grouped(2)_Recon" xfId="1532"/>
    <cellStyle name="_Arrears 2 (Raj)_08_IBM_A2.2.1 to A2.2.15_Statutory workings - 31 03 08_Book4_IBM_Grouped(2)_Recon to Segmental Report" xfId="1533"/>
    <cellStyle name="_Arrears 2 (Raj)_08_IBM_A2.2.1 to A2.2.15_Statutory workings - 31 03 08_Book4_IBM_Grouped(2)_Recon_1" xfId="1534"/>
    <cellStyle name="_Arrears 2 (Raj)_08_IBM_A2.2.1 to A2.2.15_Statutory workings - 31 03 08_Book4_IBM_Grouped(2)_Recon_2" xfId="1535"/>
    <cellStyle name="_Arrears 2 (Raj)_08_IBM_A2.2.1 to A2.2.15_Statutory workings - 31 03 08_Book4_IBM_Grouped(2)_Recon_3" xfId="1536"/>
    <cellStyle name="_Arrears 2 (Raj)_08_IBM_A2.2.1 to A2.2.15_Statutory workings - 31 03 08_Book4_IBM_Grouped(2)_Recon_4" xfId="1537"/>
    <cellStyle name="_Arrears 2 (Raj)_08_IBM_A2.2.1 to A2.2.15_Statutory workings - 31 03 08_Book4_IBM_Grouped(2)_Reconciliation" xfId="1538"/>
    <cellStyle name="_Arrears 2 (Raj)_08_IBM_A2.2.1 to A2.2.15_Statutory workings - 31 03 08_Book4_IBM_Grouped(2)_Reconciliation_1" xfId="1539"/>
    <cellStyle name="_Arrears 2 (Raj)_08_IBM_A2.2.1 to A2.2.15_Statutory workings - 31 03 08_Book4_IBM_Grouped(2)_Reconciliation_2" xfId="1540"/>
    <cellStyle name="_Arrears 2 (Raj)_08_IBM_A2.2.1 to A2.2.15_Statutory workings - 31 03 08_Book4_IBM_Grouped(2)_Reconciliation_3" xfId="1541"/>
    <cellStyle name="_Arrears 2 (Raj)_08_IBM_A2.2.1 to A2.2.15_Statutory workings - 31 03 08_Book4_Recon" xfId="1542"/>
    <cellStyle name="_Arrears 2 (Raj)_08_IBM_A2.2.1 to A2.2.15_Statutory workings - 31 03 08_Book4_Recon W1" xfId="1543"/>
    <cellStyle name="_Arrears 2 (Raj)_08_IBM_A2.2.1 to A2.2.15_Statutory workings - 31 03 08_Book4_Recon_1" xfId="1544"/>
    <cellStyle name="_Arrears 2 (Raj)_08_IBM_A2.2.1 to A2.2.15_Statutory workings - 31 03 08_Book4_Recon_2" xfId="1545"/>
    <cellStyle name="_Arrears 2 (Raj)_08_IBM_A2.2.1 to A2.2.15_Statutory workings - 31 03 08_Book4_Recon_3" xfId="1546"/>
    <cellStyle name="_Arrears 2 (Raj)_08_IBM_A2.2.1 to A2.2.15_Statutory workings - 31 03 08_Book4_Reconciliation" xfId="1547"/>
    <cellStyle name="_Arrears 2 (Raj)_08_IBM_A2.2.1 to A2.2.15_Statutory workings - 31 03 08_Book4_Reconciliation_1" xfId="1548"/>
    <cellStyle name="_Arrears 2 (Raj)_08_IBM_A2.2.1 to A2.2.15_Statutory workings - 31 03 08_Book4_Reconciliation_2" xfId="1549"/>
    <cellStyle name="_Arrears 2 (Raj)_08_IBM_A2.2.1 to A2.2.15_Statutory workings - 31 03 08_Book4_Reconciliation_3" xfId="1550"/>
    <cellStyle name="_Arrears 2 (Raj)_08_IBM_A2.2.1 to A2.2.15_Statutory workings - 31 03 08_Book5" xfId="1551"/>
    <cellStyle name="_Arrears 2 (Raj)_08_IBM_A2.2.1 to A2.2.15_Statutory workings - 31 03 08_Book5_(19) Loan Feb-11(Feb-11 figures)" xfId="1552"/>
    <cellStyle name="_Arrears 2 (Raj)_08_IBM_A2.2.1 to A2.2.15_Statutory workings - 31 03 08_Recon" xfId="1553"/>
    <cellStyle name="_Arrears 2 (Raj)_08_IBM_A2.2.1 to A2.2.15_Statutory workings - 31 03 08_Recon W1" xfId="1554"/>
    <cellStyle name="_Arrears 2 (Raj)_08_IBM_A2.2.1 to A2.2.15_Statutory workings - 31 03 08_Recon_1" xfId="1555"/>
    <cellStyle name="_Arrears 2 (Raj)_08_IBM_A2.2.1 to A2.2.15_Statutory workings - 31 03 08_Recon_2" xfId="1556"/>
    <cellStyle name="_Arrears 2 (Raj)_08_IBM_A2.2.1 to A2.2.15_Statutory workings - 31 03 08_Recon_3" xfId="1557"/>
    <cellStyle name="_Arrears 2 (Raj)_08_IBM_A2.2.1 to A2.2.15_Statutory workings - 31 03 08_Reconciliation" xfId="1558"/>
    <cellStyle name="_Arrears 2 (Raj)_08_IBM_A2.2.1 to A2.2.15_Statutory workings - 31 03 08_Reconciliation_1" xfId="1559"/>
    <cellStyle name="_Arrears 2 (Raj)_08_IBM_A2.2.1 to A2.2.15_Statutory workings - 31 03 08_Reconciliation_2" xfId="1560"/>
    <cellStyle name="_Arrears 2 (Raj)_08_IBM_A2.2.1 to A2.2.15_Statutory workings - 31 03 08_Reconciliation_3" xfId="1561"/>
    <cellStyle name="_Arrears 2 (Raj)_08_IBM_A2.2.1 to A2.2.15_Statutory workings - 31 03 08_RELATED PARTY-2010 05 31" xfId="1562"/>
    <cellStyle name="_Arrears 2 (Raj)_08_IBM_A2.2.1 to A2.2.15_Statutory workings - 31 03 08_RELATED PARTY-2010 05 31_(19) Loan Feb-11(Feb-11 figures)" xfId="1563"/>
    <cellStyle name="_Arrears 2 (Raj)_08_IBM_A2.2.1 to A2.2.15_Statutory workings - 31 03 08_Sheet1" xfId="1564"/>
    <cellStyle name="_Arrears 2 (Raj)_08_IBM_N4.1_Provisional Tax workings Mar_Deven" xfId="1565"/>
    <cellStyle name="_Arrears 2 (Raj)_08_IBM_N4.1_Provisional Tax workings Mar_Deven_Recon" xfId="1566"/>
    <cellStyle name="_Arrears 2 (Raj)_08_IBM_N4.1_Provisional Tax workings Mar_Deven_Recon W1" xfId="1567"/>
    <cellStyle name="_Arrears 2 (Raj)_08_IBM_N4.1_Provisional Tax workings Mar_Deven_Recon_1" xfId="1568"/>
    <cellStyle name="_Arrears 2 (Raj)_08_IBM_N4.1_Provisional Tax workings Mar_Deven_Recon_2" xfId="1569"/>
    <cellStyle name="_Arrears 2 (Raj)_08_IBM_N4.1_Provisional Tax workings Mar_Deven_Recon_3" xfId="1570"/>
    <cellStyle name="_Arrears 2 (Raj)_08_IBM_N4.1_Provisional Tax workings Mar_Deven_Reconciliation" xfId="1571"/>
    <cellStyle name="_Arrears 2 (Raj)_08_IBM_N4.1_Provisional Tax workings Mar_Deven_Reconciliation_1" xfId="1572"/>
    <cellStyle name="_Arrears 2 (Raj)_08_IBM_N4.1_Provisional Tax workings Mar_Deven_Reconciliation_2" xfId="1573"/>
    <cellStyle name="_Arrears 2 (Raj)_08_IBM_N4.1_Provisional Tax workings Mar_Deven_Reconciliation_3" xfId="1574"/>
    <cellStyle name="_Arrears 2 (Raj)_08_IBM_N4.1_Provisional Tax workings Mar_Deven_Sheet1" xfId="1575"/>
    <cellStyle name="_Arrears 2 (Raj)_31.12.09 Mauritius-USD based ledger - Final1" xfId="1576"/>
    <cellStyle name="_Arrears 2 (Raj)_audit adjustment 2007" xfId="1577"/>
    <cellStyle name="_Arrears 2 (Raj)_audit adjustment 2007_(26) Oct-09 (AL)" xfId="1578"/>
    <cellStyle name="_Arrears 2 (Raj)_audit adjustment 2007_(26) Oct-09 (AL)_IBM_Grouped(2)" xfId="1579"/>
    <cellStyle name="_Arrears 2 (Raj)_audit adjustment 2007_(26) Oct-09 (AL)_IBM_Grouped(2)_Recon" xfId="1580"/>
    <cellStyle name="_Arrears 2 (Raj)_audit adjustment 2007_(26) Oct-09 (AL)_IBM_Grouped(2)_Recon to Segmental Report" xfId="1581"/>
    <cellStyle name="_Arrears 2 (Raj)_audit adjustment 2007_(26) Oct-09 (AL)_IBM_Grouped(2)_Recon_1" xfId="1582"/>
    <cellStyle name="_Arrears 2 (Raj)_audit adjustment 2007_(26) Oct-09 (AL)_IBM_Grouped(2)_Recon_2" xfId="1583"/>
    <cellStyle name="_Arrears 2 (Raj)_audit adjustment 2007_(26) Oct-09 (AL)_IBM_Grouped(2)_Recon_3" xfId="1584"/>
    <cellStyle name="_Arrears 2 (Raj)_audit adjustment 2007_(26) Oct-09 (AL)_IBM_Grouped(2)_Recon_4" xfId="1585"/>
    <cellStyle name="_Arrears 2 (Raj)_audit adjustment 2007_(26) Oct-09 (AL)_IBM_Grouped(2)_Reconciliation" xfId="1586"/>
    <cellStyle name="_Arrears 2 (Raj)_audit adjustment 2007_(26) Oct-09 (AL)_IBM_Grouped(2)_Reconciliation_1" xfId="1587"/>
    <cellStyle name="_Arrears 2 (Raj)_audit adjustment 2007_(26) Oct-09 (AL)_IBM_Grouped(2)_Reconciliation_2" xfId="1588"/>
    <cellStyle name="_Arrears 2 (Raj)_audit adjustment 2007_(26) Oct-09 (AL)_IBM_Grouped(2)_Reconciliation_3" xfId="1589"/>
    <cellStyle name="_Arrears 2 (Raj)_audit adjustment 2007_(26) Oct-09 (AL)_Recon" xfId="1590"/>
    <cellStyle name="_Arrears 2 (Raj)_audit adjustment 2007_(26) Oct-09 (AL)_Recon W1" xfId="1591"/>
    <cellStyle name="_Arrears 2 (Raj)_audit adjustment 2007_(26) Oct-09 (AL)_Recon_1" xfId="1592"/>
    <cellStyle name="_Arrears 2 (Raj)_audit adjustment 2007_(26) Oct-09 (AL)_Recon_2" xfId="1593"/>
    <cellStyle name="_Arrears 2 (Raj)_audit adjustment 2007_(26) Oct-09 (AL)_Recon_3" xfId="1594"/>
    <cellStyle name="_Arrears 2 (Raj)_audit adjustment 2007_(26) Oct-09 (AL)_Reconciliation" xfId="1595"/>
    <cellStyle name="_Arrears 2 (Raj)_audit adjustment 2007_(26) Oct-09 (AL)_Reconciliation_1" xfId="1596"/>
    <cellStyle name="_Arrears 2 (Raj)_audit adjustment 2007_(26) Oct-09 (AL)_Reconciliation_2" xfId="1597"/>
    <cellStyle name="_Arrears 2 (Raj)_audit adjustment 2007_(26) Oct-09 (AL)_Reconciliation_3" xfId="1598"/>
    <cellStyle name="_Arrears 2 (Raj)_audit adjustment 2007_(27) Nov-09 (AL)" xfId="1599"/>
    <cellStyle name="_Arrears 2 (Raj)_audit adjustment 2007_(27) Nov-09 (AL)_IBM_Grouped(2)" xfId="1600"/>
    <cellStyle name="_Arrears 2 (Raj)_audit adjustment 2007_(27) Nov-09 (AL)_IBM_Grouped(2)_Recon" xfId="1601"/>
    <cellStyle name="_Arrears 2 (Raj)_audit adjustment 2007_(27) Nov-09 (AL)_IBM_Grouped(2)_Recon to Segmental Report" xfId="1602"/>
    <cellStyle name="_Arrears 2 (Raj)_audit adjustment 2007_(27) Nov-09 (AL)_IBM_Grouped(2)_Recon_1" xfId="1603"/>
    <cellStyle name="_Arrears 2 (Raj)_audit adjustment 2007_(27) Nov-09 (AL)_IBM_Grouped(2)_Recon_2" xfId="1604"/>
    <cellStyle name="_Arrears 2 (Raj)_audit adjustment 2007_(27) Nov-09 (AL)_IBM_Grouped(2)_Recon_3" xfId="1605"/>
    <cellStyle name="_Arrears 2 (Raj)_audit adjustment 2007_(27) Nov-09 (AL)_IBM_Grouped(2)_Recon_4" xfId="1606"/>
    <cellStyle name="_Arrears 2 (Raj)_audit adjustment 2007_(27) Nov-09 (AL)_IBM_Grouped(2)_Reconciliation" xfId="1607"/>
    <cellStyle name="_Arrears 2 (Raj)_audit adjustment 2007_(27) Nov-09 (AL)_IBM_Grouped(2)_Reconciliation_1" xfId="1608"/>
    <cellStyle name="_Arrears 2 (Raj)_audit adjustment 2007_(27) Nov-09 (AL)_IBM_Grouped(2)_Reconciliation_2" xfId="1609"/>
    <cellStyle name="_Arrears 2 (Raj)_audit adjustment 2007_(27) Nov-09 (AL)_IBM_Grouped(2)_Reconciliation_3" xfId="1610"/>
    <cellStyle name="_Arrears 2 (Raj)_audit adjustment 2007_(27) Nov-09 (AL)_Recon" xfId="1611"/>
    <cellStyle name="_Arrears 2 (Raj)_audit adjustment 2007_(27) Nov-09 (AL)_Recon W1" xfId="1612"/>
    <cellStyle name="_Arrears 2 (Raj)_audit adjustment 2007_(27) Nov-09 (AL)_Recon_1" xfId="1613"/>
    <cellStyle name="_Arrears 2 (Raj)_audit adjustment 2007_(27) Nov-09 (AL)_Recon_2" xfId="1614"/>
    <cellStyle name="_Arrears 2 (Raj)_audit adjustment 2007_(27) Nov-09 (AL)_Recon_3" xfId="1615"/>
    <cellStyle name="_Arrears 2 (Raj)_audit adjustment 2007_(27) Nov-09 (AL)_Reconciliation" xfId="1616"/>
    <cellStyle name="_Arrears 2 (Raj)_audit adjustment 2007_(27) Nov-09 (AL)_Reconciliation_1" xfId="1617"/>
    <cellStyle name="_Arrears 2 (Raj)_audit adjustment 2007_(27) Nov-09 (AL)_Reconciliation_2" xfId="1618"/>
    <cellStyle name="_Arrears 2 (Raj)_audit adjustment 2007_(27) Nov-09 (AL)_Reconciliation_3" xfId="1619"/>
    <cellStyle name="_Arrears 2 (Raj)_audit adjustment 2007_31.12.09 Mauritius-USD based ledger - Final1" xfId="1620"/>
    <cellStyle name="_Arrears 2 (Raj)_audit adjustment 2007_Book1 (4)" xfId="1621"/>
    <cellStyle name="_Arrears 2 (Raj)_audit adjustment 2007_Book4" xfId="1622"/>
    <cellStyle name="_Arrears 2 (Raj)_audit adjustment 2007_Book4_Recon" xfId="1623"/>
    <cellStyle name="_Arrears 2 (Raj)_audit adjustment 2007_Book4_Recon W1" xfId="1624"/>
    <cellStyle name="_Arrears 2 (Raj)_audit adjustment 2007_Book4_Recon_1" xfId="1625"/>
    <cellStyle name="_Arrears 2 (Raj)_audit adjustment 2007_Book4_Recon_2" xfId="1626"/>
    <cellStyle name="_Arrears 2 (Raj)_audit adjustment 2007_Book4_Recon_3" xfId="1627"/>
    <cellStyle name="_Arrears 2 (Raj)_audit adjustment 2007_Book4_Reconciliation" xfId="1628"/>
    <cellStyle name="_Arrears 2 (Raj)_audit adjustment 2007_Book4_Reconciliation_1" xfId="1629"/>
    <cellStyle name="_Arrears 2 (Raj)_audit adjustment 2007_Book4_Reconciliation_2" xfId="1630"/>
    <cellStyle name="_Arrears 2 (Raj)_audit adjustment 2007_Book4_Reconciliation_3" xfId="1631"/>
    <cellStyle name="_Arrears 2 (Raj)_audit adjustment 2007_capital adequacy September 2009" xfId="1632"/>
    <cellStyle name="_Arrears 2 (Raj)_audit adjustment 2007_capital adequacy September 2009_IBM_Grouped(2)" xfId="1633"/>
    <cellStyle name="_Arrears 2 (Raj)_audit adjustment 2007_capital adequacy September 2009_IBM_Grouped(2)_Recon" xfId="1634"/>
    <cellStyle name="_Arrears 2 (Raj)_audit adjustment 2007_capital adequacy September 2009_IBM_Grouped(2)_Recon to Segmental Report" xfId="1635"/>
    <cellStyle name="_Arrears 2 (Raj)_audit adjustment 2007_capital adequacy September 2009_IBM_Grouped(2)_Recon_1" xfId="1636"/>
    <cellStyle name="_Arrears 2 (Raj)_audit adjustment 2007_capital adequacy September 2009_IBM_Grouped(2)_Recon_2" xfId="1637"/>
    <cellStyle name="_Arrears 2 (Raj)_audit adjustment 2007_capital adequacy September 2009_IBM_Grouped(2)_Recon_3" xfId="1638"/>
    <cellStyle name="_Arrears 2 (Raj)_audit adjustment 2007_capital adequacy September 2009_IBM_Grouped(2)_Recon_4" xfId="1639"/>
    <cellStyle name="_Arrears 2 (Raj)_audit adjustment 2007_capital adequacy September 2009_IBM_Grouped(2)_Reconciliation" xfId="1640"/>
    <cellStyle name="_Arrears 2 (Raj)_audit adjustment 2007_capital adequacy September 2009_IBM_Grouped(2)_Reconciliation_1" xfId="1641"/>
    <cellStyle name="_Arrears 2 (Raj)_audit adjustment 2007_capital adequacy September 2009_IBM_Grouped(2)_Reconciliation_2" xfId="1642"/>
    <cellStyle name="_Arrears 2 (Raj)_audit adjustment 2007_capital adequacy September 2009_IBM_Grouped(2)_Reconciliation_3" xfId="1643"/>
    <cellStyle name="_Arrears 2 (Raj)_audit adjustment 2007_capital adequacy September 2009_Recon" xfId="1644"/>
    <cellStyle name="_Arrears 2 (Raj)_audit adjustment 2007_capital adequacy September 2009_Recon W1" xfId="1645"/>
    <cellStyle name="_Arrears 2 (Raj)_audit adjustment 2007_capital adequacy September 2009_Recon_1" xfId="1646"/>
    <cellStyle name="_Arrears 2 (Raj)_audit adjustment 2007_capital adequacy September 2009_Recon_2" xfId="1647"/>
    <cellStyle name="_Arrears 2 (Raj)_audit adjustment 2007_capital adequacy September 2009_Recon_3" xfId="1648"/>
    <cellStyle name="_Arrears 2 (Raj)_audit adjustment 2007_capital adequacy September 2009_Reconciliation" xfId="1649"/>
    <cellStyle name="_Arrears 2 (Raj)_audit adjustment 2007_capital adequacy September 2009_Reconciliation_1" xfId="1650"/>
    <cellStyle name="_Arrears 2 (Raj)_audit adjustment 2007_capital adequacy September 2009_Reconciliation_2" xfId="1651"/>
    <cellStyle name="_Arrears 2 (Raj)_audit adjustment 2007_capital adequacy September 2009_Reconciliation_3" xfId="1652"/>
    <cellStyle name="_Arrears 2 (Raj)_audit adjustment 2007_Copy of Mauritius-USD based ledger" xfId="1653"/>
    <cellStyle name="_Arrears 2 (Raj)_audit adjustment 2007_Copy of Mauritius-USD based ledger_Recon" xfId="1654"/>
    <cellStyle name="_Arrears 2 (Raj)_audit adjustment 2007_Copy of Mauritius-USD based ledger_Recon W1" xfId="1655"/>
    <cellStyle name="_Arrears 2 (Raj)_audit adjustment 2007_Copy of Mauritius-USD based ledger_Recon_1" xfId="1656"/>
    <cellStyle name="_Arrears 2 (Raj)_audit adjustment 2007_Copy of Mauritius-USD based ledger_Recon_2" xfId="1657"/>
    <cellStyle name="_Arrears 2 (Raj)_audit adjustment 2007_Copy of Mauritius-USD based ledger_Recon_3" xfId="1658"/>
    <cellStyle name="_Arrears 2 (Raj)_audit adjustment 2007_Copy of Mauritius-USD based ledger_Reconciliation" xfId="1659"/>
    <cellStyle name="_Arrears 2 (Raj)_audit adjustment 2007_Copy of Mauritius-USD based ledger_Reconciliation_1" xfId="1660"/>
    <cellStyle name="_Arrears 2 (Raj)_audit adjustment 2007_Copy of Mauritius-USD based ledger_Reconciliation_2" xfId="1661"/>
    <cellStyle name="_Arrears 2 (Raj)_audit adjustment 2007_Copy of Mauritius-USD based ledger_Reconciliation_3" xfId="1662"/>
    <cellStyle name="_Arrears 2 (Raj)_audit adjustment 2007_IBM_Grouped(2)" xfId="1663"/>
    <cellStyle name="_Arrears 2 (Raj)_audit adjustment 2007_IBM_Grouped(2)_Recon" xfId="1664"/>
    <cellStyle name="_Arrears 2 (Raj)_audit adjustment 2007_IBM_Grouped(2)_Recon W1" xfId="1665"/>
    <cellStyle name="_Arrears 2 (Raj)_audit adjustment 2007_IBM_Grouped(2)_Recon_1" xfId="1666"/>
    <cellStyle name="_Arrears 2 (Raj)_audit adjustment 2007_IBM_Grouped(2)_Recon_2" xfId="1667"/>
    <cellStyle name="_Arrears 2 (Raj)_audit adjustment 2007_IBM_Grouped(2)_Recon_3" xfId="1668"/>
    <cellStyle name="_Arrears 2 (Raj)_audit adjustment 2007_IBM_Grouped(2)_Reconciliation" xfId="1669"/>
    <cellStyle name="_Arrears 2 (Raj)_audit adjustment 2007_IBM_Grouped(2)_Reconciliation_1" xfId="1670"/>
    <cellStyle name="_Arrears 2 (Raj)_audit adjustment 2007_IBM_Grouped(2)_Reconciliation_2" xfId="1671"/>
    <cellStyle name="_Arrears 2 (Raj)_audit adjustment 2007_IBM_Grouped(2)_Reconciliation_3" xfId="1672"/>
    <cellStyle name="_Arrears 2 (Raj)_audit adjustment 2007_IBM_Grouped_USD" xfId="1673"/>
    <cellStyle name="_Arrears 2 (Raj)_audit adjustment 2007_IBM_Grouped_USD_Recon" xfId="1674"/>
    <cellStyle name="_Arrears 2 (Raj)_audit adjustment 2007_IBM_Grouped_USD_Recon W1" xfId="1675"/>
    <cellStyle name="_Arrears 2 (Raj)_audit adjustment 2007_IBM_Grouped_USD_Recon_1" xfId="1676"/>
    <cellStyle name="_Arrears 2 (Raj)_audit adjustment 2007_IBM_Grouped_USD_Recon_2" xfId="1677"/>
    <cellStyle name="_Arrears 2 (Raj)_audit adjustment 2007_IBM_Grouped_USD_Recon_3" xfId="1678"/>
    <cellStyle name="_Arrears 2 (Raj)_audit adjustment 2007_IBM_Grouped_USD_Reconciliation" xfId="1679"/>
    <cellStyle name="_Arrears 2 (Raj)_audit adjustment 2007_IBM_Grouped_USD_Reconciliation_1" xfId="1680"/>
    <cellStyle name="_Arrears 2 (Raj)_audit adjustment 2007_IBM_Grouped_USD_Reconciliation_2" xfId="1681"/>
    <cellStyle name="_Arrears 2 (Raj)_audit adjustment 2007_IBM_Grouped_USD_Reconciliation_3" xfId="1682"/>
    <cellStyle name="_Arrears 2 (Raj)_audit adjustment 2007_IBM_Grouped_ZAR" xfId="1683"/>
    <cellStyle name="_Arrears 2 (Raj)_audit adjustment 2007_IBM_Grouped_ZAR_Recon" xfId="1684"/>
    <cellStyle name="_Arrears 2 (Raj)_audit adjustment 2007_IBM_Grouped_ZAR_Recon W1" xfId="1685"/>
    <cellStyle name="_Arrears 2 (Raj)_audit adjustment 2007_IBM_Grouped_ZAR_Recon_1" xfId="1686"/>
    <cellStyle name="_Arrears 2 (Raj)_audit adjustment 2007_IBM_Grouped_ZAR_Recon_2" xfId="1687"/>
    <cellStyle name="_Arrears 2 (Raj)_audit adjustment 2007_IBM_Grouped_ZAR_Recon_3" xfId="1688"/>
    <cellStyle name="_Arrears 2 (Raj)_audit adjustment 2007_IBM_Grouped_ZAR_Reconciliation" xfId="1689"/>
    <cellStyle name="_Arrears 2 (Raj)_audit adjustment 2007_IBM_Grouped_ZAR_Reconciliation_1" xfId="1690"/>
    <cellStyle name="_Arrears 2 (Raj)_audit adjustment 2007_IBM_Grouped_ZAR_Reconciliation_2" xfId="1691"/>
    <cellStyle name="_Arrears 2 (Raj)_audit adjustment 2007_IBM_Grouped_ZAR_Reconciliation_3" xfId="1692"/>
    <cellStyle name="_Arrears 2 (Raj)_audit adjustment 2007_Liquidity and repricing" xfId="1693"/>
    <cellStyle name="_Arrears 2 (Raj)_audit adjustment 2007_Liquidity and repricing_IBM_Grouped(2)" xfId="1694"/>
    <cellStyle name="_Arrears 2 (Raj)_audit adjustment 2007_Liquidity and repricing_IBM_Grouped(2)_Recon" xfId="1695"/>
    <cellStyle name="_Arrears 2 (Raj)_audit adjustment 2007_Liquidity and repricing_IBM_Grouped(2)_Recon to Segmental Report" xfId="1696"/>
    <cellStyle name="_Arrears 2 (Raj)_audit adjustment 2007_Liquidity and repricing_IBM_Grouped(2)_Recon_1" xfId="1697"/>
    <cellStyle name="_Arrears 2 (Raj)_audit adjustment 2007_Liquidity and repricing_IBM_Grouped(2)_Recon_2" xfId="1698"/>
    <cellStyle name="_Arrears 2 (Raj)_audit adjustment 2007_Liquidity and repricing_IBM_Grouped(2)_Recon_3" xfId="1699"/>
    <cellStyle name="_Arrears 2 (Raj)_audit adjustment 2007_Liquidity and repricing_IBM_Grouped(2)_Recon_4" xfId="1700"/>
    <cellStyle name="_Arrears 2 (Raj)_audit adjustment 2007_Liquidity and repricing_IBM_Grouped(2)_Reconciliation" xfId="1701"/>
    <cellStyle name="_Arrears 2 (Raj)_audit adjustment 2007_Liquidity and repricing_IBM_Grouped(2)_Reconciliation_1" xfId="1702"/>
    <cellStyle name="_Arrears 2 (Raj)_audit adjustment 2007_Liquidity and repricing_IBM_Grouped(2)_Reconciliation_2" xfId="1703"/>
    <cellStyle name="_Arrears 2 (Raj)_audit adjustment 2007_Liquidity and repricing_IBM_Grouped(2)_Reconciliation_3" xfId="1704"/>
    <cellStyle name="_Arrears 2 (Raj)_audit adjustment 2007_Liquidity and repricing_Recon" xfId="1705"/>
    <cellStyle name="_Arrears 2 (Raj)_audit adjustment 2007_Liquidity and repricing_Recon W1" xfId="1706"/>
    <cellStyle name="_Arrears 2 (Raj)_audit adjustment 2007_Liquidity and repricing_Recon_1" xfId="1707"/>
    <cellStyle name="_Arrears 2 (Raj)_audit adjustment 2007_Liquidity and repricing_Recon_2" xfId="1708"/>
    <cellStyle name="_Arrears 2 (Raj)_audit adjustment 2007_Liquidity and repricing_Recon_3" xfId="1709"/>
    <cellStyle name="_Arrears 2 (Raj)_audit adjustment 2007_Liquidity and repricing_Reconciliation" xfId="1710"/>
    <cellStyle name="_Arrears 2 (Raj)_audit adjustment 2007_Liquidity and repricing_Reconciliation_1" xfId="1711"/>
    <cellStyle name="_Arrears 2 (Raj)_audit adjustment 2007_Liquidity and repricing_Reconciliation_2" xfId="1712"/>
    <cellStyle name="_Arrears 2 (Raj)_audit adjustment 2007_Liquidity and repricing_Reconciliation_3" xfId="1713"/>
    <cellStyle name="_Arrears 2 (Raj)_audit adjustment 2007_NOP 2010 01 31 USD BASED" xfId="1714"/>
    <cellStyle name="_Arrears 2 (Raj)_audit adjustment 2007_NOP 2010 01 31 USD BASED_Report Finance" xfId="1715"/>
    <cellStyle name="_Arrears 2 (Raj)_audit adjustment 2007_NOP 2010 02 28 USD BASED Final" xfId="1716"/>
    <cellStyle name="_Arrears 2 (Raj)_audit adjustment 2007_NOP 2010 02 28 USD BASED Final_Report Finance" xfId="1717"/>
    <cellStyle name="_Arrears 2 (Raj)_audit adjustment 2007_NOP 2010 03 31 USD BASEDrevised" xfId="1718"/>
    <cellStyle name="_Arrears 2 (Raj)_audit adjustment 2007_NOP 2010 03 31 USD BASEDrevised_Report Finance" xfId="1719"/>
    <cellStyle name="_Arrears 2 (Raj)_audit adjustment 2007_NOP 2010 04 30" xfId="1720"/>
    <cellStyle name="_Arrears 2 (Raj)_audit adjustment 2007_NOP 2010 04 30_Recon" xfId="1721"/>
    <cellStyle name="_Arrears 2 (Raj)_audit adjustment 2007_NOP 2010 04 30_Recon W1" xfId="1722"/>
    <cellStyle name="_Arrears 2 (Raj)_audit adjustment 2007_NOP 2010 04 30_Recon_1" xfId="1723"/>
    <cellStyle name="_Arrears 2 (Raj)_audit adjustment 2007_NOP 2010 04 30_Recon_2" xfId="1724"/>
    <cellStyle name="_Arrears 2 (Raj)_audit adjustment 2007_NOP 2010 04 30_Recon_3" xfId="1725"/>
    <cellStyle name="_Arrears 2 (Raj)_audit adjustment 2007_NOP 2010 04 30_Reconciliation" xfId="1726"/>
    <cellStyle name="_Arrears 2 (Raj)_audit adjustment 2007_NOP 2010 04 30_Reconciliation_1" xfId="1727"/>
    <cellStyle name="_Arrears 2 (Raj)_audit adjustment 2007_NOP 2010 04 30_Reconciliation_2" xfId="1728"/>
    <cellStyle name="_Arrears 2 (Raj)_audit adjustment 2007_NOP 2010 04 30_Reconciliation_3" xfId="1729"/>
    <cellStyle name="_Arrears 2 (Raj)_audit adjustment 2007_NOP 2010 04 30_Report Finance" xfId="1730"/>
    <cellStyle name="_Arrears 2 (Raj)_audit adjustment 2007_ORIGINAL NOP 2009 12 31 USD BASED" xfId="1731"/>
    <cellStyle name="_Arrears 2 (Raj)_audit adjustment 2007_ORIGINAL NOP 2009 12 31 USD BASED_Report Finance" xfId="1732"/>
    <cellStyle name="_Arrears 2 (Raj)_audit adjustment 2007_Recon" xfId="1733"/>
    <cellStyle name="_Arrears 2 (Raj)_audit adjustment 2007_Recon W1" xfId="1734"/>
    <cellStyle name="_Arrears 2 (Raj)_audit adjustment 2007_Recon_1" xfId="1735"/>
    <cellStyle name="_Arrears 2 (Raj)_audit adjustment 2007_Recon_2" xfId="1736"/>
    <cellStyle name="_Arrears 2 (Raj)_audit adjustment 2007_Recon_3" xfId="1737"/>
    <cellStyle name="_Arrears 2 (Raj)_audit adjustment 2007_Reconciliation" xfId="1738"/>
    <cellStyle name="_Arrears 2 (Raj)_audit adjustment 2007_Reconciliation_1" xfId="1739"/>
    <cellStyle name="_Arrears 2 (Raj)_audit adjustment 2007_Reconciliation_2" xfId="1740"/>
    <cellStyle name="_Arrears 2 (Raj)_audit adjustment 2007_Reconciliation_3" xfId="1741"/>
    <cellStyle name="_Arrears 2 (Raj)_audit adjustment 2007_SC_Treasury_Other" xfId="1742"/>
    <cellStyle name="_Arrears 2 (Raj)_audit adjustment 2007_SC_Treasury_Other_Recon" xfId="1743"/>
    <cellStyle name="_Arrears 2 (Raj)_audit adjustment 2007_SC_Treasury_Other_Recon_1" xfId="1744"/>
    <cellStyle name="_Arrears 2 (Raj)_audit adjustment 2007_SC_Treasury_Other_Recon_2" xfId="1745"/>
    <cellStyle name="_Arrears 2 (Raj)_audit adjustment 2007_SC_Treasury_Other_Recon_3" xfId="1746"/>
    <cellStyle name="_Arrears 2 (Raj)_audit adjustment 2007_SC_Treasury_Other_Reconciliation" xfId="1747"/>
    <cellStyle name="_Arrears 2 (Raj)_audit adjustment 2007_SC_Treasury_Other_Reconciliation_1" xfId="1748"/>
    <cellStyle name="_Arrears 2 (Raj)_audit adjustment 2007_Sheet1" xfId="1749"/>
    <cellStyle name="_Arrears 2 (Raj)_BA 610 wkgs &amp; Return - 30 Jun 08" xfId="1750"/>
    <cellStyle name="_Arrears 2 (Raj)_BA 610 wkgs &amp; Return - 30 Jun 08_Recon" xfId="1751"/>
    <cellStyle name="_Arrears 2 (Raj)_BA 610 wkgs &amp; Return - 30 Jun 08_Recon W1" xfId="1752"/>
    <cellStyle name="_Arrears 2 (Raj)_BA 610 wkgs &amp; Return - 30 Jun 08_Recon_1" xfId="1753"/>
    <cellStyle name="_Arrears 2 (Raj)_BA 610 wkgs &amp; Return - 30 Jun 08_Recon_2" xfId="1754"/>
    <cellStyle name="_Arrears 2 (Raj)_BA 610 wkgs &amp; Return - 30 Jun 08_Recon_3" xfId="1755"/>
    <cellStyle name="_Arrears 2 (Raj)_BA 610 wkgs &amp; Return - 30 Jun 08_Reconciliation" xfId="1756"/>
    <cellStyle name="_Arrears 2 (Raj)_BA 610 wkgs &amp; Return - 30 Jun 08_Reconciliation_1" xfId="1757"/>
    <cellStyle name="_Arrears 2 (Raj)_BA 610 wkgs &amp; Return - 30 Jun 08_Reconciliation_2" xfId="1758"/>
    <cellStyle name="_Arrears 2 (Raj)_BA 610 wkgs &amp; Return - 30 Jun 08_Reconciliation_3" xfId="1759"/>
    <cellStyle name="_Arrears 2 (Raj)_BA 610 wkgs &amp; Return - 30 Jun 08_Sheet1" xfId="1760"/>
    <cellStyle name="_Arrears 2 (Raj)_BA 610 wkgs &amp; Return - 30 Sep 08" xfId="1761"/>
    <cellStyle name="_Arrears 2 (Raj)_BA 610 wkgs &amp; Return - 30 Sep 08_Recon" xfId="1762"/>
    <cellStyle name="_Arrears 2 (Raj)_BA 610 wkgs &amp; Return - 30 Sep 08_Recon W1" xfId="1763"/>
    <cellStyle name="_Arrears 2 (Raj)_BA 610 wkgs &amp; Return - 30 Sep 08_Recon_1" xfId="1764"/>
    <cellStyle name="_Arrears 2 (Raj)_BA 610 wkgs &amp; Return - 30 Sep 08_Recon_2" xfId="1765"/>
    <cellStyle name="_Arrears 2 (Raj)_BA 610 wkgs &amp; Return - 30 Sep 08_Recon_3" xfId="1766"/>
    <cellStyle name="_Arrears 2 (Raj)_BA 610 wkgs &amp; Return - 30 Sep 08_Reconciliation" xfId="1767"/>
    <cellStyle name="_Arrears 2 (Raj)_BA 610 wkgs &amp; Return - 30 Sep 08_Reconciliation_1" xfId="1768"/>
    <cellStyle name="_Arrears 2 (Raj)_BA 610 wkgs &amp; Return - 30 Sep 08_Reconciliation_2" xfId="1769"/>
    <cellStyle name="_Arrears 2 (Raj)_BA 610 wkgs &amp; Return - 30 Sep 08_Reconciliation_3" xfId="1770"/>
    <cellStyle name="_Arrears 2 (Raj)_BA 610 wkgs &amp; Return - 30 Sep 08_Sheet1" xfId="1771"/>
    <cellStyle name="_Arrears 2 (Raj)_BA 610 wkgs &amp; Return - 31 Dec 08" xfId="1772"/>
    <cellStyle name="_Arrears 2 (Raj)_BA 610 wkgs &amp; Return - 31 Dec 08 LATEST" xfId="1773"/>
    <cellStyle name="_Arrears 2 (Raj)_BA 610 wkgs &amp; Return - 31 Dec 08 LATEST_Recon" xfId="1774"/>
    <cellStyle name="_Arrears 2 (Raj)_BA 610 wkgs &amp; Return - 31 Dec 08 LATEST_Recon W1" xfId="1775"/>
    <cellStyle name="_Arrears 2 (Raj)_BA 610 wkgs &amp; Return - 31 Dec 08 LATEST_Recon_1" xfId="1776"/>
    <cellStyle name="_Arrears 2 (Raj)_BA 610 wkgs &amp; Return - 31 Dec 08 LATEST_Recon_2" xfId="1777"/>
    <cellStyle name="_Arrears 2 (Raj)_BA 610 wkgs &amp; Return - 31 Dec 08 LATEST_Recon_3" xfId="1778"/>
    <cellStyle name="_Arrears 2 (Raj)_BA 610 wkgs &amp; Return - 31 Dec 08 LATEST_Reconciliation" xfId="1779"/>
    <cellStyle name="_Arrears 2 (Raj)_BA 610 wkgs &amp; Return - 31 Dec 08 LATEST_Reconciliation_1" xfId="1780"/>
    <cellStyle name="_Arrears 2 (Raj)_BA 610 wkgs &amp; Return - 31 Dec 08 LATEST_Reconciliation_2" xfId="1781"/>
    <cellStyle name="_Arrears 2 (Raj)_BA 610 wkgs &amp; Return - 31 Dec 08 LATEST_Reconciliation_3" xfId="1782"/>
    <cellStyle name="_Arrears 2 (Raj)_BA 610 wkgs &amp; Return - 31 Dec 08_Recon" xfId="1783"/>
    <cellStyle name="_Arrears 2 (Raj)_BA 610 wkgs &amp; Return - 31 Dec 08_Recon W1" xfId="1784"/>
    <cellStyle name="_Arrears 2 (Raj)_BA 610 wkgs &amp; Return - 31 Dec 08_Recon_1" xfId="1785"/>
    <cellStyle name="_Arrears 2 (Raj)_BA 610 wkgs &amp; Return - 31 Dec 08_Recon_2" xfId="1786"/>
    <cellStyle name="_Arrears 2 (Raj)_BA 610 wkgs &amp; Return - 31 Dec 08_Recon_3" xfId="1787"/>
    <cellStyle name="_Arrears 2 (Raj)_BA 610 wkgs &amp; Return - 31 Dec 08_Reconciliation" xfId="1788"/>
    <cellStyle name="_Arrears 2 (Raj)_BA 610 wkgs &amp; Return - 31 Dec 08_Reconciliation_1" xfId="1789"/>
    <cellStyle name="_Arrears 2 (Raj)_BA 610 wkgs &amp; Return - 31 Dec 08_Reconciliation_2" xfId="1790"/>
    <cellStyle name="_Arrears 2 (Raj)_BA 610 wkgs &amp; Return - 31 Dec 08_Reconciliation_3" xfId="1791"/>
    <cellStyle name="_Arrears 2 (Raj)_BA 610 wkgs &amp; Return - 31 Dec 08_Sheet1" xfId="1792"/>
    <cellStyle name="_Arrears 2 (Raj)_BA 610 wkgs -31.03.08(Version 2)" xfId="1793"/>
    <cellStyle name="_Arrears 2 (Raj)_BA 610 wkgs -31.03.08(Version 2)_Recon" xfId="1794"/>
    <cellStyle name="_Arrears 2 (Raj)_BA 610 wkgs -31.03.08(Version 2)_Recon W1" xfId="1795"/>
    <cellStyle name="_Arrears 2 (Raj)_BA 610 wkgs -31.03.08(Version 2)_Recon_1" xfId="1796"/>
    <cellStyle name="_Arrears 2 (Raj)_BA 610 wkgs -31.03.08(Version 2)_Recon_2" xfId="1797"/>
    <cellStyle name="_Arrears 2 (Raj)_BA 610 wkgs -31.03.08(Version 2)_Recon_3" xfId="1798"/>
    <cellStyle name="_Arrears 2 (Raj)_BA 610 wkgs -31.03.08(Version 2)_Reconciliation" xfId="1799"/>
    <cellStyle name="_Arrears 2 (Raj)_BA 610 wkgs -31.03.08(Version 2)_Reconciliation_1" xfId="1800"/>
    <cellStyle name="_Arrears 2 (Raj)_BA 610 wkgs -31.03.08(Version 2)_Reconciliation_2" xfId="1801"/>
    <cellStyle name="_Arrears 2 (Raj)_BA 610 wkgs -31.03.08(Version 2)_Reconciliation_3" xfId="1802"/>
    <cellStyle name="_Arrears 2 (Raj)_BA 610 wkgs -31.03.08(Version 2)_Sheet1" xfId="1803"/>
    <cellStyle name="_Arrears 2 (Raj)_Book1" xfId="1804"/>
    <cellStyle name="_Arrears 2 (Raj)_Book1 (4)" xfId="1805"/>
    <cellStyle name="_Arrears 2 (Raj)_Book1_Recon" xfId="1806"/>
    <cellStyle name="_Arrears 2 (Raj)_Book1_Recon W1" xfId="1807"/>
    <cellStyle name="_Arrears 2 (Raj)_Book1_Recon_1" xfId="1808"/>
    <cellStyle name="_Arrears 2 (Raj)_Book1_Recon_2" xfId="1809"/>
    <cellStyle name="_Arrears 2 (Raj)_Book1_Recon_3" xfId="1810"/>
    <cellStyle name="_Arrears 2 (Raj)_Book1_Reconciliation" xfId="1811"/>
    <cellStyle name="_Arrears 2 (Raj)_Book1_Reconciliation_1" xfId="1812"/>
    <cellStyle name="_Arrears 2 (Raj)_Book1_Reconciliation_2" xfId="1813"/>
    <cellStyle name="_Arrears 2 (Raj)_Book1_Reconciliation_3" xfId="1814"/>
    <cellStyle name="_Arrears 2 (Raj)_Book1_Sheet1" xfId="1815"/>
    <cellStyle name="_Arrears 2 (Raj)_Book2 (2)" xfId="1816"/>
    <cellStyle name="_Arrears 2 (Raj)_Book2 (2)_IBM_Grouped(2)" xfId="1817"/>
    <cellStyle name="_Arrears 2 (Raj)_Book2 (2)_IBM_Grouped(2)_Recon" xfId="1818"/>
    <cellStyle name="_Arrears 2 (Raj)_Book2 (2)_IBM_Grouped(2)_Recon to Segmental Report" xfId="1819"/>
    <cellStyle name="_Arrears 2 (Raj)_Book2 (2)_IBM_Grouped(2)_Recon_1" xfId="1820"/>
    <cellStyle name="_Arrears 2 (Raj)_Book2 (2)_IBM_Grouped(2)_Recon_2" xfId="1821"/>
    <cellStyle name="_Arrears 2 (Raj)_Book2 (2)_IBM_Grouped(2)_Recon_3" xfId="1822"/>
    <cellStyle name="_Arrears 2 (Raj)_Book2 (2)_IBM_Grouped(2)_Recon_4" xfId="1823"/>
    <cellStyle name="_Arrears 2 (Raj)_Book2 (2)_IBM_Grouped(2)_Reconciliation" xfId="1824"/>
    <cellStyle name="_Arrears 2 (Raj)_Book2 (2)_IBM_Grouped(2)_Reconciliation_1" xfId="1825"/>
    <cellStyle name="_Arrears 2 (Raj)_Book2 (2)_IBM_Grouped(2)_Reconciliation_2" xfId="1826"/>
    <cellStyle name="_Arrears 2 (Raj)_Book2 (2)_IBM_Grouped(2)_Reconciliation_3" xfId="1827"/>
    <cellStyle name="_Arrears 2 (Raj)_Book2 (2)_Recon" xfId="1828"/>
    <cellStyle name="_Arrears 2 (Raj)_Book2 (2)_Recon W1" xfId="1829"/>
    <cellStyle name="_Arrears 2 (Raj)_Book2 (2)_Recon_1" xfId="1830"/>
    <cellStyle name="_Arrears 2 (Raj)_Book2 (2)_Recon_2" xfId="1831"/>
    <cellStyle name="_Arrears 2 (Raj)_Book2 (2)_Recon_3" xfId="1832"/>
    <cellStyle name="_Arrears 2 (Raj)_Book2 (2)_Reconciliation" xfId="1833"/>
    <cellStyle name="_Arrears 2 (Raj)_Book2 (2)_Reconciliation_1" xfId="1834"/>
    <cellStyle name="_Arrears 2 (Raj)_Book2 (2)_Reconciliation_2" xfId="1835"/>
    <cellStyle name="_Arrears 2 (Raj)_Book2 (2)_Reconciliation_3" xfId="1836"/>
    <cellStyle name="_Arrears 2 (Raj)_Book3" xfId="1837"/>
    <cellStyle name="_Arrears 2 (Raj)_Book3_31.12.09 Mauritius-USD based ledger - Final1" xfId="1838"/>
    <cellStyle name="_Arrears 2 (Raj)_Book3_Book4" xfId="1839"/>
    <cellStyle name="_Arrears 2 (Raj)_Book3_Book4_IBM_Grouped(2)" xfId="1840"/>
    <cellStyle name="_Arrears 2 (Raj)_Book3_Book4_IBM_Grouped(2)_Recon" xfId="1841"/>
    <cellStyle name="_Arrears 2 (Raj)_Book3_Book4_IBM_Grouped(2)_Recon to Segmental Report" xfId="1842"/>
    <cellStyle name="_Arrears 2 (Raj)_Book3_Book4_IBM_Grouped(2)_Recon_1" xfId="1843"/>
    <cellStyle name="_Arrears 2 (Raj)_Book3_Book4_IBM_Grouped(2)_Recon_2" xfId="1844"/>
    <cellStyle name="_Arrears 2 (Raj)_Book3_Book4_IBM_Grouped(2)_Recon_3" xfId="1845"/>
    <cellStyle name="_Arrears 2 (Raj)_Book3_Book4_IBM_Grouped(2)_Recon_4" xfId="1846"/>
    <cellStyle name="_Arrears 2 (Raj)_Book3_Book4_IBM_Grouped(2)_Reconciliation" xfId="1847"/>
    <cellStyle name="_Arrears 2 (Raj)_Book3_Book4_IBM_Grouped(2)_Reconciliation_1" xfId="1848"/>
    <cellStyle name="_Arrears 2 (Raj)_Book3_Book4_IBM_Grouped(2)_Reconciliation_2" xfId="1849"/>
    <cellStyle name="_Arrears 2 (Raj)_Book3_Book4_IBM_Grouped(2)_Reconciliation_3" xfId="1850"/>
    <cellStyle name="_Arrears 2 (Raj)_Book3_Book4_Recon" xfId="1851"/>
    <cellStyle name="_Arrears 2 (Raj)_Book3_Book4_Recon W1" xfId="1852"/>
    <cellStyle name="_Arrears 2 (Raj)_Book3_Book4_Recon_1" xfId="1853"/>
    <cellStyle name="_Arrears 2 (Raj)_Book3_Book4_Recon_2" xfId="1854"/>
    <cellStyle name="_Arrears 2 (Raj)_Book3_Book4_Recon_3" xfId="1855"/>
    <cellStyle name="_Arrears 2 (Raj)_Book3_Book4_Reconciliation" xfId="1856"/>
    <cellStyle name="_Arrears 2 (Raj)_Book3_Book4_Reconciliation_1" xfId="1857"/>
    <cellStyle name="_Arrears 2 (Raj)_Book3_Book4_Reconciliation_2" xfId="1858"/>
    <cellStyle name="_Arrears 2 (Raj)_Book3_Book4_Reconciliation_3" xfId="1859"/>
    <cellStyle name="_Arrears 2 (Raj)_Book3_Book5" xfId="1860"/>
    <cellStyle name="_Arrears 2 (Raj)_Book3_Book5_(19) Loan Feb-11(Feb-11 figures)" xfId="1861"/>
    <cellStyle name="_Arrears 2 (Raj)_Book3_capital adequacy September 2009" xfId="1862"/>
    <cellStyle name="_Arrears 2 (Raj)_Book3_capital adequacy September 2009_IBM_Grouped(2)" xfId="1863"/>
    <cellStyle name="_Arrears 2 (Raj)_Book3_capital adequacy September 2009_IBM_Grouped(2)_Recon" xfId="1864"/>
    <cellStyle name="_Arrears 2 (Raj)_Book3_capital adequacy September 2009_IBM_Grouped(2)_Recon to Segmental Report" xfId="1865"/>
    <cellStyle name="_Arrears 2 (Raj)_Book3_capital adequacy September 2009_IBM_Grouped(2)_Recon_1" xfId="1866"/>
    <cellStyle name="_Arrears 2 (Raj)_Book3_capital adequacy September 2009_IBM_Grouped(2)_Recon_2" xfId="1867"/>
    <cellStyle name="_Arrears 2 (Raj)_Book3_capital adequacy September 2009_IBM_Grouped(2)_Recon_3" xfId="1868"/>
    <cellStyle name="_Arrears 2 (Raj)_Book3_capital adequacy September 2009_IBM_Grouped(2)_Recon_4" xfId="1869"/>
    <cellStyle name="_Arrears 2 (Raj)_Book3_capital adequacy September 2009_IBM_Grouped(2)_Reconciliation" xfId="1870"/>
    <cellStyle name="_Arrears 2 (Raj)_Book3_capital adequacy September 2009_IBM_Grouped(2)_Reconciliation_1" xfId="1871"/>
    <cellStyle name="_Arrears 2 (Raj)_Book3_capital adequacy September 2009_IBM_Grouped(2)_Reconciliation_2" xfId="1872"/>
    <cellStyle name="_Arrears 2 (Raj)_Book3_capital adequacy September 2009_IBM_Grouped(2)_Reconciliation_3" xfId="1873"/>
    <cellStyle name="_Arrears 2 (Raj)_Book3_capital adequacy September 2009_Recon" xfId="1874"/>
    <cellStyle name="_Arrears 2 (Raj)_Book3_capital adequacy September 2009_Recon W1" xfId="1875"/>
    <cellStyle name="_Arrears 2 (Raj)_Book3_capital adequacy September 2009_Recon_1" xfId="1876"/>
    <cellStyle name="_Arrears 2 (Raj)_Book3_capital adequacy September 2009_Recon_2" xfId="1877"/>
    <cellStyle name="_Arrears 2 (Raj)_Book3_capital adequacy September 2009_Recon_3" xfId="1878"/>
    <cellStyle name="_Arrears 2 (Raj)_Book3_capital adequacy September 2009_Reconciliation" xfId="1879"/>
    <cellStyle name="_Arrears 2 (Raj)_Book3_capital adequacy September 2009_Reconciliation_1" xfId="1880"/>
    <cellStyle name="_Arrears 2 (Raj)_Book3_capital adequacy September 2009_Reconciliation_2" xfId="1881"/>
    <cellStyle name="_Arrears 2 (Raj)_Book3_capital adequacy September 2009_Reconciliation_3" xfId="1882"/>
    <cellStyle name="_Arrears 2 (Raj)_Book3_Copy of Mauritius-USD based ledger" xfId="1883"/>
    <cellStyle name="_Arrears 2 (Raj)_Book3_Copy of Mauritius-USD based ledger_Recon" xfId="1884"/>
    <cellStyle name="_Arrears 2 (Raj)_Book3_Copy of Mauritius-USD based ledger_Recon W1" xfId="1885"/>
    <cellStyle name="_Arrears 2 (Raj)_Book3_Copy of Mauritius-USD based ledger_Recon_1" xfId="1886"/>
    <cellStyle name="_Arrears 2 (Raj)_Book3_Copy of Mauritius-USD based ledger_Recon_2" xfId="1887"/>
    <cellStyle name="_Arrears 2 (Raj)_Book3_Copy of Mauritius-USD based ledger_Recon_3" xfId="1888"/>
    <cellStyle name="_Arrears 2 (Raj)_Book3_Copy of Mauritius-USD based ledger_Reconciliation" xfId="1889"/>
    <cellStyle name="_Arrears 2 (Raj)_Book3_Copy of Mauritius-USD based ledger_Reconciliation_1" xfId="1890"/>
    <cellStyle name="_Arrears 2 (Raj)_Book3_Copy of Mauritius-USD based ledger_Reconciliation_2" xfId="1891"/>
    <cellStyle name="_Arrears 2 (Raj)_Book3_Copy of Mauritius-USD based ledger_Reconciliation_3" xfId="1892"/>
    <cellStyle name="_Arrears 2 (Raj)_Book3_Ops risk Mauritius - Sep 09 split stephanie after adjusment conversion" xfId="1893"/>
    <cellStyle name="_Arrears 2 (Raj)_Book3_Ops risk Mauritius - Sep 09 split stephanie after adjusment conversion_IBM_Grouped(2)" xfId="1894"/>
    <cellStyle name="_Arrears 2 (Raj)_Book3_Ops risk Mauritius - Sep 09 split stephanie after adjusment conversion_IBM_Grouped(2)_Recon" xfId="1895"/>
    <cellStyle name="_Arrears 2 (Raj)_Book3_Ops risk Mauritius - Sep 09 split stephanie after adjusment conversion_IBM_Grouped(2)_Recon to Segmental Report" xfId="1896"/>
    <cellStyle name="_Arrears 2 (Raj)_Book3_Ops risk Mauritius - Sep 09 split stephanie after adjusment conversion_IBM_Grouped(2)_Recon_1" xfId="1897"/>
    <cellStyle name="_Arrears 2 (Raj)_Book3_Ops risk Mauritius - Sep 09 split stephanie after adjusment conversion_IBM_Grouped(2)_Recon_2" xfId="1898"/>
    <cellStyle name="_Arrears 2 (Raj)_Book3_Ops risk Mauritius - Sep 09 split stephanie after adjusment conversion_IBM_Grouped(2)_Recon_3" xfId="1899"/>
    <cellStyle name="_Arrears 2 (Raj)_Book3_Ops risk Mauritius - Sep 09 split stephanie after adjusment conversion_IBM_Grouped(2)_Recon_4" xfId="1900"/>
    <cellStyle name="_Arrears 2 (Raj)_Book3_Ops risk Mauritius - Sep 09 split stephanie after adjusment conversion_IBM_Grouped(2)_Reconciliation" xfId="1901"/>
    <cellStyle name="_Arrears 2 (Raj)_Book3_Ops risk Mauritius - Sep 09 split stephanie after adjusment conversion_IBM_Grouped(2)_Reconciliation_1" xfId="1902"/>
    <cellStyle name="_Arrears 2 (Raj)_Book3_Ops risk Mauritius - Sep 09 split stephanie after adjusment conversion_IBM_Grouped(2)_Reconciliation_2" xfId="1903"/>
    <cellStyle name="_Arrears 2 (Raj)_Book3_Ops risk Mauritius - Sep 09 split stephanie after adjusment conversion_IBM_Grouped(2)_Reconciliation_3" xfId="1904"/>
    <cellStyle name="_Arrears 2 (Raj)_Book3_Ops risk Mauritius - Sep 09 split stephanie after adjusment conversion_Recon" xfId="1905"/>
    <cellStyle name="_Arrears 2 (Raj)_Book3_Ops risk Mauritius - Sep 09 split stephanie after adjusment conversion_Recon W1" xfId="1906"/>
    <cellStyle name="_Arrears 2 (Raj)_Book3_Ops risk Mauritius - Sep 09 split stephanie after adjusment conversion_Recon_1" xfId="1907"/>
    <cellStyle name="_Arrears 2 (Raj)_Book3_Ops risk Mauritius - Sep 09 split stephanie after adjusment conversion_Recon_2" xfId="1908"/>
    <cellStyle name="_Arrears 2 (Raj)_Book3_Ops risk Mauritius - Sep 09 split stephanie after adjusment conversion_Recon_3" xfId="1909"/>
    <cellStyle name="_Arrears 2 (Raj)_Book3_Ops risk Mauritius - Sep 09 split stephanie after adjusment conversion_Reconciliation" xfId="1910"/>
    <cellStyle name="_Arrears 2 (Raj)_Book3_Ops risk Mauritius - Sep 09 split stephanie after adjusment conversion_Reconciliation_1" xfId="1911"/>
    <cellStyle name="_Arrears 2 (Raj)_Book3_Ops risk Mauritius - Sep 09 split stephanie after adjusment conversion_Reconciliation_2" xfId="1912"/>
    <cellStyle name="_Arrears 2 (Raj)_Book3_Ops risk Mauritius - Sep 09 split stephanie after adjusment conversion_Reconciliation_3" xfId="1913"/>
    <cellStyle name="_Arrears 2 (Raj)_Book3_Recon" xfId="1914"/>
    <cellStyle name="_Arrears 2 (Raj)_Book3_Recon W1" xfId="1915"/>
    <cellStyle name="_Arrears 2 (Raj)_Book3_Recon_1" xfId="1916"/>
    <cellStyle name="_Arrears 2 (Raj)_Book3_Recon_2" xfId="1917"/>
    <cellStyle name="_Arrears 2 (Raj)_Book3_Recon_3" xfId="1918"/>
    <cellStyle name="_Arrears 2 (Raj)_Book3_Reconciliation" xfId="1919"/>
    <cellStyle name="_Arrears 2 (Raj)_Book3_Reconciliation_1" xfId="1920"/>
    <cellStyle name="_Arrears 2 (Raj)_Book3_Reconciliation_2" xfId="1921"/>
    <cellStyle name="_Arrears 2 (Raj)_Book3_Reconciliation_3" xfId="1922"/>
    <cellStyle name="_Arrears 2 (Raj)_Book3_RELATED PARTY-2010 05 31" xfId="1923"/>
    <cellStyle name="_Arrears 2 (Raj)_Book3_RELATED PARTY-2010 05 31_(19) Loan Feb-11(Feb-11 figures)" xfId="1924"/>
    <cellStyle name="_Arrears 2 (Raj)_Book3_Sheet1" xfId="1925"/>
    <cellStyle name="_Arrears 2 (Raj)_Book4" xfId="1926"/>
    <cellStyle name="_Arrears 2 (Raj)_Book4_Recon" xfId="1927"/>
    <cellStyle name="_Arrears 2 (Raj)_Book4_Recon W1" xfId="1928"/>
    <cellStyle name="_Arrears 2 (Raj)_Book4_Recon_1" xfId="1929"/>
    <cellStyle name="_Arrears 2 (Raj)_Book4_Recon_2" xfId="1930"/>
    <cellStyle name="_Arrears 2 (Raj)_Book4_Recon_3" xfId="1931"/>
    <cellStyle name="_Arrears 2 (Raj)_Book4_Reconciliation" xfId="1932"/>
    <cellStyle name="_Arrears 2 (Raj)_Book4_Reconciliation_1" xfId="1933"/>
    <cellStyle name="_Arrears 2 (Raj)_Book4_Reconciliation_2" xfId="1934"/>
    <cellStyle name="_Arrears 2 (Raj)_Book4_Reconciliation_3" xfId="1935"/>
    <cellStyle name="_Arrears 2 (Raj)_Book6" xfId="1936"/>
    <cellStyle name="_Arrears 2 (Raj)_Book6_31.12.09 Mauritius-USD based ledger - Final1" xfId="1937"/>
    <cellStyle name="_Arrears 2 (Raj)_Book6_Book4" xfId="1938"/>
    <cellStyle name="_Arrears 2 (Raj)_Book6_Book4_IBM_Grouped(2)" xfId="1939"/>
    <cellStyle name="_Arrears 2 (Raj)_Book6_Book4_IBM_Grouped(2)_Recon" xfId="1940"/>
    <cellStyle name="_Arrears 2 (Raj)_Book6_Book4_IBM_Grouped(2)_Recon to Segmental Report" xfId="1941"/>
    <cellStyle name="_Arrears 2 (Raj)_Book6_Book4_IBM_Grouped(2)_Recon_1" xfId="1942"/>
    <cellStyle name="_Arrears 2 (Raj)_Book6_Book4_IBM_Grouped(2)_Recon_2" xfId="1943"/>
    <cellStyle name="_Arrears 2 (Raj)_Book6_Book4_IBM_Grouped(2)_Recon_3" xfId="1944"/>
    <cellStyle name="_Arrears 2 (Raj)_Book6_Book4_IBM_Grouped(2)_Recon_4" xfId="1945"/>
    <cellStyle name="_Arrears 2 (Raj)_Book6_Book4_IBM_Grouped(2)_Reconciliation" xfId="1946"/>
    <cellStyle name="_Arrears 2 (Raj)_Book6_Book4_IBM_Grouped(2)_Reconciliation_1" xfId="1947"/>
    <cellStyle name="_Arrears 2 (Raj)_Book6_Book4_IBM_Grouped(2)_Reconciliation_2" xfId="1948"/>
    <cellStyle name="_Arrears 2 (Raj)_Book6_Book4_IBM_Grouped(2)_Reconciliation_3" xfId="1949"/>
    <cellStyle name="_Arrears 2 (Raj)_Book6_Book4_Recon" xfId="1950"/>
    <cellStyle name="_Arrears 2 (Raj)_Book6_Book4_Recon W1" xfId="1951"/>
    <cellStyle name="_Arrears 2 (Raj)_Book6_Book4_Recon_1" xfId="1952"/>
    <cellStyle name="_Arrears 2 (Raj)_Book6_Book4_Recon_2" xfId="1953"/>
    <cellStyle name="_Arrears 2 (Raj)_Book6_Book4_Recon_3" xfId="1954"/>
    <cellStyle name="_Arrears 2 (Raj)_Book6_Book4_Reconciliation" xfId="1955"/>
    <cellStyle name="_Arrears 2 (Raj)_Book6_Book4_Reconciliation_1" xfId="1956"/>
    <cellStyle name="_Arrears 2 (Raj)_Book6_Book4_Reconciliation_2" xfId="1957"/>
    <cellStyle name="_Arrears 2 (Raj)_Book6_Book4_Reconciliation_3" xfId="1958"/>
    <cellStyle name="_Arrears 2 (Raj)_Book6_Book5" xfId="1959"/>
    <cellStyle name="_Arrears 2 (Raj)_Book6_Book5_(19) Loan Feb-11(Feb-11 figures)" xfId="1960"/>
    <cellStyle name="_Arrears 2 (Raj)_Book6_capital adequacy September 2009" xfId="1961"/>
    <cellStyle name="_Arrears 2 (Raj)_Book6_capital adequacy September 2009_IBM_Grouped(2)" xfId="1962"/>
    <cellStyle name="_Arrears 2 (Raj)_Book6_capital adequacy September 2009_IBM_Grouped(2)_Recon" xfId="1963"/>
    <cellStyle name="_Arrears 2 (Raj)_Book6_capital adequacy September 2009_IBM_Grouped(2)_Recon to Segmental Report" xfId="1964"/>
    <cellStyle name="_Arrears 2 (Raj)_Book6_capital adequacy September 2009_IBM_Grouped(2)_Recon_1" xfId="1965"/>
    <cellStyle name="_Arrears 2 (Raj)_Book6_capital adequacy September 2009_IBM_Grouped(2)_Recon_2" xfId="1966"/>
    <cellStyle name="_Arrears 2 (Raj)_Book6_capital adequacy September 2009_IBM_Grouped(2)_Recon_3" xfId="1967"/>
    <cellStyle name="_Arrears 2 (Raj)_Book6_capital adequacy September 2009_IBM_Grouped(2)_Recon_4" xfId="1968"/>
    <cellStyle name="_Arrears 2 (Raj)_Book6_capital adequacy September 2009_IBM_Grouped(2)_Reconciliation" xfId="1969"/>
    <cellStyle name="_Arrears 2 (Raj)_Book6_capital adequacy September 2009_IBM_Grouped(2)_Reconciliation_1" xfId="1970"/>
    <cellStyle name="_Arrears 2 (Raj)_Book6_capital adequacy September 2009_IBM_Grouped(2)_Reconciliation_2" xfId="1971"/>
    <cellStyle name="_Arrears 2 (Raj)_Book6_capital adequacy September 2009_IBM_Grouped(2)_Reconciliation_3" xfId="1972"/>
    <cellStyle name="_Arrears 2 (Raj)_Book6_capital adequacy September 2009_Recon" xfId="1973"/>
    <cellStyle name="_Arrears 2 (Raj)_Book6_capital adequacy September 2009_Recon W1" xfId="1974"/>
    <cellStyle name="_Arrears 2 (Raj)_Book6_capital adequacy September 2009_Recon_1" xfId="1975"/>
    <cellStyle name="_Arrears 2 (Raj)_Book6_capital adequacy September 2009_Recon_2" xfId="1976"/>
    <cellStyle name="_Arrears 2 (Raj)_Book6_capital adequacy September 2009_Recon_3" xfId="1977"/>
    <cellStyle name="_Arrears 2 (Raj)_Book6_capital adequacy September 2009_Reconciliation" xfId="1978"/>
    <cellStyle name="_Arrears 2 (Raj)_Book6_capital adequacy September 2009_Reconciliation_1" xfId="1979"/>
    <cellStyle name="_Arrears 2 (Raj)_Book6_capital adequacy September 2009_Reconciliation_2" xfId="1980"/>
    <cellStyle name="_Arrears 2 (Raj)_Book6_capital adequacy September 2009_Reconciliation_3" xfId="1981"/>
    <cellStyle name="_Arrears 2 (Raj)_Book6_Copy of Mauritius-USD based ledger" xfId="1982"/>
    <cellStyle name="_Arrears 2 (Raj)_Book6_Copy of Mauritius-USD based ledger_Recon" xfId="1983"/>
    <cellStyle name="_Arrears 2 (Raj)_Book6_Copy of Mauritius-USD based ledger_Recon W1" xfId="1984"/>
    <cellStyle name="_Arrears 2 (Raj)_Book6_Copy of Mauritius-USD based ledger_Recon_1" xfId="1985"/>
    <cellStyle name="_Arrears 2 (Raj)_Book6_Copy of Mauritius-USD based ledger_Recon_2" xfId="1986"/>
    <cellStyle name="_Arrears 2 (Raj)_Book6_Copy of Mauritius-USD based ledger_Recon_3" xfId="1987"/>
    <cellStyle name="_Arrears 2 (Raj)_Book6_Copy of Mauritius-USD based ledger_Reconciliation" xfId="1988"/>
    <cellStyle name="_Arrears 2 (Raj)_Book6_Copy of Mauritius-USD based ledger_Reconciliation_1" xfId="1989"/>
    <cellStyle name="_Arrears 2 (Raj)_Book6_Copy of Mauritius-USD based ledger_Reconciliation_2" xfId="1990"/>
    <cellStyle name="_Arrears 2 (Raj)_Book6_Copy of Mauritius-USD based ledger_Reconciliation_3" xfId="1991"/>
    <cellStyle name="_Arrears 2 (Raj)_Book6_Ops risk Mauritius - Sep 09 split stephanie after adjusment conversion" xfId="1992"/>
    <cellStyle name="_Arrears 2 (Raj)_Book6_Ops risk Mauritius - Sep 09 split stephanie after adjusment conversion_IBM_Grouped(2)" xfId="1993"/>
    <cellStyle name="_Arrears 2 (Raj)_Book6_Ops risk Mauritius - Sep 09 split stephanie after adjusment conversion_IBM_Grouped(2)_Recon" xfId="1994"/>
    <cellStyle name="_Arrears 2 (Raj)_Book6_Ops risk Mauritius - Sep 09 split stephanie after adjusment conversion_IBM_Grouped(2)_Recon to Segmental Report" xfId="1995"/>
    <cellStyle name="_Arrears 2 (Raj)_Book6_Ops risk Mauritius - Sep 09 split stephanie after adjusment conversion_IBM_Grouped(2)_Recon_1" xfId="1996"/>
    <cellStyle name="_Arrears 2 (Raj)_Book6_Ops risk Mauritius - Sep 09 split stephanie after adjusment conversion_IBM_Grouped(2)_Recon_2" xfId="1997"/>
    <cellStyle name="_Arrears 2 (Raj)_Book6_Ops risk Mauritius - Sep 09 split stephanie after adjusment conversion_IBM_Grouped(2)_Recon_3" xfId="1998"/>
    <cellStyle name="_Arrears 2 (Raj)_Book6_Ops risk Mauritius - Sep 09 split stephanie after adjusment conversion_IBM_Grouped(2)_Recon_4" xfId="1999"/>
    <cellStyle name="_Arrears 2 (Raj)_Book6_Ops risk Mauritius - Sep 09 split stephanie after adjusment conversion_IBM_Grouped(2)_Reconciliation" xfId="2000"/>
    <cellStyle name="_Arrears 2 (Raj)_Book6_Ops risk Mauritius - Sep 09 split stephanie after adjusment conversion_IBM_Grouped(2)_Reconciliation_1" xfId="2001"/>
    <cellStyle name="_Arrears 2 (Raj)_Book6_Ops risk Mauritius - Sep 09 split stephanie after adjusment conversion_IBM_Grouped(2)_Reconciliation_2" xfId="2002"/>
    <cellStyle name="_Arrears 2 (Raj)_Book6_Ops risk Mauritius - Sep 09 split stephanie after adjusment conversion_IBM_Grouped(2)_Reconciliation_3" xfId="2003"/>
    <cellStyle name="_Arrears 2 (Raj)_Book6_Ops risk Mauritius - Sep 09 split stephanie after adjusment conversion_Recon" xfId="2004"/>
    <cellStyle name="_Arrears 2 (Raj)_Book6_Ops risk Mauritius - Sep 09 split stephanie after adjusment conversion_Recon W1" xfId="2005"/>
    <cellStyle name="_Arrears 2 (Raj)_Book6_Ops risk Mauritius - Sep 09 split stephanie after adjusment conversion_Recon_1" xfId="2006"/>
    <cellStyle name="_Arrears 2 (Raj)_Book6_Ops risk Mauritius - Sep 09 split stephanie after adjusment conversion_Recon_2" xfId="2007"/>
    <cellStyle name="_Arrears 2 (Raj)_Book6_Ops risk Mauritius - Sep 09 split stephanie after adjusment conversion_Recon_3" xfId="2008"/>
    <cellStyle name="_Arrears 2 (Raj)_Book6_Ops risk Mauritius - Sep 09 split stephanie after adjusment conversion_Reconciliation" xfId="2009"/>
    <cellStyle name="_Arrears 2 (Raj)_Book6_Ops risk Mauritius - Sep 09 split stephanie after adjusment conversion_Reconciliation_1" xfId="2010"/>
    <cellStyle name="_Arrears 2 (Raj)_Book6_Ops risk Mauritius - Sep 09 split stephanie after adjusment conversion_Reconciliation_2" xfId="2011"/>
    <cellStyle name="_Arrears 2 (Raj)_Book6_Ops risk Mauritius - Sep 09 split stephanie after adjusment conversion_Reconciliation_3" xfId="2012"/>
    <cellStyle name="_Arrears 2 (Raj)_Book6_Recon" xfId="2013"/>
    <cellStyle name="_Arrears 2 (Raj)_Book6_Recon W1" xfId="2014"/>
    <cellStyle name="_Arrears 2 (Raj)_Book6_Recon_1" xfId="2015"/>
    <cellStyle name="_Arrears 2 (Raj)_Book6_Recon_2" xfId="2016"/>
    <cellStyle name="_Arrears 2 (Raj)_Book6_Recon_3" xfId="2017"/>
    <cellStyle name="_Arrears 2 (Raj)_Book6_Reconciliation" xfId="2018"/>
    <cellStyle name="_Arrears 2 (Raj)_Book6_Reconciliation_1" xfId="2019"/>
    <cellStyle name="_Arrears 2 (Raj)_Book6_Reconciliation_2" xfId="2020"/>
    <cellStyle name="_Arrears 2 (Raj)_Book6_Reconciliation_3" xfId="2021"/>
    <cellStyle name="_Arrears 2 (Raj)_Book6_RELATED PARTY-2010 05 31" xfId="2022"/>
    <cellStyle name="_Arrears 2 (Raj)_Book6_RELATED PARTY-2010 05 31_(19) Loan Feb-11(Feb-11 figures)" xfId="2023"/>
    <cellStyle name="_Arrears 2 (Raj)_Book6_Sheet1" xfId="2024"/>
    <cellStyle name="_Arrears 2 (Raj)_BS - Mar 09" xfId="2025"/>
    <cellStyle name="_Arrears 2 (Raj)_BS - Mar 09_IBM_Grouped(2)" xfId="2026"/>
    <cellStyle name="_Arrears 2 (Raj)_BS - Mar 09_IBM_Grouped(2)_Recon" xfId="2027"/>
    <cellStyle name="_Arrears 2 (Raj)_BS - Mar 09_IBM_Grouped(2)_Recon to Segmental Report" xfId="2028"/>
    <cellStyle name="_Arrears 2 (Raj)_BS - Mar 09_IBM_Grouped(2)_Recon_1" xfId="2029"/>
    <cellStyle name="_Arrears 2 (Raj)_BS - Mar 09_IBM_Grouped(2)_Recon_2" xfId="2030"/>
    <cellStyle name="_Arrears 2 (Raj)_BS - Mar 09_IBM_Grouped(2)_Recon_3" xfId="2031"/>
    <cellStyle name="_Arrears 2 (Raj)_BS - Mar 09_IBM_Grouped(2)_Recon_4" xfId="2032"/>
    <cellStyle name="_Arrears 2 (Raj)_BS - Mar 09_IBM_Grouped(2)_Reconciliation" xfId="2033"/>
    <cellStyle name="_Arrears 2 (Raj)_BS - Mar 09_IBM_Grouped(2)_Reconciliation_1" xfId="2034"/>
    <cellStyle name="_Arrears 2 (Raj)_BS - Mar 09_IBM_Grouped(2)_Reconciliation_2" xfId="2035"/>
    <cellStyle name="_Arrears 2 (Raj)_BS - Mar 09_IBM_Grouped(2)_Reconciliation_3" xfId="2036"/>
    <cellStyle name="_Arrears 2 (Raj)_BS - Mar 09_Recon" xfId="2037"/>
    <cellStyle name="_Arrears 2 (Raj)_BS - Mar 09_Recon W1" xfId="2038"/>
    <cellStyle name="_Arrears 2 (Raj)_BS - Mar 09_Recon_1" xfId="2039"/>
    <cellStyle name="_Arrears 2 (Raj)_BS - Mar 09_Recon_2" xfId="2040"/>
    <cellStyle name="_Arrears 2 (Raj)_BS - Mar 09_Recon_3" xfId="2041"/>
    <cellStyle name="_Arrears 2 (Raj)_BS - Mar 09_Reconciliation" xfId="2042"/>
    <cellStyle name="_Arrears 2 (Raj)_BS - Mar 09_Reconciliation_1" xfId="2043"/>
    <cellStyle name="_Arrears 2 (Raj)_BS - Mar 09_Reconciliation_2" xfId="2044"/>
    <cellStyle name="_Arrears 2 (Raj)_BS - Mar 09_Reconciliation_3" xfId="2045"/>
    <cellStyle name="_Arrears 2 (Raj)_BSIS essbase" xfId="2046"/>
    <cellStyle name="_Arrears 2 (Raj)_BSIS essbase_Recon" xfId="2047"/>
    <cellStyle name="_Arrears 2 (Raj)_BSIS essbase_Recon W1" xfId="2048"/>
    <cellStyle name="_Arrears 2 (Raj)_BSIS essbase_Recon_1" xfId="2049"/>
    <cellStyle name="_Arrears 2 (Raj)_BSIS essbase_Recon_2" xfId="2050"/>
    <cellStyle name="_Arrears 2 (Raj)_BSIS essbase_Recon_3" xfId="2051"/>
    <cellStyle name="_Arrears 2 (Raj)_BSIS essbase_Reconciliation" xfId="2052"/>
    <cellStyle name="_Arrears 2 (Raj)_BSIS essbase_Reconciliation_1" xfId="2053"/>
    <cellStyle name="_Arrears 2 (Raj)_BSIS essbase_Reconciliation_2" xfId="2054"/>
    <cellStyle name="_Arrears 2 (Raj)_BSIS essbase_Reconciliation_3" xfId="2055"/>
    <cellStyle name="_Arrears 2 (Raj)_BSIS essbase_Sheet1" xfId="2056"/>
    <cellStyle name="_Arrears 2 (Raj)_capital adequacy September 2009" xfId="2057"/>
    <cellStyle name="_Arrears 2 (Raj)_capital adequacy September 2009_IBM_Grouped(2)" xfId="2058"/>
    <cellStyle name="_Arrears 2 (Raj)_capital adequacy September 2009_IBM_Grouped(2)_Recon" xfId="2059"/>
    <cellStyle name="_Arrears 2 (Raj)_capital adequacy September 2009_IBM_Grouped(2)_Recon to Segmental Report" xfId="2060"/>
    <cellStyle name="_Arrears 2 (Raj)_capital adequacy September 2009_IBM_Grouped(2)_Recon_1" xfId="2061"/>
    <cellStyle name="_Arrears 2 (Raj)_capital adequacy September 2009_IBM_Grouped(2)_Recon_2" xfId="2062"/>
    <cellStyle name="_Arrears 2 (Raj)_capital adequacy September 2009_IBM_Grouped(2)_Recon_3" xfId="2063"/>
    <cellStyle name="_Arrears 2 (Raj)_capital adequacy September 2009_IBM_Grouped(2)_Recon_4" xfId="2064"/>
    <cellStyle name="_Arrears 2 (Raj)_capital adequacy September 2009_IBM_Grouped(2)_Reconciliation" xfId="2065"/>
    <cellStyle name="_Arrears 2 (Raj)_capital adequacy September 2009_IBM_Grouped(2)_Reconciliation_1" xfId="2066"/>
    <cellStyle name="_Arrears 2 (Raj)_capital adequacy September 2009_IBM_Grouped(2)_Reconciliation_2" xfId="2067"/>
    <cellStyle name="_Arrears 2 (Raj)_capital adequacy September 2009_IBM_Grouped(2)_Reconciliation_3" xfId="2068"/>
    <cellStyle name="_Arrears 2 (Raj)_capital adequacy September 2009_Recon" xfId="2069"/>
    <cellStyle name="_Arrears 2 (Raj)_capital adequacy September 2009_Recon W1" xfId="2070"/>
    <cellStyle name="_Arrears 2 (Raj)_capital adequacy September 2009_Recon_1" xfId="2071"/>
    <cellStyle name="_Arrears 2 (Raj)_capital adequacy September 2009_Recon_2" xfId="2072"/>
    <cellStyle name="_Arrears 2 (Raj)_capital adequacy September 2009_Recon_3" xfId="2073"/>
    <cellStyle name="_Arrears 2 (Raj)_capital adequacy September 2009_Reconciliation" xfId="2074"/>
    <cellStyle name="_Arrears 2 (Raj)_capital adequacy September 2009_Reconciliation_1" xfId="2075"/>
    <cellStyle name="_Arrears 2 (Raj)_capital adequacy September 2009_Reconciliation_2" xfId="2076"/>
    <cellStyle name="_Arrears 2 (Raj)_capital adequacy September 2009_Reconciliation_3" xfId="2077"/>
    <cellStyle name="_Arrears 2 (Raj)_Detailed BS Dec 08" xfId="2078"/>
    <cellStyle name="_Arrears 2 (Raj)_Detailed BS Dec 08_IBM_Grouped(2)" xfId="2079"/>
    <cellStyle name="_Arrears 2 (Raj)_Detailed BS Dec 08_IBM_Grouped(2)_Recon" xfId="2080"/>
    <cellStyle name="_Arrears 2 (Raj)_Detailed BS Dec 08_IBM_Grouped(2)_Recon to Segmental Report" xfId="2081"/>
    <cellStyle name="_Arrears 2 (Raj)_Detailed BS Dec 08_IBM_Grouped(2)_Recon_1" xfId="2082"/>
    <cellStyle name="_Arrears 2 (Raj)_Detailed BS Dec 08_IBM_Grouped(2)_Recon_2" xfId="2083"/>
    <cellStyle name="_Arrears 2 (Raj)_Detailed BS Dec 08_IBM_Grouped(2)_Recon_3" xfId="2084"/>
    <cellStyle name="_Arrears 2 (Raj)_Detailed BS Dec 08_IBM_Grouped(2)_Recon_4" xfId="2085"/>
    <cellStyle name="_Arrears 2 (Raj)_Detailed BS Dec 08_IBM_Grouped(2)_Reconciliation" xfId="2086"/>
    <cellStyle name="_Arrears 2 (Raj)_Detailed BS Dec 08_IBM_Grouped(2)_Reconciliation_1" xfId="2087"/>
    <cellStyle name="_Arrears 2 (Raj)_Detailed BS Dec 08_IBM_Grouped(2)_Reconciliation_2" xfId="2088"/>
    <cellStyle name="_Arrears 2 (Raj)_Detailed BS Dec 08_IBM_Grouped(2)_Reconciliation_3" xfId="2089"/>
    <cellStyle name="_Arrears 2 (Raj)_Detailed BS Dec 08_Recon" xfId="2090"/>
    <cellStyle name="_Arrears 2 (Raj)_Detailed BS Dec 08_Recon W1" xfId="2091"/>
    <cellStyle name="_Arrears 2 (Raj)_Detailed BS Dec 08_Recon_1" xfId="2092"/>
    <cellStyle name="_Arrears 2 (Raj)_Detailed BS Dec 08_Recon_2" xfId="2093"/>
    <cellStyle name="_Arrears 2 (Raj)_Detailed BS Dec 08_Recon_3" xfId="2094"/>
    <cellStyle name="_Arrears 2 (Raj)_Detailed BS Dec 08_Reconciliation" xfId="2095"/>
    <cellStyle name="_Arrears 2 (Raj)_Detailed BS Dec 08_Reconciliation_1" xfId="2096"/>
    <cellStyle name="_Arrears 2 (Raj)_Detailed BS Dec 08_Reconciliation_2" xfId="2097"/>
    <cellStyle name="_Arrears 2 (Raj)_Detailed BS Dec 08_Reconciliation_3" xfId="2098"/>
    <cellStyle name="_Arrears 2 (Raj)_Detailed BS Jan 09" xfId="2099"/>
    <cellStyle name="_Arrears 2 (Raj)_Detailed BS Jan 09_IBM_Grouped(2)" xfId="2100"/>
    <cellStyle name="_Arrears 2 (Raj)_Detailed BS Jan 09_IBM_Grouped(2)_Recon" xfId="2101"/>
    <cellStyle name="_Arrears 2 (Raj)_Detailed BS Jan 09_IBM_Grouped(2)_Recon to Segmental Report" xfId="2102"/>
    <cellStyle name="_Arrears 2 (Raj)_Detailed BS Jan 09_IBM_Grouped(2)_Recon_1" xfId="2103"/>
    <cellStyle name="_Arrears 2 (Raj)_Detailed BS Jan 09_IBM_Grouped(2)_Recon_2" xfId="2104"/>
    <cellStyle name="_Arrears 2 (Raj)_Detailed BS Jan 09_IBM_Grouped(2)_Recon_3" xfId="2105"/>
    <cellStyle name="_Arrears 2 (Raj)_Detailed BS Jan 09_IBM_Grouped(2)_Recon_4" xfId="2106"/>
    <cellStyle name="_Arrears 2 (Raj)_Detailed BS Jan 09_IBM_Grouped(2)_Reconciliation" xfId="2107"/>
    <cellStyle name="_Arrears 2 (Raj)_Detailed BS Jan 09_IBM_Grouped(2)_Reconciliation_1" xfId="2108"/>
    <cellStyle name="_Arrears 2 (Raj)_Detailed BS Jan 09_IBM_Grouped(2)_Reconciliation_2" xfId="2109"/>
    <cellStyle name="_Arrears 2 (Raj)_Detailed BS Jan 09_IBM_Grouped(2)_Reconciliation_3" xfId="2110"/>
    <cellStyle name="_Arrears 2 (Raj)_Detailed BS Jan 09_Recon" xfId="2111"/>
    <cellStyle name="_Arrears 2 (Raj)_Detailed BS Jan 09_Recon W1" xfId="2112"/>
    <cellStyle name="_Arrears 2 (Raj)_Detailed BS Jan 09_Recon_1" xfId="2113"/>
    <cellStyle name="_Arrears 2 (Raj)_Detailed BS Jan 09_Recon_2" xfId="2114"/>
    <cellStyle name="_Arrears 2 (Raj)_Detailed BS Jan 09_Recon_3" xfId="2115"/>
    <cellStyle name="_Arrears 2 (Raj)_Detailed BS Jan 09_Reconciliation" xfId="2116"/>
    <cellStyle name="_Arrears 2 (Raj)_Detailed BS Jan 09_Reconciliation_1" xfId="2117"/>
    <cellStyle name="_Arrears 2 (Raj)_Detailed BS Jan 09_Reconciliation_2" xfId="2118"/>
    <cellStyle name="_Arrears 2 (Raj)_Detailed BS Jan 09_Reconciliation_3" xfId="2119"/>
    <cellStyle name="_Arrears 2 (Raj)_Detailed BS Jun 09" xfId="2120"/>
    <cellStyle name="_Arrears 2 (Raj)_Detailed BS Jun 09_IBM_Grouped(2)" xfId="2121"/>
    <cellStyle name="_Arrears 2 (Raj)_Detailed BS Jun 09_IBM_Grouped(2)_Recon" xfId="2122"/>
    <cellStyle name="_Arrears 2 (Raj)_Detailed BS Jun 09_IBM_Grouped(2)_Recon to Segmental Report" xfId="2123"/>
    <cellStyle name="_Arrears 2 (Raj)_Detailed BS Jun 09_IBM_Grouped(2)_Recon_1" xfId="2124"/>
    <cellStyle name="_Arrears 2 (Raj)_Detailed BS Jun 09_IBM_Grouped(2)_Recon_2" xfId="2125"/>
    <cellStyle name="_Arrears 2 (Raj)_Detailed BS Jun 09_IBM_Grouped(2)_Recon_3" xfId="2126"/>
    <cellStyle name="_Arrears 2 (Raj)_Detailed BS Jun 09_IBM_Grouped(2)_Recon_4" xfId="2127"/>
    <cellStyle name="_Arrears 2 (Raj)_Detailed BS Jun 09_IBM_Grouped(2)_Reconciliation" xfId="2128"/>
    <cellStyle name="_Arrears 2 (Raj)_Detailed BS Jun 09_IBM_Grouped(2)_Reconciliation_1" xfId="2129"/>
    <cellStyle name="_Arrears 2 (Raj)_Detailed BS Jun 09_IBM_Grouped(2)_Reconciliation_2" xfId="2130"/>
    <cellStyle name="_Arrears 2 (Raj)_Detailed BS Jun 09_IBM_Grouped(2)_Reconciliation_3" xfId="2131"/>
    <cellStyle name="_Arrears 2 (Raj)_Detailed BS Jun 09_Recon" xfId="2132"/>
    <cellStyle name="_Arrears 2 (Raj)_Detailed BS Jun 09_Recon W1" xfId="2133"/>
    <cellStyle name="_Arrears 2 (Raj)_Detailed BS Jun 09_Recon_1" xfId="2134"/>
    <cellStyle name="_Arrears 2 (Raj)_Detailed BS Jun 09_Recon_2" xfId="2135"/>
    <cellStyle name="_Arrears 2 (Raj)_Detailed BS Jun 09_Recon_3" xfId="2136"/>
    <cellStyle name="_Arrears 2 (Raj)_Detailed BS Jun 09_Reconciliation" xfId="2137"/>
    <cellStyle name="_Arrears 2 (Raj)_Detailed BS Jun 09_Reconciliation_1" xfId="2138"/>
    <cellStyle name="_Arrears 2 (Raj)_Detailed BS Jun 09_Reconciliation_2" xfId="2139"/>
    <cellStyle name="_Arrears 2 (Raj)_Detailed BS Jun 09_Reconciliation_3" xfId="2140"/>
    <cellStyle name="_Arrears 2 (Raj)_Detailed BS June08" xfId="2141"/>
    <cellStyle name="_Arrears 2 (Raj)_Detailed BS June08_31.12.09 Mauritius-USD based ledger - Final1" xfId="2142"/>
    <cellStyle name="_Arrears 2 (Raj)_Detailed BS June08_Book4" xfId="2143"/>
    <cellStyle name="_Arrears 2 (Raj)_Detailed BS June08_Book4_IBM_Grouped(2)" xfId="2144"/>
    <cellStyle name="_Arrears 2 (Raj)_Detailed BS June08_Book4_IBM_Grouped(2)_Recon" xfId="2145"/>
    <cellStyle name="_Arrears 2 (Raj)_Detailed BS June08_Book4_IBM_Grouped(2)_Recon to Segmental Report" xfId="2146"/>
    <cellStyle name="_Arrears 2 (Raj)_Detailed BS June08_Book4_IBM_Grouped(2)_Recon_1" xfId="2147"/>
    <cellStyle name="_Arrears 2 (Raj)_Detailed BS June08_Book4_IBM_Grouped(2)_Recon_2" xfId="2148"/>
    <cellStyle name="_Arrears 2 (Raj)_Detailed BS June08_Book4_IBM_Grouped(2)_Recon_3" xfId="2149"/>
    <cellStyle name="_Arrears 2 (Raj)_Detailed BS June08_Book4_IBM_Grouped(2)_Recon_4" xfId="2150"/>
    <cellStyle name="_Arrears 2 (Raj)_Detailed BS June08_Book4_IBM_Grouped(2)_Reconciliation" xfId="2151"/>
    <cellStyle name="_Arrears 2 (Raj)_Detailed BS June08_Book4_IBM_Grouped(2)_Reconciliation_1" xfId="2152"/>
    <cellStyle name="_Arrears 2 (Raj)_Detailed BS June08_Book4_IBM_Grouped(2)_Reconciliation_2" xfId="2153"/>
    <cellStyle name="_Arrears 2 (Raj)_Detailed BS June08_Book4_IBM_Grouped(2)_Reconciliation_3" xfId="2154"/>
    <cellStyle name="_Arrears 2 (Raj)_Detailed BS June08_Book4_Recon" xfId="2155"/>
    <cellStyle name="_Arrears 2 (Raj)_Detailed BS June08_Book4_Recon W1" xfId="2156"/>
    <cellStyle name="_Arrears 2 (Raj)_Detailed BS June08_Book4_Recon_1" xfId="2157"/>
    <cellStyle name="_Arrears 2 (Raj)_Detailed BS June08_Book4_Recon_2" xfId="2158"/>
    <cellStyle name="_Arrears 2 (Raj)_Detailed BS June08_Book4_Recon_3" xfId="2159"/>
    <cellStyle name="_Arrears 2 (Raj)_Detailed BS June08_Book4_Reconciliation" xfId="2160"/>
    <cellStyle name="_Arrears 2 (Raj)_Detailed BS June08_Book4_Reconciliation_1" xfId="2161"/>
    <cellStyle name="_Arrears 2 (Raj)_Detailed BS June08_Book4_Reconciliation_2" xfId="2162"/>
    <cellStyle name="_Arrears 2 (Raj)_Detailed BS June08_Book4_Reconciliation_3" xfId="2163"/>
    <cellStyle name="_Arrears 2 (Raj)_Detailed BS June08_Book5" xfId="2164"/>
    <cellStyle name="_Arrears 2 (Raj)_Detailed BS June08_Book5_(19) Loan Feb-11(Feb-11 figures)" xfId="2165"/>
    <cellStyle name="_Arrears 2 (Raj)_Detailed BS June08_capital adequacy September 2009" xfId="2166"/>
    <cellStyle name="_Arrears 2 (Raj)_Detailed BS June08_capital adequacy September 2009_IBM_Grouped(2)" xfId="2167"/>
    <cellStyle name="_Arrears 2 (Raj)_Detailed BS June08_capital adequacy September 2009_IBM_Grouped(2)_Recon" xfId="2168"/>
    <cellStyle name="_Arrears 2 (Raj)_Detailed BS June08_capital adequacy September 2009_IBM_Grouped(2)_Recon to Segmental Report" xfId="2169"/>
    <cellStyle name="_Arrears 2 (Raj)_Detailed BS June08_capital adequacy September 2009_IBM_Grouped(2)_Recon_1" xfId="2170"/>
    <cellStyle name="_Arrears 2 (Raj)_Detailed BS June08_capital adequacy September 2009_IBM_Grouped(2)_Recon_2" xfId="2171"/>
    <cellStyle name="_Arrears 2 (Raj)_Detailed BS June08_capital adequacy September 2009_IBM_Grouped(2)_Recon_3" xfId="2172"/>
    <cellStyle name="_Arrears 2 (Raj)_Detailed BS June08_capital adequacy September 2009_IBM_Grouped(2)_Recon_4" xfId="2173"/>
    <cellStyle name="_Arrears 2 (Raj)_Detailed BS June08_capital adequacy September 2009_IBM_Grouped(2)_Reconciliation" xfId="2174"/>
    <cellStyle name="_Arrears 2 (Raj)_Detailed BS June08_capital adequacy September 2009_IBM_Grouped(2)_Reconciliation_1" xfId="2175"/>
    <cellStyle name="_Arrears 2 (Raj)_Detailed BS June08_capital adequacy September 2009_IBM_Grouped(2)_Reconciliation_2" xfId="2176"/>
    <cellStyle name="_Arrears 2 (Raj)_Detailed BS June08_capital adequacy September 2009_IBM_Grouped(2)_Reconciliation_3" xfId="2177"/>
    <cellStyle name="_Arrears 2 (Raj)_Detailed BS June08_capital adequacy September 2009_Recon" xfId="2178"/>
    <cellStyle name="_Arrears 2 (Raj)_Detailed BS June08_capital adequacy September 2009_Recon W1" xfId="2179"/>
    <cellStyle name="_Arrears 2 (Raj)_Detailed BS June08_capital adequacy September 2009_Recon_1" xfId="2180"/>
    <cellStyle name="_Arrears 2 (Raj)_Detailed BS June08_capital adequacy September 2009_Recon_2" xfId="2181"/>
    <cellStyle name="_Arrears 2 (Raj)_Detailed BS June08_capital adequacy September 2009_Recon_3" xfId="2182"/>
    <cellStyle name="_Arrears 2 (Raj)_Detailed BS June08_capital adequacy September 2009_Reconciliation" xfId="2183"/>
    <cellStyle name="_Arrears 2 (Raj)_Detailed BS June08_capital adequacy September 2009_Reconciliation_1" xfId="2184"/>
    <cellStyle name="_Arrears 2 (Raj)_Detailed BS June08_capital adequacy September 2009_Reconciliation_2" xfId="2185"/>
    <cellStyle name="_Arrears 2 (Raj)_Detailed BS June08_capital adequacy September 2009_Reconciliation_3" xfId="2186"/>
    <cellStyle name="_Arrears 2 (Raj)_Detailed BS June08_Copy of Mauritius-USD based ledger" xfId="2187"/>
    <cellStyle name="_Arrears 2 (Raj)_Detailed BS June08_Copy of Mauritius-USD based ledger_Recon" xfId="2188"/>
    <cellStyle name="_Arrears 2 (Raj)_Detailed BS June08_Copy of Mauritius-USD based ledger_Recon W1" xfId="2189"/>
    <cellStyle name="_Arrears 2 (Raj)_Detailed BS June08_Copy of Mauritius-USD based ledger_Recon_1" xfId="2190"/>
    <cellStyle name="_Arrears 2 (Raj)_Detailed BS June08_Copy of Mauritius-USD based ledger_Recon_2" xfId="2191"/>
    <cellStyle name="_Arrears 2 (Raj)_Detailed BS June08_Copy of Mauritius-USD based ledger_Recon_3" xfId="2192"/>
    <cellStyle name="_Arrears 2 (Raj)_Detailed BS June08_Copy of Mauritius-USD based ledger_Reconciliation" xfId="2193"/>
    <cellStyle name="_Arrears 2 (Raj)_Detailed BS June08_Copy of Mauritius-USD based ledger_Reconciliation_1" xfId="2194"/>
    <cellStyle name="_Arrears 2 (Raj)_Detailed BS June08_Copy of Mauritius-USD based ledger_Reconciliation_2" xfId="2195"/>
    <cellStyle name="_Arrears 2 (Raj)_Detailed BS June08_Copy of Mauritius-USD based ledger_Reconciliation_3" xfId="2196"/>
    <cellStyle name="_Arrears 2 (Raj)_Detailed BS June08_Ops risk Mauritius - Sep 09 split stephanie after adjusment conversion" xfId="2197"/>
    <cellStyle name="_Arrears 2 (Raj)_Detailed BS June08_Ops risk Mauritius - Sep 09 split stephanie after adjusment conversion_IBM_Grouped(2)" xfId="2198"/>
    <cellStyle name="_Arrears 2 (Raj)_Detailed BS June08_Ops risk Mauritius - Sep 09 split stephanie after adjusment conversion_IBM_Grouped(2)_Recon" xfId="2199"/>
    <cellStyle name="_Arrears 2 (Raj)_Detailed BS June08_Ops risk Mauritius - Sep 09 split stephanie after adjusment conversion_IBM_Grouped(2)_Recon to Segmental Report" xfId="2200"/>
    <cellStyle name="_Arrears 2 (Raj)_Detailed BS June08_Ops risk Mauritius - Sep 09 split stephanie after adjusment conversion_IBM_Grouped(2)_Recon_1" xfId="2201"/>
    <cellStyle name="_Arrears 2 (Raj)_Detailed BS June08_Ops risk Mauritius - Sep 09 split stephanie after adjusment conversion_IBM_Grouped(2)_Recon_2" xfId="2202"/>
    <cellStyle name="_Arrears 2 (Raj)_Detailed BS June08_Ops risk Mauritius - Sep 09 split stephanie after adjusment conversion_IBM_Grouped(2)_Recon_3" xfId="2203"/>
    <cellStyle name="_Arrears 2 (Raj)_Detailed BS June08_Ops risk Mauritius - Sep 09 split stephanie after adjusment conversion_IBM_Grouped(2)_Recon_4" xfId="2204"/>
    <cellStyle name="_Arrears 2 (Raj)_Detailed BS June08_Ops risk Mauritius - Sep 09 split stephanie after adjusment conversion_IBM_Grouped(2)_Reconciliation" xfId="2205"/>
    <cellStyle name="_Arrears 2 (Raj)_Detailed BS June08_Ops risk Mauritius - Sep 09 split stephanie after adjusment conversion_IBM_Grouped(2)_Reconciliation_1" xfId="2206"/>
    <cellStyle name="_Arrears 2 (Raj)_Detailed BS June08_Ops risk Mauritius - Sep 09 split stephanie after adjusment conversion_IBM_Grouped(2)_Reconciliation_2" xfId="2207"/>
    <cellStyle name="_Arrears 2 (Raj)_Detailed BS June08_Ops risk Mauritius - Sep 09 split stephanie after adjusment conversion_IBM_Grouped(2)_Reconciliation_3" xfId="2208"/>
    <cellStyle name="_Arrears 2 (Raj)_Detailed BS June08_Ops risk Mauritius - Sep 09 split stephanie after adjusment conversion_Recon" xfId="2209"/>
    <cellStyle name="_Arrears 2 (Raj)_Detailed BS June08_Ops risk Mauritius - Sep 09 split stephanie after adjusment conversion_Recon W1" xfId="2210"/>
    <cellStyle name="_Arrears 2 (Raj)_Detailed BS June08_Ops risk Mauritius - Sep 09 split stephanie after adjusment conversion_Recon_1" xfId="2211"/>
    <cellStyle name="_Arrears 2 (Raj)_Detailed BS June08_Ops risk Mauritius - Sep 09 split stephanie after adjusment conversion_Recon_2" xfId="2212"/>
    <cellStyle name="_Arrears 2 (Raj)_Detailed BS June08_Ops risk Mauritius - Sep 09 split stephanie after adjusment conversion_Recon_3" xfId="2213"/>
    <cellStyle name="_Arrears 2 (Raj)_Detailed BS June08_Ops risk Mauritius - Sep 09 split stephanie after adjusment conversion_Reconciliation" xfId="2214"/>
    <cellStyle name="_Arrears 2 (Raj)_Detailed BS June08_Ops risk Mauritius - Sep 09 split stephanie after adjusment conversion_Reconciliation_1" xfId="2215"/>
    <cellStyle name="_Arrears 2 (Raj)_Detailed BS June08_Ops risk Mauritius - Sep 09 split stephanie after adjusment conversion_Reconciliation_2" xfId="2216"/>
    <cellStyle name="_Arrears 2 (Raj)_Detailed BS June08_Ops risk Mauritius - Sep 09 split stephanie after adjusment conversion_Reconciliation_3" xfId="2217"/>
    <cellStyle name="_Arrears 2 (Raj)_Detailed BS June08_Recon" xfId="2218"/>
    <cellStyle name="_Arrears 2 (Raj)_Detailed BS June08_Recon W1" xfId="2219"/>
    <cellStyle name="_Arrears 2 (Raj)_Detailed BS June08_Recon_1" xfId="2220"/>
    <cellStyle name="_Arrears 2 (Raj)_Detailed BS June08_Recon_2" xfId="2221"/>
    <cellStyle name="_Arrears 2 (Raj)_Detailed BS June08_Recon_3" xfId="2222"/>
    <cellStyle name="_Arrears 2 (Raj)_Detailed BS June08_Reconciliation" xfId="2223"/>
    <cellStyle name="_Arrears 2 (Raj)_Detailed BS June08_Reconciliation_1" xfId="2224"/>
    <cellStyle name="_Arrears 2 (Raj)_Detailed BS June08_Reconciliation_2" xfId="2225"/>
    <cellStyle name="_Arrears 2 (Raj)_Detailed BS June08_Reconciliation_3" xfId="2226"/>
    <cellStyle name="_Arrears 2 (Raj)_Detailed BS June08_RELATED PARTY-2010 05 31" xfId="2227"/>
    <cellStyle name="_Arrears 2 (Raj)_Detailed BS June08_RELATED PARTY-2010 05 31_(19) Loan Feb-11(Feb-11 figures)" xfId="2228"/>
    <cellStyle name="_Arrears 2 (Raj)_Detailed BS June08_Sheet1" xfId="2229"/>
    <cellStyle name="_Arrears 2 (Raj)_Detailed BS March 08(1)" xfId="2230"/>
    <cellStyle name="_Arrears 2 (Raj)_Detailed BS March 08(1)_31.12.09 Mauritius-USD based ledger - Final1" xfId="2231"/>
    <cellStyle name="_Arrears 2 (Raj)_Detailed BS March 08(1)_Book4" xfId="2232"/>
    <cellStyle name="_Arrears 2 (Raj)_Detailed BS March 08(1)_Book4_IBM_Grouped(2)" xfId="2233"/>
    <cellStyle name="_Arrears 2 (Raj)_Detailed BS March 08(1)_Book4_IBM_Grouped(2)_Recon" xfId="2234"/>
    <cellStyle name="_Arrears 2 (Raj)_Detailed BS March 08(1)_Book4_IBM_Grouped(2)_Recon to Segmental Report" xfId="2235"/>
    <cellStyle name="_Arrears 2 (Raj)_Detailed BS March 08(1)_Book4_IBM_Grouped(2)_Recon_1" xfId="2236"/>
    <cellStyle name="_Arrears 2 (Raj)_Detailed BS March 08(1)_Book4_IBM_Grouped(2)_Recon_2" xfId="2237"/>
    <cellStyle name="_Arrears 2 (Raj)_Detailed BS March 08(1)_Book4_IBM_Grouped(2)_Recon_3" xfId="2238"/>
    <cellStyle name="_Arrears 2 (Raj)_Detailed BS March 08(1)_Book4_IBM_Grouped(2)_Recon_4" xfId="2239"/>
    <cellStyle name="_Arrears 2 (Raj)_Detailed BS March 08(1)_Book4_IBM_Grouped(2)_Reconciliation" xfId="2240"/>
    <cellStyle name="_Arrears 2 (Raj)_Detailed BS March 08(1)_Book4_IBM_Grouped(2)_Reconciliation_1" xfId="2241"/>
    <cellStyle name="_Arrears 2 (Raj)_Detailed BS March 08(1)_Book4_IBM_Grouped(2)_Reconciliation_2" xfId="2242"/>
    <cellStyle name="_Arrears 2 (Raj)_Detailed BS March 08(1)_Book4_IBM_Grouped(2)_Reconciliation_3" xfId="2243"/>
    <cellStyle name="_Arrears 2 (Raj)_Detailed BS March 08(1)_Book4_Recon" xfId="2244"/>
    <cellStyle name="_Arrears 2 (Raj)_Detailed BS March 08(1)_Book4_Recon W1" xfId="2245"/>
    <cellStyle name="_Arrears 2 (Raj)_Detailed BS March 08(1)_Book4_Recon_1" xfId="2246"/>
    <cellStyle name="_Arrears 2 (Raj)_Detailed BS March 08(1)_Book4_Recon_2" xfId="2247"/>
    <cellStyle name="_Arrears 2 (Raj)_Detailed BS March 08(1)_Book4_Recon_3" xfId="2248"/>
    <cellStyle name="_Arrears 2 (Raj)_Detailed BS March 08(1)_Book4_Reconciliation" xfId="2249"/>
    <cellStyle name="_Arrears 2 (Raj)_Detailed BS March 08(1)_Book4_Reconciliation_1" xfId="2250"/>
    <cellStyle name="_Arrears 2 (Raj)_Detailed BS March 08(1)_Book4_Reconciliation_2" xfId="2251"/>
    <cellStyle name="_Arrears 2 (Raj)_Detailed BS March 08(1)_Book4_Reconciliation_3" xfId="2252"/>
    <cellStyle name="_Arrears 2 (Raj)_Detailed BS March 08(1)_Book5" xfId="2253"/>
    <cellStyle name="_Arrears 2 (Raj)_Detailed BS March 08(1)_Book5_(19) Loan Feb-11(Feb-11 figures)" xfId="2254"/>
    <cellStyle name="_Arrears 2 (Raj)_Detailed BS March 08(1)_capital adequacy September 2009" xfId="2255"/>
    <cellStyle name="_Arrears 2 (Raj)_Detailed BS March 08(1)_capital adequacy September 2009_IBM_Grouped(2)" xfId="2256"/>
    <cellStyle name="_Arrears 2 (Raj)_Detailed BS March 08(1)_capital adequacy September 2009_IBM_Grouped(2)_Recon" xfId="2257"/>
    <cellStyle name="_Arrears 2 (Raj)_Detailed BS March 08(1)_capital adequacy September 2009_IBM_Grouped(2)_Recon to Segmental Report" xfId="2258"/>
    <cellStyle name="_Arrears 2 (Raj)_Detailed BS March 08(1)_capital adequacy September 2009_IBM_Grouped(2)_Recon_1" xfId="2259"/>
    <cellStyle name="_Arrears 2 (Raj)_Detailed BS March 08(1)_capital adequacy September 2009_IBM_Grouped(2)_Recon_2" xfId="2260"/>
    <cellStyle name="_Arrears 2 (Raj)_Detailed BS March 08(1)_capital adequacy September 2009_IBM_Grouped(2)_Recon_3" xfId="2261"/>
    <cellStyle name="_Arrears 2 (Raj)_Detailed BS March 08(1)_capital adequacy September 2009_IBM_Grouped(2)_Recon_4" xfId="2262"/>
    <cellStyle name="_Arrears 2 (Raj)_Detailed BS March 08(1)_capital adequacy September 2009_IBM_Grouped(2)_Reconciliation" xfId="2263"/>
    <cellStyle name="_Arrears 2 (Raj)_Detailed BS March 08(1)_capital adequacy September 2009_IBM_Grouped(2)_Reconciliation_1" xfId="2264"/>
    <cellStyle name="_Arrears 2 (Raj)_Detailed BS March 08(1)_capital adequacy September 2009_IBM_Grouped(2)_Reconciliation_2" xfId="2265"/>
    <cellStyle name="_Arrears 2 (Raj)_Detailed BS March 08(1)_capital adequacy September 2009_IBM_Grouped(2)_Reconciliation_3" xfId="2266"/>
    <cellStyle name="_Arrears 2 (Raj)_Detailed BS March 08(1)_capital adequacy September 2009_Recon" xfId="2267"/>
    <cellStyle name="_Arrears 2 (Raj)_Detailed BS March 08(1)_capital adequacy September 2009_Recon W1" xfId="2268"/>
    <cellStyle name="_Arrears 2 (Raj)_Detailed BS March 08(1)_capital adequacy September 2009_Recon_1" xfId="2269"/>
    <cellStyle name="_Arrears 2 (Raj)_Detailed BS March 08(1)_capital adequacy September 2009_Recon_2" xfId="2270"/>
    <cellStyle name="_Arrears 2 (Raj)_Detailed BS March 08(1)_capital adequacy September 2009_Recon_3" xfId="2271"/>
    <cellStyle name="_Arrears 2 (Raj)_Detailed BS March 08(1)_capital adequacy September 2009_Reconciliation" xfId="2272"/>
    <cellStyle name="_Arrears 2 (Raj)_Detailed BS March 08(1)_capital adequacy September 2009_Reconciliation_1" xfId="2273"/>
    <cellStyle name="_Arrears 2 (Raj)_Detailed BS March 08(1)_capital adequacy September 2009_Reconciliation_2" xfId="2274"/>
    <cellStyle name="_Arrears 2 (Raj)_Detailed BS March 08(1)_capital adequacy September 2009_Reconciliation_3" xfId="2275"/>
    <cellStyle name="_Arrears 2 (Raj)_Detailed BS March 08(1)_Copy of Mauritius-USD based ledger" xfId="2276"/>
    <cellStyle name="_Arrears 2 (Raj)_Detailed BS March 08(1)_Copy of Mauritius-USD based ledger_Recon" xfId="2277"/>
    <cellStyle name="_Arrears 2 (Raj)_Detailed BS March 08(1)_Copy of Mauritius-USD based ledger_Recon W1" xfId="2278"/>
    <cellStyle name="_Arrears 2 (Raj)_Detailed BS March 08(1)_Copy of Mauritius-USD based ledger_Recon_1" xfId="2279"/>
    <cellStyle name="_Arrears 2 (Raj)_Detailed BS March 08(1)_Copy of Mauritius-USD based ledger_Recon_2" xfId="2280"/>
    <cellStyle name="_Arrears 2 (Raj)_Detailed BS March 08(1)_Copy of Mauritius-USD based ledger_Recon_3" xfId="2281"/>
    <cellStyle name="_Arrears 2 (Raj)_Detailed BS March 08(1)_Copy of Mauritius-USD based ledger_Reconciliation" xfId="2282"/>
    <cellStyle name="_Arrears 2 (Raj)_Detailed BS March 08(1)_Copy of Mauritius-USD based ledger_Reconciliation_1" xfId="2283"/>
    <cellStyle name="_Arrears 2 (Raj)_Detailed BS March 08(1)_Copy of Mauritius-USD based ledger_Reconciliation_2" xfId="2284"/>
    <cellStyle name="_Arrears 2 (Raj)_Detailed BS March 08(1)_Copy of Mauritius-USD based ledger_Reconciliation_3" xfId="2285"/>
    <cellStyle name="_Arrears 2 (Raj)_Detailed BS March 08(1)_Limits" xfId="2286"/>
    <cellStyle name="_Arrears 2 (Raj)_Detailed BS March 08(1)_Limits_IBM_Grouped(2)" xfId="2287"/>
    <cellStyle name="_Arrears 2 (Raj)_Detailed BS March 08(1)_Limits_IBM_Grouped(2)_Recon" xfId="2288"/>
    <cellStyle name="_Arrears 2 (Raj)_Detailed BS March 08(1)_Limits_IBM_Grouped(2)_Recon to Segmental Report" xfId="2289"/>
    <cellStyle name="_Arrears 2 (Raj)_Detailed BS March 08(1)_Limits_IBM_Grouped(2)_Recon_1" xfId="2290"/>
    <cellStyle name="_Arrears 2 (Raj)_Detailed BS March 08(1)_Limits_IBM_Grouped(2)_Recon_2" xfId="2291"/>
    <cellStyle name="_Arrears 2 (Raj)_Detailed BS March 08(1)_Limits_IBM_Grouped(2)_Recon_3" xfId="2292"/>
    <cellStyle name="_Arrears 2 (Raj)_Detailed BS March 08(1)_Limits_IBM_Grouped(2)_Recon_4" xfId="2293"/>
    <cellStyle name="_Arrears 2 (Raj)_Detailed BS March 08(1)_Limits_IBM_Grouped(2)_Reconciliation" xfId="2294"/>
    <cellStyle name="_Arrears 2 (Raj)_Detailed BS March 08(1)_Limits_IBM_Grouped(2)_Reconciliation_1" xfId="2295"/>
    <cellStyle name="_Arrears 2 (Raj)_Detailed BS March 08(1)_Limits_IBM_Grouped(2)_Reconciliation_2" xfId="2296"/>
    <cellStyle name="_Arrears 2 (Raj)_Detailed BS March 08(1)_Limits_IBM_Grouped(2)_Reconciliation_3" xfId="2297"/>
    <cellStyle name="_Arrears 2 (Raj)_Detailed BS March 08(1)_Limits_Recon" xfId="2298"/>
    <cellStyle name="_Arrears 2 (Raj)_Detailed BS March 08(1)_Limits_Recon W1" xfId="2299"/>
    <cellStyle name="_Arrears 2 (Raj)_Detailed BS March 08(1)_Limits_Recon_1" xfId="2300"/>
    <cellStyle name="_Arrears 2 (Raj)_Detailed BS March 08(1)_Limits_Recon_2" xfId="2301"/>
    <cellStyle name="_Arrears 2 (Raj)_Detailed BS March 08(1)_Limits_Recon_3" xfId="2302"/>
    <cellStyle name="_Arrears 2 (Raj)_Detailed BS March 08(1)_Limits_Reconciliation" xfId="2303"/>
    <cellStyle name="_Arrears 2 (Raj)_Detailed BS March 08(1)_Limits_Reconciliation_1" xfId="2304"/>
    <cellStyle name="_Arrears 2 (Raj)_Detailed BS March 08(1)_Limits_Reconciliation_2" xfId="2305"/>
    <cellStyle name="_Arrears 2 (Raj)_Detailed BS March 08(1)_Limits_Reconciliation_3" xfId="2306"/>
    <cellStyle name="_Arrears 2 (Raj)_Detailed BS March 08(1)_Ops risk Mauritius - Sep 09 split stephanie after adjusment conversion" xfId="2307"/>
    <cellStyle name="_Arrears 2 (Raj)_Detailed BS March 08(1)_Ops risk Mauritius - Sep 09 split stephanie after adjusment conversion_IBM_Grouped(2)" xfId="2308"/>
    <cellStyle name="_Arrears 2 (Raj)_Detailed BS March 08(1)_Ops risk Mauritius - Sep 09 split stephanie after adjusment conversion_IBM_Grouped(2)_Recon" xfId="2309"/>
    <cellStyle name="_Arrears 2 (Raj)_Detailed BS March 08(1)_Ops risk Mauritius - Sep 09 split stephanie after adjusment conversion_IBM_Grouped(2)_Recon to Segmental Report" xfId="2310"/>
    <cellStyle name="_Arrears 2 (Raj)_Detailed BS March 08(1)_Ops risk Mauritius - Sep 09 split stephanie after adjusment conversion_IBM_Grouped(2)_Recon_1" xfId="2311"/>
    <cellStyle name="_Arrears 2 (Raj)_Detailed BS March 08(1)_Ops risk Mauritius - Sep 09 split stephanie after adjusment conversion_IBM_Grouped(2)_Recon_2" xfId="2312"/>
    <cellStyle name="_Arrears 2 (Raj)_Detailed BS March 08(1)_Ops risk Mauritius - Sep 09 split stephanie after adjusment conversion_IBM_Grouped(2)_Recon_3" xfId="2313"/>
    <cellStyle name="_Arrears 2 (Raj)_Detailed BS March 08(1)_Ops risk Mauritius - Sep 09 split stephanie after adjusment conversion_IBM_Grouped(2)_Recon_4" xfId="2314"/>
    <cellStyle name="_Arrears 2 (Raj)_Detailed BS March 08(1)_Ops risk Mauritius - Sep 09 split stephanie after adjusment conversion_IBM_Grouped(2)_Reconciliation" xfId="2315"/>
    <cellStyle name="_Arrears 2 (Raj)_Detailed BS March 08(1)_Ops risk Mauritius - Sep 09 split stephanie after adjusment conversion_IBM_Grouped(2)_Reconciliation_1" xfId="2316"/>
    <cellStyle name="_Arrears 2 (Raj)_Detailed BS March 08(1)_Ops risk Mauritius - Sep 09 split stephanie after adjusment conversion_IBM_Grouped(2)_Reconciliation_2" xfId="2317"/>
    <cellStyle name="_Arrears 2 (Raj)_Detailed BS March 08(1)_Ops risk Mauritius - Sep 09 split stephanie after adjusment conversion_IBM_Grouped(2)_Reconciliation_3" xfId="2318"/>
    <cellStyle name="_Arrears 2 (Raj)_Detailed BS March 08(1)_Ops risk Mauritius - Sep 09 split stephanie after adjusment conversion_Recon" xfId="2319"/>
    <cellStyle name="_Arrears 2 (Raj)_Detailed BS March 08(1)_Ops risk Mauritius - Sep 09 split stephanie after adjusment conversion_Recon W1" xfId="2320"/>
    <cellStyle name="_Arrears 2 (Raj)_Detailed BS March 08(1)_Ops risk Mauritius - Sep 09 split stephanie after adjusment conversion_Recon_1" xfId="2321"/>
    <cellStyle name="_Arrears 2 (Raj)_Detailed BS March 08(1)_Ops risk Mauritius - Sep 09 split stephanie after adjusment conversion_Recon_2" xfId="2322"/>
    <cellStyle name="_Arrears 2 (Raj)_Detailed BS March 08(1)_Ops risk Mauritius - Sep 09 split stephanie after adjusment conversion_Recon_3" xfId="2323"/>
    <cellStyle name="_Arrears 2 (Raj)_Detailed BS March 08(1)_Ops risk Mauritius - Sep 09 split stephanie after adjusment conversion_Reconciliation" xfId="2324"/>
    <cellStyle name="_Arrears 2 (Raj)_Detailed BS March 08(1)_Ops risk Mauritius - Sep 09 split stephanie after adjusment conversion_Reconciliation_1" xfId="2325"/>
    <cellStyle name="_Arrears 2 (Raj)_Detailed BS March 08(1)_Ops risk Mauritius - Sep 09 split stephanie after adjusment conversion_Reconciliation_2" xfId="2326"/>
    <cellStyle name="_Arrears 2 (Raj)_Detailed BS March 08(1)_Ops risk Mauritius - Sep 09 split stephanie after adjusment conversion_Reconciliation_3" xfId="2327"/>
    <cellStyle name="_Arrears 2 (Raj)_Detailed BS March 08(1)_Recon" xfId="2328"/>
    <cellStyle name="_Arrears 2 (Raj)_Detailed BS March 08(1)_Recon W1" xfId="2329"/>
    <cellStyle name="_Arrears 2 (Raj)_Detailed BS March 08(1)_Recon_1" xfId="2330"/>
    <cellStyle name="_Arrears 2 (Raj)_Detailed BS March 08(1)_Recon_2" xfId="2331"/>
    <cellStyle name="_Arrears 2 (Raj)_Detailed BS March 08(1)_Recon_3" xfId="2332"/>
    <cellStyle name="_Arrears 2 (Raj)_Detailed BS March 08(1)_Reconciliation" xfId="2333"/>
    <cellStyle name="_Arrears 2 (Raj)_Detailed BS March 08(1)_Reconciliation_1" xfId="2334"/>
    <cellStyle name="_Arrears 2 (Raj)_Detailed BS March 08(1)_Reconciliation_2" xfId="2335"/>
    <cellStyle name="_Arrears 2 (Raj)_Detailed BS March 08(1)_Reconciliation_3" xfId="2336"/>
    <cellStyle name="_Arrears 2 (Raj)_Detailed BS March 08(1)_RELATED PARTY-2010 05 31" xfId="2337"/>
    <cellStyle name="_Arrears 2 (Raj)_Detailed BS March 08(1)_RELATED PARTY-2010 05 31_(19) Loan Feb-11(Feb-11 figures)" xfId="2338"/>
    <cellStyle name="_Arrears 2 (Raj)_Detailed BS March 08(1)_Sheet1" xfId="2339"/>
    <cellStyle name="_Arrears 2 (Raj)_Detailed BS March 09" xfId="2340"/>
    <cellStyle name="_Arrears 2 (Raj)_Detailed BS March 09_IBM_Grouped(2)" xfId="2341"/>
    <cellStyle name="_Arrears 2 (Raj)_Detailed BS March 09_IBM_Grouped(2)_Recon" xfId="2342"/>
    <cellStyle name="_Arrears 2 (Raj)_Detailed BS March 09_IBM_Grouped(2)_Recon to Segmental Report" xfId="2343"/>
    <cellStyle name="_Arrears 2 (Raj)_Detailed BS March 09_IBM_Grouped(2)_Recon_1" xfId="2344"/>
    <cellStyle name="_Arrears 2 (Raj)_Detailed BS March 09_IBM_Grouped(2)_Recon_2" xfId="2345"/>
    <cellStyle name="_Arrears 2 (Raj)_Detailed BS March 09_IBM_Grouped(2)_Recon_3" xfId="2346"/>
    <cellStyle name="_Arrears 2 (Raj)_Detailed BS March 09_IBM_Grouped(2)_Recon_4" xfId="2347"/>
    <cellStyle name="_Arrears 2 (Raj)_Detailed BS March 09_IBM_Grouped(2)_Reconciliation" xfId="2348"/>
    <cellStyle name="_Arrears 2 (Raj)_Detailed BS March 09_IBM_Grouped(2)_Reconciliation_1" xfId="2349"/>
    <cellStyle name="_Arrears 2 (Raj)_Detailed BS March 09_IBM_Grouped(2)_Reconciliation_2" xfId="2350"/>
    <cellStyle name="_Arrears 2 (Raj)_Detailed BS March 09_IBM_Grouped(2)_Reconciliation_3" xfId="2351"/>
    <cellStyle name="_Arrears 2 (Raj)_Detailed BS March 09_Recon" xfId="2352"/>
    <cellStyle name="_Arrears 2 (Raj)_Detailed BS March 09_Recon W1" xfId="2353"/>
    <cellStyle name="_Arrears 2 (Raj)_Detailed BS March 09_Recon_1" xfId="2354"/>
    <cellStyle name="_Arrears 2 (Raj)_Detailed BS March 09_Recon_2" xfId="2355"/>
    <cellStyle name="_Arrears 2 (Raj)_Detailed BS March 09_Recon_3" xfId="2356"/>
    <cellStyle name="_Arrears 2 (Raj)_Detailed BS March 09_Reconciliation" xfId="2357"/>
    <cellStyle name="_Arrears 2 (Raj)_Detailed BS March 09_Reconciliation_1" xfId="2358"/>
    <cellStyle name="_Arrears 2 (Raj)_Detailed BS March 09_Reconciliation_2" xfId="2359"/>
    <cellStyle name="_Arrears 2 (Raj)_Detailed BS March 09_Reconciliation_3" xfId="2360"/>
    <cellStyle name="_Arrears 2 (Raj)_Essbase 30-Jun-08" xfId="2361"/>
    <cellStyle name="_Arrears 2 (Raj)_Essbase 30-Jun-08_Recon" xfId="2362"/>
    <cellStyle name="_Arrears 2 (Raj)_Essbase 30-Jun-08_Recon W1" xfId="2363"/>
    <cellStyle name="_Arrears 2 (Raj)_Essbase 30-Jun-08_Recon_1" xfId="2364"/>
    <cellStyle name="_Arrears 2 (Raj)_Essbase 30-Jun-08_Recon_2" xfId="2365"/>
    <cellStyle name="_Arrears 2 (Raj)_Essbase 30-Jun-08_Recon_3" xfId="2366"/>
    <cellStyle name="_Arrears 2 (Raj)_Essbase 30-Jun-08_Reconciliation" xfId="2367"/>
    <cellStyle name="_Arrears 2 (Raj)_Essbase 30-Jun-08_Reconciliation_1" xfId="2368"/>
    <cellStyle name="_Arrears 2 (Raj)_Essbase 30-Jun-08_Reconciliation_2" xfId="2369"/>
    <cellStyle name="_Arrears 2 (Raj)_Essbase 30-Jun-08_Reconciliation_3" xfId="2370"/>
    <cellStyle name="_Arrears 2 (Raj)_Essbase 30-Jun-08_Sheet1" xfId="2371"/>
    <cellStyle name="_Arrears 2 (Raj)_Essbase 31-Jan-09" xfId="2372"/>
    <cellStyle name="_Arrears 2 (Raj)_Essbase 31-Jan-09_Recon" xfId="2373"/>
    <cellStyle name="_Arrears 2 (Raj)_Essbase 31-Jan-09_Recon W1" xfId="2374"/>
    <cellStyle name="_Arrears 2 (Raj)_Essbase 31-Jan-09_Recon_1" xfId="2375"/>
    <cellStyle name="_Arrears 2 (Raj)_Essbase 31-Jan-09_Recon_2" xfId="2376"/>
    <cellStyle name="_Arrears 2 (Raj)_Essbase 31-Jan-09_Recon_3" xfId="2377"/>
    <cellStyle name="_Arrears 2 (Raj)_Essbase 31-Jan-09_Reconciliation" xfId="2378"/>
    <cellStyle name="_Arrears 2 (Raj)_Essbase 31-Jan-09_Reconciliation_1" xfId="2379"/>
    <cellStyle name="_Arrears 2 (Raj)_Essbase 31-Jan-09_Reconciliation_2" xfId="2380"/>
    <cellStyle name="_Arrears 2 (Raj)_Essbase 31-Jan-09_Reconciliation_3" xfId="2381"/>
    <cellStyle name="_Arrears 2 (Raj)_Essbase 31-Jan-09_Sheet1" xfId="2382"/>
    <cellStyle name="_Arrears 2 (Raj)_Essbase 31-Mar-09" xfId="2383"/>
    <cellStyle name="_Arrears 2 (Raj)_Essbase 31-Mar-09_Recon" xfId="2384"/>
    <cellStyle name="_Arrears 2 (Raj)_Essbase 31-Mar-09_Recon W1" xfId="2385"/>
    <cellStyle name="_Arrears 2 (Raj)_Essbase 31-Mar-09_Recon_1" xfId="2386"/>
    <cellStyle name="_Arrears 2 (Raj)_Essbase 31-Mar-09_Recon_2" xfId="2387"/>
    <cellStyle name="_Arrears 2 (Raj)_Essbase 31-Mar-09_Recon_3" xfId="2388"/>
    <cellStyle name="_Arrears 2 (Raj)_Essbase 31-Mar-09_Reconciliation" xfId="2389"/>
    <cellStyle name="_Arrears 2 (Raj)_Essbase 31-Mar-09_Reconciliation_1" xfId="2390"/>
    <cellStyle name="_Arrears 2 (Raj)_Essbase 31-Mar-09_Reconciliation_2" xfId="2391"/>
    <cellStyle name="_Arrears 2 (Raj)_Essbase 31-Mar-09_Reconciliation_3" xfId="2392"/>
    <cellStyle name="_Arrears 2 (Raj)_Essbase 31-Mar-09_Sheet1" xfId="2393"/>
    <cellStyle name="_Arrears 2 (Raj)_Essbase April 2008" xfId="2394"/>
    <cellStyle name="_Arrears 2 (Raj)_Essbase April 2008_Recon" xfId="2395"/>
    <cellStyle name="_Arrears 2 (Raj)_Essbase April 2008_Recon W1" xfId="2396"/>
    <cellStyle name="_Arrears 2 (Raj)_Essbase April 2008_Recon_1" xfId="2397"/>
    <cellStyle name="_Arrears 2 (Raj)_Essbase April 2008_Recon_2" xfId="2398"/>
    <cellStyle name="_Arrears 2 (Raj)_Essbase April 2008_Recon_3" xfId="2399"/>
    <cellStyle name="_Arrears 2 (Raj)_Essbase April 2008_Reconciliation" xfId="2400"/>
    <cellStyle name="_Arrears 2 (Raj)_Essbase April 2008_Reconciliation_1" xfId="2401"/>
    <cellStyle name="_Arrears 2 (Raj)_Essbase April 2008_Reconciliation_2" xfId="2402"/>
    <cellStyle name="_Arrears 2 (Raj)_Essbase April 2008_Reconciliation_3" xfId="2403"/>
    <cellStyle name="_Arrears 2 (Raj)_Essbase April 2008_Sheet1" xfId="2404"/>
    <cellStyle name="_Arrears 2 (Raj)_Essbase March 2008" xfId="2405"/>
    <cellStyle name="_Arrears 2 (Raj)_Essbase March 2008_Recon" xfId="2406"/>
    <cellStyle name="_Arrears 2 (Raj)_Essbase March 2008_Recon W1" xfId="2407"/>
    <cellStyle name="_Arrears 2 (Raj)_Essbase March 2008_Recon_1" xfId="2408"/>
    <cellStyle name="_Arrears 2 (Raj)_Essbase March 2008_Recon_2" xfId="2409"/>
    <cellStyle name="_Arrears 2 (Raj)_Essbase March 2008_Recon_3" xfId="2410"/>
    <cellStyle name="_Arrears 2 (Raj)_Essbase March 2008_Reconciliation" xfId="2411"/>
    <cellStyle name="_Arrears 2 (Raj)_Essbase March 2008_Reconciliation_1" xfId="2412"/>
    <cellStyle name="_Arrears 2 (Raj)_Essbase March 2008_Reconciliation_2" xfId="2413"/>
    <cellStyle name="_Arrears 2 (Raj)_Essbase March 2008_Reconciliation_3" xfId="2414"/>
    <cellStyle name="_Arrears 2 (Raj)_Essbase March 2008_Sheet1" xfId="2415"/>
    <cellStyle name="_Arrears 2 (Raj)_Essbase May 2008" xfId="2416"/>
    <cellStyle name="_Arrears 2 (Raj)_Essbase May 2008_Recon" xfId="2417"/>
    <cellStyle name="_Arrears 2 (Raj)_Essbase May 2008_Recon W1" xfId="2418"/>
    <cellStyle name="_Arrears 2 (Raj)_Essbase May 2008_Recon_1" xfId="2419"/>
    <cellStyle name="_Arrears 2 (Raj)_Essbase May 2008_Recon_2" xfId="2420"/>
    <cellStyle name="_Arrears 2 (Raj)_Essbase May 2008_Recon_3" xfId="2421"/>
    <cellStyle name="_Arrears 2 (Raj)_Essbase May 2008_Reconciliation" xfId="2422"/>
    <cellStyle name="_Arrears 2 (Raj)_Essbase May 2008_Reconciliation_1" xfId="2423"/>
    <cellStyle name="_Arrears 2 (Raj)_Essbase May 2008_Reconciliation_2" xfId="2424"/>
    <cellStyle name="_Arrears 2 (Raj)_Essbase May 2008_Reconciliation_3" xfId="2425"/>
    <cellStyle name="_Arrears 2 (Raj)_Essbase May 2008_Sheet1" xfId="2426"/>
    <cellStyle name="_Arrears 2 (Raj)_Essbase YTD Summary 31-Mar-09" xfId="2427"/>
    <cellStyle name="_Arrears 2 (Raj)_Essbase YTD Summary 31-Mar-09_Recon" xfId="2428"/>
    <cellStyle name="_Arrears 2 (Raj)_Essbase YTD Summary 31-Mar-09_Recon W1" xfId="2429"/>
    <cellStyle name="_Arrears 2 (Raj)_Essbase YTD Summary 31-Mar-09_Recon_1" xfId="2430"/>
    <cellStyle name="_Arrears 2 (Raj)_Essbase YTD Summary 31-Mar-09_Recon_2" xfId="2431"/>
    <cellStyle name="_Arrears 2 (Raj)_Essbase YTD Summary 31-Mar-09_Recon_3" xfId="2432"/>
    <cellStyle name="_Arrears 2 (Raj)_Essbase YTD Summary 31-Mar-09_Reconciliation" xfId="2433"/>
    <cellStyle name="_Arrears 2 (Raj)_Essbase YTD Summary 31-Mar-09_Reconciliation_1" xfId="2434"/>
    <cellStyle name="_Arrears 2 (Raj)_Essbase YTD Summary 31-Mar-09_Reconciliation_2" xfId="2435"/>
    <cellStyle name="_Arrears 2 (Raj)_Essbase YTD Summary 31-Mar-09_Reconciliation_3" xfId="2436"/>
    <cellStyle name="_Arrears 2 (Raj)_Essbase YTD Summary 31-Mar-09_Sheet1" xfId="2437"/>
    <cellStyle name="_Arrears 2 (Raj)_FINANCIALS 30-JUN-08-New Format-Auditors-Reformated" xfId="2438"/>
    <cellStyle name="_Arrears 2 (Raj)_FINANCIALS 30-JUN-08-New Format-Auditors-Reformated_Recon" xfId="2439"/>
    <cellStyle name="_Arrears 2 (Raj)_FINANCIALS 30-JUN-08-New Format-Auditors-Reformated_Recon W1" xfId="2440"/>
    <cellStyle name="_Arrears 2 (Raj)_FINANCIALS 30-JUN-08-New Format-Auditors-Reformated_Recon_1" xfId="2441"/>
    <cellStyle name="_Arrears 2 (Raj)_FINANCIALS 30-JUN-08-New Format-Auditors-Reformated_Recon_2" xfId="2442"/>
    <cellStyle name="_Arrears 2 (Raj)_FINANCIALS 30-JUN-08-New Format-Auditors-Reformated_Recon_3" xfId="2443"/>
    <cellStyle name="_Arrears 2 (Raj)_FINANCIALS 30-JUN-08-New Format-Auditors-Reformated_Reconciliation" xfId="2444"/>
    <cellStyle name="_Arrears 2 (Raj)_FINANCIALS 30-JUN-08-New Format-Auditors-Reformated_Reconciliation_1" xfId="2445"/>
    <cellStyle name="_Arrears 2 (Raj)_FINANCIALS 30-JUN-08-New Format-Auditors-Reformated_Reconciliation_2" xfId="2446"/>
    <cellStyle name="_Arrears 2 (Raj)_FINANCIALS 30-JUN-08-New Format-Auditors-Reformated_Reconciliation_3" xfId="2447"/>
    <cellStyle name="_Arrears 2 (Raj)_FINANCIALS 30-JUN-08-New Format-Auditors-Reformated_Sheet1" xfId="2448"/>
    <cellStyle name="_Arrears 2 (Raj)_Fixed Assets Register 11 Feb10" xfId="2449"/>
    <cellStyle name="_Arrears 2 (Raj)_Fixed Assets Register 11 Feb10_(19) Loan Feb-11(Feb-11 figures)" xfId="2450"/>
    <cellStyle name="_Arrears 2 (Raj)_Fixed Assets Register 12 Mar10.xls" xfId="2451"/>
    <cellStyle name="_Arrears 2 (Raj)_Fixed Assets Register 12 Mar10.xls_(19) Loan Feb-11(Feb-11 figures)" xfId="2452"/>
    <cellStyle name="_Arrears 2 (Raj)_FV of Derivatives - 30 06 09" xfId="2453"/>
    <cellStyle name="_Arrears 2 (Raj)_FV of Derivatives - 30 06 09_IBM_Grouped(2)" xfId="2454"/>
    <cellStyle name="_Arrears 2 (Raj)_FV of Derivatives - 30 06 09_IBM_Grouped(2)_Recon" xfId="2455"/>
    <cellStyle name="_Arrears 2 (Raj)_FV of Derivatives - 30 06 09_IBM_Grouped(2)_Recon to Segmental Report" xfId="2456"/>
    <cellStyle name="_Arrears 2 (Raj)_FV of Derivatives - 30 06 09_IBM_Grouped(2)_Recon_1" xfId="2457"/>
    <cellStyle name="_Arrears 2 (Raj)_FV of Derivatives - 30 06 09_IBM_Grouped(2)_Recon_2" xfId="2458"/>
    <cellStyle name="_Arrears 2 (Raj)_FV of Derivatives - 30 06 09_IBM_Grouped(2)_Recon_3" xfId="2459"/>
    <cellStyle name="_Arrears 2 (Raj)_FV of Derivatives - 30 06 09_IBM_Grouped(2)_Recon_4" xfId="2460"/>
    <cellStyle name="_Arrears 2 (Raj)_FV of Derivatives - 30 06 09_IBM_Grouped(2)_Reconciliation" xfId="2461"/>
    <cellStyle name="_Arrears 2 (Raj)_FV of Derivatives - 30 06 09_IBM_Grouped(2)_Reconciliation_1" xfId="2462"/>
    <cellStyle name="_Arrears 2 (Raj)_FV of Derivatives - 30 06 09_IBM_Grouped(2)_Reconciliation_2" xfId="2463"/>
    <cellStyle name="_Arrears 2 (Raj)_FV of Derivatives - 30 06 09_IBM_Grouped(2)_Reconciliation_3" xfId="2464"/>
    <cellStyle name="_Arrears 2 (Raj)_FV of Derivatives - 30 06 09_Recon" xfId="2465"/>
    <cellStyle name="_Arrears 2 (Raj)_FV of Derivatives - 30 06 09_Recon W1" xfId="2466"/>
    <cellStyle name="_Arrears 2 (Raj)_FV of Derivatives - 30 06 09_Recon_1" xfId="2467"/>
    <cellStyle name="_Arrears 2 (Raj)_FV of Derivatives - 30 06 09_Recon_2" xfId="2468"/>
    <cellStyle name="_Arrears 2 (Raj)_FV of Derivatives - 30 06 09_Recon_3" xfId="2469"/>
    <cellStyle name="_Arrears 2 (Raj)_FV of Derivatives - 30 06 09_Reconciliation" xfId="2470"/>
    <cellStyle name="_Arrears 2 (Raj)_FV of Derivatives - 30 06 09_Reconciliation_1" xfId="2471"/>
    <cellStyle name="_Arrears 2 (Raj)_FV of Derivatives - 30 06 09_Reconciliation_2" xfId="2472"/>
    <cellStyle name="_Arrears 2 (Raj)_FV of Derivatives - 30 06 09_Reconciliation_3" xfId="2473"/>
    <cellStyle name="_Arrears 2 (Raj)_IBM Input Sheet 31.03.2010 v0.4" xfId="2474"/>
    <cellStyle name="_Arrears 2 (Raj)_IBM Input Sheet 31.03.2010 v0.4_(19) Loan Feb-11(Feb-11 figures)" xfId="2475"/>
    <cellStyle name="_Arrears 2 (Raj)_IBM_Grouped(2)" xfId="2476"/>
    <cellStyle name="_Arrears 2 (Raj)_IBM_Grouped(2)_Recon" xfId="2477"/>
    <cellStyle name="_Arrears 2 (Raj)_IBM_Grouped(2)_Recon W1" xfId="2478"/>
    <cellStyle name="_Arrears 2 (Raj)_IBM_Grouped(2)_Recon_1" xfId="2479"/>
    <cellStyle name="_Arrears 2 (Raj)_IBM_Grouped(2)_Recon_2" xfId="2480"/>
    <cellStyle name="_Arrears 2 (Raj)_IBM_Grouped(2)_Recon_3" xfId="2481"/>
    <cellStyle name="_Arrears 2 (Raj)_IBM_Grouped(2)_Reconciliation" xfId="2482"/>
    <cellStyle name="_Arrears 2 (Raj)_IBM_Grouped(2)_Reconciliation_1" xfId="2483"/>
    <cellStyle name="_Arrears 2 (Raj)_IBM_Grouped_USD" xfId="2484"/>
    <cellStyle name="_Arrears 2 (Raj)_IBM_Grouped_ZAR" xfId="2485"/>
    <cellStyle name="_Arrears 2 (Raj)_Income statement projection - 31 March 2009" xfId="2486"/>
    <cellStyle name="_Arrears 2 (Raj)_investec additions" xfId="2487"/>
    <cellStyle name="_Arrears 2 (Raj)_investec additions_Book1 (4)" xfId="2488"/>
    <cellStyle name="_Arrears 2 (Raj)_Journal entries MTM adjustment - Aug 08" xfId="2489"/>
    <cellStyle name="_Arrears 2 (Raj)_Journal entries MTM adjustment - Aug 08_(29) Jan-10 (AL)" xfId="2490"/>
    <cellStyle name="_Arrears 2 (Raj)_Journal entries MTM adjustment - Aug 08_(30) Feb-10 (AL)" xfId="2491"/>
    <cellStyle name="_Arrears 2 (Raj)_Journal entries MTM adjustment - Aug 08_(30) Mar-10 (AL)" xfId="2492"/>
    <cellStyle name="_Arrears 2 (Raj)_Journal entries MTM adjustment - Aug 08_(31) Apr-10 (AL)" xfId="2493"/>
    <cellStyle name="_Arrears 2 (Raj)_Journal entries MTM adjustment - Aug 08_(31) Mar-10 Deposit" xfId="2494"/>
    <cellStyle name="_Arrears 2 (Raj)_Journal entries MTM adjustment - Aug 08_(32) Apr-10 Deposit" xfId="2495"/>
    <cellStyle name="_Arrears 2 (Raj)_Journal entries MTM adjustment - Aug 08_31.12.09 Mauritius-USD based ledger - Final1" xfId="2496"/>
    <cellStyle name="_Arrears 2 (Raj)_Journal entries MTM adjustment - Aug 08_Book1" xfId="2497"/>
    <cellStyle name="_Arrears 2 (Raj)_Journal entries MTM adjustment - Aug 08_Book10" xfId="2498"/>
    <cellStyle name="_Arrears 2 (Raj)_Journal entries MTM adjustment - Aug 08_Book13" xfId="2499"/>
    <cellStyle name="_Arrears 2 (Raj)_Journal entries MTM adjustment - Aug 08_Book16" xfId="2500"/>
    <cellStyle name="_Arrears 2 (Raj)_Journal entries MTM adjustment - Aug 08_Book18" xfId="2501"/>
    <cellStyle name="_Arrears 2 (Raj)_Journal entries MTM adjustment - Aug 08_Book19" xfId="2502"/>
    <cellStyle name="_Arrears 2 (Raj)_Journal entries MTM adjustment - Aug 08_Book4" xfId="2503"/>
    <cellStyle name="_Arrears 2 (Raj)_Journal entries MTM adjustment - Aug 08_Book4_(13) Mar-10-Concentration" xfId="2504"/>
    <cellStyle name="_Arrears 2 (Raj)_Journal entries MTM adjustment - Aug 08_Book4_Book17" xfId="2505"/>
    <cellStyle name="_Arrears 2 (Raj)_Journal entries MTM adjustment - Aug 08_Book4_Book18" xfId="2506"/>
    <cellStyle name="_Arrears 2 (Raj)_Journal entries MTM adjustment - Aug 08_Book4_Book19" xfId="2507"/>
    <cellStyle name="_Arrears 2 (Raj)_Journal entries MTM adjustment - Aug 08_Book4_Book5" xfId="2508"/>
    <cellStyle name="_Arrears 2 (Raj)_Journal entries MTM adjustment - Aug 08_Book5" xfId="2509"/>
    <cellStyle name="_Arrears 2 (Raj)_Journal entries MTM adjustment - Aug 08_Book5_(31) Apr-10 (AL)" xfId="2510"/>
    <cellStyle name="_Arrears 2 (Raj)_Journal entries MTM adjustment - Aug 08_Book6" xfId="2511"/>
    <cellStyle name="_Arrears 2 (Raj)_Journal entries MTM adjustment - Aug 08_Book7" xfId="2512"/>
    <cellStyle name="_Arrears 2 (Raj)_Journal entries MTM adjustment - Aug 08_Book7_(11) Sources of Funds Mar-10" xfId="2513"/>
    <cellStyle name="_Arrears 2 (Raj)_Journal entries MTM adjustment - Aug 08_Book7_(30) Mar-10 (AL)" xfId="2514"/>
    <cellStyle name="_Arrears 2 (Raj)_Journal entries MTM adjustment - Aug 08_Book7_(31) Apr-10 (AL)" xfId="2515"/>
    <cellStyle name="_Arrears 2 (Raj)_Journal entries MTM adjustment - Aug 08_Book7_(31) Mar-10 Deposit" xfId="2516"/>
    <cellStyle name="_Arrears 2 (Raj)_Journal entries MTM adjustment - Aug 08_Book7_(32) Apr-10 Deposit" xfId="2517"/>
    <cellStyle name="_Arrears 2 (Raj)_Journal entries MTM adjustment - Aug 08_Book7_1" xfId="2518"/>
    <cellStyle name="_Arrears 2 (Raj)_Journal entries MTM adjustment - Aug 08_Book7_Book17" xfId="2519"/>
    <cellStyle name="_Arrears 2 (Raj)_Journal entries MTM adjustment - Aug 08_Book7_Book18" xfId="2520"/>
    <cellStyle name="_Arrears 2 (Raj)_Journal entries MTM adjustment - Aug 08_Book7_Book19" xfId="2521"/>
    <cellStyle name="_Arrears 2 (Raj)_Journal entries MTM adjustment - Aug 08_Book9" xfId="2522"/>
    <cellStyle name="_Arrears 2 (Raj)_Journal entries MTM adjustment - Aug 08_capital adequacy September 2009" xfId="2523"/>
    <cellStyle name="_Arrears 2 (Raj)_Journal entries MTM adjustment - Aug 08_Copy of Mauritius-USD based ledger" xfId="2524"/>
    <cellStyle name="_Arrears 2 (Raj)_Journal entries MTM adjustment - Aug 08_FV of Investment - 28 Feb 2010 (2)" xfId="2525"/>
    <cellStyle name="_Arrears 2 (Raj)_Journal entries MTM adjustment - Aug 08_FV of Investment - 30 April 2010 (2)" xfId="2526"/>
    <cellStyle name="_Arrears 2 (Raj)_Journal entries MTM adjustment - Aug 08_FV of Investment - 30 April 2010 (2)_(19) Loan Feb-11(Feb-11 figures)" xfId="2527"/>
    <cellStyle name="_Arrears 2 (Raj)_Journal entries MTM adjustment - Aug 08_FV of Investment - 31 Jan 2010" xfId="2528"/>
    <cellStyle name="_Arrears 2 (Raj)_Journal entries MTM adjustment - Aug 08_FV of Investment - 31 March 2010" xfId="2529"/>
    <cellStyle name="_Arrears 2 (Raj)_Journal entries MTM adjustment - Aug 08_Ops risk Mauritius - Sep 09 split stephanie after adjusment conversion" xfId="2530"/>
    <cellStyle name="_Arrears 2 (Raj)_Journal entries MTM adjustment - Aug 08_RELATED PARTY-2010 05 31" xfId="2531"/>
    <cellStyle name="_Arrears 2 (Raj)_Journal entries MTM adjustment - Aug 08_RELATED PARTY-2010 05 31_(19) Loan Feb-11(Feb-11 figures)" xfId="2532"/>
    <cellStyle name="_Arrears 2 (Raj)_Liquidity and repricing" xfId="2533"/>
    <cellStyle name="_Arrears 2 (Raj)_MUR position" xfId="2534"/>
    <cellStyle name="_Arrears 2 (Raj)_NOP 2010 01 31 USD BASED" xfId="2535"/>
    <cellStyle name="_Arrears 2 (Raj)_NOP 2010 01 31 USD BASED_Report Finance" xfId="2536"/>
    <cellStyle name="_Arrears 2 (Raj)_NOP 2010 02 28 USD BASED Final" xfId="2537"/>
    <cellStyle name="_Arrears 2 (Raj)_NOP 2010 02 28 USD BASED Final_Report Finance" xfId="2538"/>
    <cellStyle name="_Arrears 2 (Raj)_NOP 2010 03 31 USD BASEDrevised" xfId="2539"/>
    <cellStyle name="_Arrears 2 (Raj)_NOP 2010 03 31 USD BASEDrevised_Report Finance" xfId="2540"/>
    <cellStyle name="_Arrears 2 (Raj)_NOP 2010 04 30" xfId="2541"/>
    <cellStyle name="_Arrears 2 (Raj)_NOP 2010 04 30_Report Finance" xfId="2542"/>
    <cellStyle name="_Arrears 2 (Raj)_Opeartional Risk sept 2009" xfId="2543"/>
    <cellStyle name="_Arrears 2 (Raj)_Ops risk Mauritius - Sep 09 split stephanie after adjusment conversion" xfId="2544"/>
    <cellStyle name="_Arrears 2 (Raj)_ORIGINAL NOP 2009 12 31 USD BASED" xfId="2545"/>
    <cellStyle name="_Arrears 2 (Raj)_ORIGINAL NOP 2009 12 31 USD BASED_Report Finance" xfId="2546"/>
    <cellStyle name="_Arrears 2 (Raj)_Poornimah workings" xfId="2547"/>
    <cellStyle name="_Arrears 2 (Raj)_Poornimah workings_Book1 (4)" xfId="2548"/>
    <cellStyle name="_Arrears 2 (Raj)_Provisional tax computation - 31-Mar-09 from Deven" xfId="2549"/>
    <cellStyle name="_Arrears 2 (Raj)_Related Party Dec-08" xfId="2550"/>
    <cellStyle name="_Arrears 2 (Raj)_Report Finance" xfId="2551"/>
    <cellStyle name="_Arrears 2 (Raj)_SARB BOM Comparison 20081231 v3 0" xfId="2552"/>
    <cellStyle name="_Arrears 2 (Raj)_SARB BOM Comparison 20081231 v3 0v from Mahen" xfId="2553"/>
    <cellStyle name="_Arrears 2 (Raj)_SARBResults_1101" xfId="2554"/>
    <cellStyle name="_Arrears 2 (Raj)_SARBResults_1101_31.12.09 Mauritius-USD based ledger - Final1" xfId="2555"/>
    <cellStyle name="_Arrears 2 (Raj)_SARBResults_1101_Book4" xfId="2556"/>
    <cellStyle name="_Arrears 2 (Raj)_SARBResults_1101_Book5" xfId="2557"/>
    <cellStyle name="_Arrears 2 (Raj)_SARBResults_1101_Book5_(19) Loan Feb-11(Feb-11 figures)" xfId="2558"/>
    <cellStyle name="_Arrears 2 (Raj)_SARBResults_1101_capital adequacy September 2009" xfId="2559"/>
    <cellStyle name="_Arrears 2 (Raj)_SARBResults_1101_Copy of Mauritius-USD based ledger" xfId="2560"/>
    <cellStyle name="_Arrears 2 (Raj)_SARBResults_1101_Ops risk Mauritius - Sep 09 split stephanie after adjusment conversion" xfId="2561"/>
    <cellStyle name="_Arrears 2 (Raj)_SARBResults_1101_RELATED PARTY-2010 05 31" xfId="2562"/>
    <cellStyle name="_Arrears 2 (Raj)_SARBResults_1101_RELATED PARTY-2010 05 31_(19) Loan Feb-11(Feb-11 figures)" xfId="2563"/>
    <cellStyle name="_Arrears 2 (Raj)_SARBResults_2697 (vanessa board2)" xfId="2564"/>
    <cellStyle name="_Arrears 2 (Raj)_Segment A and Segment B" xfId="2565"/>
    <cellStyle name="_Arrears 2 (Raj)_Segment A and Segment B_Book1 (4)" xfId="2566"/>
    <cellStyle name="_Arrears 2 (Raj)_Sheet1" xfId="2567"/>
    <cellStyle name="_Arrears 2 (Raj)_Sheet1_1" xfId="2568"/>
    <cellStyle name="_Arrears 2 (Raj)_Statutory Annual Report - 31 03 08" xfId="2569"/>
    <cellStyle name="_Arrears 2 (Raj)_Statutory Annual Report - 31 03 08_31.12.09 Mauritius-USD based ledger - Final1" xfId="2570"/>
    <cellStyle name="_Arrears 2 (Raj)_Statutory Annual Report - 31 03 08_Book4" xfId="2571"/>
    <cellStyle name="_Arrears 2 (Raj)_Statutory Annual Report - 31 03 08_Book5" xfId="2572"/>
    <cellStyle name="_Arrears 2 (Raj)_Statutory Annual Report - 31 03 08_Book5_(19) Loan Feb-11(Feb-11 figures)" xfId="2573"/>
    <cellStyle name="_Arrears 2 (Raj)_Statutory Annual Report - 31 03 08_capital adequacy September 2009" xfId="2574"/>
    <cellStyle name="_Arrears 2 (Raj)_Statutory Annual Report - 31 03 08_Copy of Mauritius-USD based ledger" xfId="2575"/>
    <cellStyle name="_Arrears 2 (Raj)_Statutory Annual Report - 31 03 08_Ops risk Mauritius - Sep 09 split stephanie after adjusment conversion" xfId="2576"/>
    <cellStyle name="_Arrears 2 (Raj)_Statutory Annual Report - 31 03 08_RELATED PARTY-2010 05 31" xfId="2577"/>
    <cellStyle name="_Arrears 2 (Raj)_Statutory Annual Report - 31 03 08_RELATED PARTY-2010 05 31_(19) Loan Feb-11(Feb-11 figures)" xfId="2578"/>
    <cellStyle name="_Arrears 3 - (rAJ)- dd130808" xfId="2579"/>
    <cellStyle name="_Arrears 3 - (rAJ)- dd130808_(26) Oct-09 (AL)" xfId="2580"/>
    <cellStyle name="_Arrears 3 - (rAJ)- dd130808_(27) Nov-09 (AL)" xfId="2581"/>
    <cellStyle name="_Arrears 3 - (rAJ)- dd130808_31.12.09 Mauritius-USD based ledger - Final1" xfId="2582"/>
    <cellStyle name="_Arrears 3 - (rAJ)- dd130808_Book1 (4)" xfId="2583"/>
    <cellStyle name="_Arrears 3 - (rAJ)- dd130808_Book4" xfId="2584"/>
    <cellStyle name="_Arrears 3 - (rAJ)- dd130808_capital adequacy September 2009" xfId="2585"/>
    <cellStyle name="_Arrears 3 - (rAJ)- dd130808_Copy of Mauritius-USD based ledger" xfId="2586"/>
    <cellStyle name="_Arrears 3 - (rAJ)- dd130808_IBM_Grouped(2)" xfId="2587"/>
    <cellStyle name="_Arrears 3 - (rAJ)- dd130808_IBM_Grouped_USD" xfId="2588"/>
    <cellStyle name="_Arrears 3 - (rAJ)- dd130808_IBM_Grouped_ZAR" xfId="2589"/>
    <cellStyle name="_Arrears 3 - (rAJ)- dd130808_Liquidity and repricing" xfId="2590"/>
    <cellStyle name="_Arrears 3 - (rAJ)- dd130808_MUR position" xfId="2591"/>
    <cellStyle name="_Arrears 3 - (rAJ)- dd130808_NOP 2010 01 31 USD BASED" xfId="2592"/>
    <cellStyle name="_Arrears 3 - (rAJ)- dd130808_NOP 2010 01 31 USD BASED_Report Finance" xfId="2593"/>
    <cellStyle name="_Arrears 3 - (rAJ)- dd130808_NOP 2010 02 28 USD BASED Final" xfId="2594"/>
    <cellStyle name="_Arrears 3 - (rAJ)- dd130808_NOP 2010 02 28 USD BASED Final_Report Finance" xfId="2595"/>
    <cellStyle name="_Arrears 3 - (rAJ)- dd130808_NOP 2010 03 31 USD BASEDrevised" xfId="2596"/>
    <cellStyle name="_Arrears 3 - (rAJ)- dd130808_NOP 2010 03 31 USD BASEDrevised_Report Finance" xfId="2597"/>
    <cellStyle name="_Arrears 3 - (rAJ)- dd130808_NOP 2010 04 30" xfId="2598"/>
    <cellStyle name="_Arrears 3 - (rAJ)- dd130808_NOP 2010 04 30_Report Finance" xfId="2599"/>
    <cellStyle name="_Arrears 3 - (rAJ)- dd130808_ORIGINAL NOP 2009 12 31 USD BASED" xfId="2600"/>
    <cellStyle name="_Arrears 3 - (rAJ)- dd130808_ORIGINAL NOP 2009 12 31 USD BASED_Report Finance" xfId="2601"/>
    <cellStyle name="_Arrears 3 - (rAJ)- dd130808_Report Finance" xfId="2602"/>
    <cellStyle name="_Arrears 3 - (rAJ)- dd130808_Sheet1" xfId="2603"/>
    <cellStyle name="_Arrears 3 - (rAJ)- dd130808_Sheet1_1" xfId="2604"/>
    <cellStyle name="_Arrears 4 -Raj" xfId="2605"/>
    <cellStyle name="_Arrears 4 -Raj_(26) Oct-09 (AL)" xfId="2606"/>
    <cellStyle name="_Arrears 4 -Raj_(27) Nov-09 (AL)" xfId="2607"/>
    <cellStyle name="_Arrears 4 -Raj_31.12.09 Mauritius-USD based ledger - Final1" xfId="2608"/>
    <cellStyle name="_Arrears 4 -Raj_Book1 (4)" xfId="2609"/>
    <cellStyle name="_Arrears 4 -Raj_Book4" xfId="2610"/>
    <cellStyle name="_Arrears 4 -Raj_capital adequacy September 2009" xfId="2611"/>
    <cellStyle name="_Arrears 4 -Raj_Copy of Mauritius-USD based ledger" xfId="2612"/>
    <cellStyle name="_Arrears 4 -Raj_IBM_Grouped(2)" xfId="2613"/>
    <cellStyle name="_Arrears 4 -Raj_IBM_Grouped_USD" xfId="2614"/>
    <cellStyle name="_Arrears 4 -Raj_IBM_Grouped_ZAR" xfId="2615"/>
    <cellStyle name="_Arrears 4 -Raj_Liquidity and repricing" xfId="2616"/>
    <cellStyle name="_Arrears 4 -Raj_MUR position" xfId="2617"/>
    <cellStyle name="_Arrears 4 -Raj_NOP 2010 01 31 USD BASED" xfId="2618"/>
    <cellStyle name="_Arrears 4 -Raj_NOP 2010 01 31 USD BASED_Report Finance" xfId="2619"/>
    <cellStyle name="_Arrears 4 -Raj_NOP 2010 02 28 USD BASED Final" xfId="2620"/>
    <cellStyle name="_Arrears 4 -Raj_NOP 2010 02 28 USD BASED Final_Report Finance" xfId="2621"/>
    <cellStyle name="_Arrears 4 -Raj_NOP 2010 03 31 USD BASEDrevised" xfId="2622"/>
    <cellStyle name="_Arrears 4 -Raj_NOP 2010 03 31 USD BASEDrevised_Report Finance" xfId="2623"/>
    <cellStyle name="_Arrears 4 -Raj_NOP 2010 04 30" xfId="2624"/>
    <cellStyle name="_Arrears 4 -Raj_NOP 2010 04 30_Report Finance" xfId="2625"/>
    <cellStyle name="_Arrears 4 -Raj_ORIGINAL NOP 2009 12 31 USD BASED" xfId="2626"/>
    <cellStyle name="_Arrears 4 -Raj_ORIGINAL NOP 2009 12 31 USD BASED_Report Finance" xfId="2627"/>
    <cellStyle name="_Arrears 4 -Raj_Report Finance" xfId="2628"/>
    <cellStyle name="_Arrears 4 -Raj_Sheet1" xfId="2629"/>
    <cellStyle name="_Arrears 4 -Raj_Sheet1_1" xfId="2630"/>
    <cellStyle name="_Assets" xfId="2631"/>
    <cellStyle name="_Assets_Sheet1" xfId="2632"/>
    <cellStyle name="_ATG1 - CTD4 conversion" xfId="2633"/>
    <cellStyle name="_ATG1 - CTD4 conversion_Sheet1" xfId="2634"/>
    <cellStyle name="_ATG5_JPG1trfr" xfId="2635"/>
    <cellStyle name="_ATG5_JPG1trfr_Sheet1" xfId="2636"/>
    <cellStyle name="_Aus Arrears Special Mention" xfId="2637"/>
    <cellStyle name="_Aus Arrears Special Mention_(32) Mar-10 Breakdown of Credit" xfId="2638"/>
    <cellStyle name="_Aus Arrears Special Mention_(32) Mar-10 Loan" xfId="2639"/>
    <cellStyle name="_Aus Arrears Special Mention_(33) Apr-10 Breakdown of Credit" xfId="2640"/>
    <cellStyle name="_Aus Arrears Special Mention_(33) Apr-10 Loan" xfId="2641"/>
    <cellStyle name="_Aus Arrears Special Mention_Book15" xfId="2642"/>
    <cellStyle name="_Aus Arrears Special Mention_Book16" xfId="2643"/>
    <cellStyle name="_Aus Arrears Special Mention_Book17" xfId="2644"/>
    <cellStyle name="_Aus Arrears Special Mention_Book17_(19) Loan Feb-11(Feb-11 figures)" xfId="2645"/>
    <cellStyle name="_Aus Arrears Special Mention_Book19" xfId="2646"/>
    <cellStyle name="_Aus Arrears Special Mention_Book19_(19) Loan Feb-11(Feb-11 figures)" xfId="2647"/>
    <cellStyle name="_Aus Arrears Special Mention_Book20" xfId="2648"/>
    <cellStyle name="_Aus Arrears Special Mention_Book8" xfId="2649"/>
    <cellStyle name="_Aus Arrears Special Mention_Book8_(19) Loan Feb-11(Feb-11 figures)" xfId="2650"/>
    <cellStyle name="_Aus Arrears Special Mention_Book9" xfId="2651"/>
    <cellStyle name="_Aus Arrears Special Mention_Book9_(19) Loan Feb-11(Feb-11 figures)" xfId="2652"/>
    <cellStyle name="_Aus Arrears Special Mention_CM - Overview" xfId="2653"/>
    <cellStyle name="_Aus Arrears Special Mention_CM - Overview_(19) Loan Feb-11(Feb-11 figures)" xfId="2654"/>
    <cellStyle name="_AUS management accounts - FEB 08 - FINAL" xfId="2655"/>
    <cellStyle name="_AUS management accounts - FEB 08 - FINAL_(19) Loan Feb-11(Feb-11 figures)" xfId="2656"/>
    <cellStyle name="_AUS management accounts - FEB 08 - FINAL_(32) Mar-10 Breakdown of Credit" xfId="2657"/>
    <cellStyle name="_AUS management accounts - FEB 08 - FINAL_(32) Mar-10 Loan" xfId="2658"/>
    <cellStyle name="_AUS management accounts - FEB 08 - FINAL_(33) Apr-10 Breakdown of Credit" xfId="2659"/>
    <cellStyle name="_AUS management accounts - FEB 08 - FINAL_(33) Apr-10 Loan" xfId="2660"/>
    <cellStyle name="_AUS management accounts - FEB 08 - FINAL_Book15" xfId="2661"/>
    <cellStyle name="_AUS management accounts - FEB 08 - FINAL_Book16" xfId="2662"/>
    <cellStyle name="_AUS management accounts - FEB 08 - FINAL_Book17" xfId="2663"/>
    <cellStyle name="_AUS management accounts - FEB 08 - FINAL_Book19" xfId="2664"/>
    <cellStyle name="_AUS management accounts - FEB 08 - FINAL_Book20" xfId="2665"/>
    <cellStyle name="_AUS management accounts - FEB 08 - FINAL_Book8" xfId="2666"/>
    <cellStyle name="_AUS management accounts - FEB 08 - FINAL_Book9" xfId="2667"/>
    <cellStyle name="_AUS management accounts - FEB 08 - FINAL_CM - Overview" xfId="2668"/>
    <cellStyle name="_B Vandy2" xfId="2669"/>
    <cellStyle name="_B Vandy2_Sheet1" xfId="2670"/>
    <cellStyle name="_Base Case Analysis" xfId="2671"/>
    <cellStyle name="_Base Case Analysis_Report Finance" xfId="2672"/>
    <cellStyle name="_Base Case Analysis_Sheet1" xfId="2673"/>
    <cellStyle name="_Bond Search" xfId="2674"/>
    <cellStyle name="_Bond Search_Report Finance" xfId="2675"/>
    <cellStyle name="_Bond Search_Sheet1" xfId="2676"/>
    <cellStyle name="_Book1 (3)" xfId="2677"/>
    <cellStyle name="_Book10" xfId="2678"/>
    <cellStyle name="_Book10_Report Finance" xfId="2679"/>
    <cellStyle name="_Book10_Sheet1" xfId="2680"/>
    <cellStyle name="_Book11" xfId="2681"/>
    <cellStyle name="_Book11_Sheet1" xfId="2682"/>
    <cellStyle name="_Book4" xfId="2683"/>
    <cellStyle name="_Book4_Report Finance" xfId="2684"/>
    <cellStyle name="_Book4_Sheet1" xfId="2685"/>
    <cellStyle name="_Calculator" xfId="2686"/>
    <cellStyle name="_CDO Bucket" xfId="2687"/>
    <cellStyle name="_CDO of CDO" xfId="2688"/>
    <cellStyle name="_CDO of CDO_Sheet1" xfId="2689"/>
    <cellStyle name="_CDO_surveillance_-_arranger_and_trustee_contact_details(1)" xfId="2690"/>
    <cellStyle name="_CDO_surveillance_-_arranger_and_trustee_contact_details(1)_Sheet1" xfId="2691"/>
    <cellStyle name="_CDO_Warehouse" xfId="2692"/>
    <cellStyle name="_CDS Trades" xfId="2693"/>
    <cellStyle name="_CDS Trades_(05) CAR Dec-07" xfId="2694"/>
    <cellStyle name="_CDS Trades_(05) CAR Dec-07_(26) Oct-09 (AL)" xfId="2695"/>
    <cellStyle name="_CDS Trades_(05) CAR Dec-07_(27) Nov-09 (AL)" xfId="2696"/>
    <cellStyle name="_CDS Trades_(05) CAR Dec-07_31.12.09 Mauritius-USD based ledger - Final1" xfId="2697"/>
    <cellStyle name="_CDS Trades_(05) CAR Dec-07_Book1 (4)" xfId="2698"/>
    <cellStyle name="_CDS Trades_(05) CAR Dec-07_Book4" xfId="2699"/>
    <cellStyle name="_CDS Trades_(05) CAR Dec-07_capital adequacy September 2009" xfId="2700"/>
    <cellStyle name="_CDS Trades_(05) CAR Dec-07_Copy of Mauritius-USD based ledger" xfId="2701"/>
    <cellStyle name="_CDS Trades_(05) CAR Dec-07_IBM_Grouped(2)" xfId="2702"/>
    <cellStyle name="_CDS Trades_(05) CAR Dec-07_IBM_Grouped_USD" xfId="2703"/>
    <cellStyle name="_CDS Trades_(05) CAR Dec-07_IBM_Grouped_ZAR" xfId="2704"/>
    <cellStyle name="_CDS Trades_(05) CAR Dec-07_Liquidity and repricing" xfId="2705"/>
    <cellStyle name="_CDS Trades_(05) CAR Dec-07_NOP 2010 01 31 USD BASED" xfId="2706"/>
    <cellStyle name="_CDS Trades_(05) CAR Dec-07_NOP 2010 01 31 USD BASED_Report Finance" xfId="2707"/>
    <cellStyle name="_CDS Trades_(05) CAR Dec-07_NOP 2010 02 28 USD BASED Final" xfId="2708"/>
    <cellStyle name="_CDS Trades_(05) CAR Dec-07_NOP 2010 02 28 USD BASED Final_Report Finance" xfId="2709"/>
    <cellStyle name="_CDS Trades_(05) CAR Dec-07_NOP 2010 03 31 USD BASEDrevised" xfId="2710"/>
    <cellStyle name="_CDS Trades_(05) CAR Dec-07_NOP 2010 03 31 USD BASEDrevised_Report Finance" xfId="2711"/>
    <cellStyle name="_CDS Trades_(05) CAR Dec-07_NOP 2010 04 30" xfId="2712"/>
    <cellStyle name="_CDS Trades_(05) CAR Dec-07_NOP 2010 04 30_Report Finance" xfId="2713"/>
    <cellStyle name="_CDS Trades_(05) CAR Dec-07_ORIGINAL NOP 2009 12 31 USD BASED" xfId="2714"/>
    <cellStyle name="_CDS Trades_(05) CAR Dec-07_ORIGINAL NOP 2009 12 31 USD BASED_Report Finance" xfId="2715"/>
    <cellStyle name="_CDS Trades_(05) CAR Dec-07_Sheet1" xfId="2716"/>
    <cellStyle name="_CDS Trades_(26) Oct-09 (AL)" xfId="2717"/>
    <cellStyle name="_CDS Trades_(27) Nov-09 (AL)" xfId="2718"/>
    <cellStyle name="_CDS Trades_08_IBM_A2.2.1 to A2.2.15_Statutory workings - 31 03 08" xfId="2719"/>
    <cellStyle name="_CDS Trades_08_IBM_A2.2.1 to A2.2.15_Statutory workings - 31 03 08_31.12.09 Mauritius-USD based ledger - Final1" xfId="2720"/>
    <cellStyle name="_CDS Trades_08_IBM_A2.2.1 to A2.2.15_Statutory workings - 31 03 08_Book4" xfId="2721"/>
    <cellStyle name="_CDS Trades_08_IBM_A2.2.1 to A2.2.15_Statutory workings - 31 03 08_Book5" xfId="2722"/>
    <cellStyle name="_CDS Trades_08_IBM_A2.2.1 to A2.2.15_Statutory workings - 31 03 08_Book5_(19) Loan Feb-11(Feb-11 figures)" xfId="2723"/>
    <cellStyle name="_CDS Trades_08_IBM_A2.2.1 to A2.2.15_Statutory workings - 31 03 08_RELATED PARTY-2010 05 31" xfId="2724"/>
    <cellStyle name="_CDS Trades_08_IBM_A2.2.1 to A2.2.15_Statutory workings - 31 03 08_RELATED PARTY-2010 05 31_(19) Loan Feb-11(Feb-11 figures)" xfId="2725"/>
    <cellStyle name="_CDS Trades_31.12.09 Mauritius-USD based ledger - Final1" xfId="2726"/>
    <cellStyle name="_CDS Trades_audit adjustment 2007" xfId="2727"/>
    <cellStyle name="_CDS Trades_audit adjustment 2007_(26) Oct-09 (AL)" xfId="2728"/>
    <cellStyle name="_CDS Trades_audit adjustment 2007_(27) Nov-09 (AL)" xfId="2729"/>
    <cellStyle name="_CDS Trades_audit adjustment 2007_31.12.09 Mauritius-USD based ledger - Final1" xfId="2730"/>
    <cellStyle name="_CDS Trades_audit adjustment 2007_Book1 (4)" xfId="2731"/>
    <cellStyle name="_CDS Trades_audit adjustment 2007_Book4" xfId="2732"/>
    <cellStyle name="_CDS Trades_audit adjustment 2007_capital adequacy September 2009" xfId="2733"/>
    <cellStyle name="_CDS Trades_audit adjustment 2007_Copy of Mauritius-USD based ledger" xfId="2734"/>
    <cellStyle name="_CDS Trades_audit adjustment 2007_IBM_Grouped(2)" xfId="2735"/>
    <cellStyle name="_CDS Trades_audit adjustment 2007_IBM_Grouped_USD" xfId="2736"/>
    <cellStyle name="_CDS Trades_audit adjustment 2007_IBM_Grouped_ZAR" xfId="2737"/>
    <cellStyle name="_CDS Trades_audit adjustment 2007_Liquidity and repricing" xfId="2738"/>
    <cellStyle name="_CDS Trades_audit adjustment 2007_NOP 2010 01 31 USD BASED" xfId="2739"/>
    <cellStyle name="_CDS Trades_audit adjustment 2007_NOP 2010 01 31 USD BASED_Report Finance" xfId="2740"/>
    <cellStyle name="_CDS Trades_audit adjustment 2007_NOP 2010 02 28 USD BASED Final" xfId="2741"/>
    <cellStyle name="_CDS Trades_audit adjustment 2007_NOP 2010 02 28 USD BASED Final_Report Finance" xfId="2742"/>
    <cellStyle name="_CDS Trades_audit adjustment 2007_NOP 2010 03 31 USD BASEDrevised" xfId="2743"/>
    <cellStyle name="_CDS Trades_audit adjustment 2007_NOP 2010 03 31 USD BASEDrevised_Report Finance" xfId="2744"/>
    <cellStyle name="_CDS Trades_audit adjustment 2007_NOP 2010 04 30" xfId="2745"/>
    <cellStyle name="_CDS Trades_audit adjustment 2007_NOP 2010 04 30_Report Finance" xfId="2746"/>
    <cellStyle name="_CDS Trades_audit adjustment 2007_ORIGINAL NOP 2009 12 31 USD BASED" xfId="2747"/>
    <cellStyle name="_CDS Trades_audit adjustment 2007_ORIGINAL NOP 2009 12 31 USD BASED_Report Finance" xfId="2748"/>
    <cellStyle name="_CDS Trades_audit adjustment 2007_Sheet1" xfId="2749"/>
    <cellStyle name="_CDS Trades_BA 610 wkgs &amp; Return - 30 Jun 08" xfId="2750"/>
    <cellStyle name="_CDS Trades_BA 610 wkgs &amp; Return - 30 Sep 08" xfId="2751"/>
    <cellStyle name="_CDS Trades_BA 610 wkgs &amp; Return - 31 Dec 08" xfId="2752"/>
    <cellStyle name="_CDS Trades_BA 610 wkgs &amp; Return - 31 Dec 08 LATEST" xfId="2753"/>
    <cellStyle name="_CDS Trades_BA 610 wkgs -31.03.08(Version 2)" xfId="2754"/>
    <cellStyle name="_CDS Trades_Book1" xfId="2755"/>
    <cellStyle name="_CDS Trades_Book1 (3)" xfId="2756"/>
    <cellStyle name="_CDS Trades_Book1 (4)" xfId="2757"/>
    <cellStyle name="_CDS Trades_Book1_1" xfId="2758"/>
    <cellStyle name="_CDS Trades_Book1_31.12.09 Mauritius-USD based ledger - Final1" xfId="2759"/>
    <cellStyle name="_CDS Trades_Book1_Book4" xfId="2760"/>
    <cellStyle name="_CDS Trades_Book1_Book5" xfId="2761"/>
    <cellStyle name="_CDS Trades_Book1_Book5_(19) Loan Feb-11(Feb-11 figures)" xfId="2762"/>
    <cellStyle name="_CDS Trades_Book1_capital adequacy September 2009" xfId="2763"/>
    <cellStyle name="_CDS Trades_Book1_Copy of Mauritius-USD based ledger" xfId="2764"/>
    <cellStyle name="_CDS Trades_Book1_Ops risk Mauritius - Sep 09 split stephanie after adjusment conversion" xfId="2765"/>
    <cellStyle name="_CDS Trades_Book1_RELATED PARTY-2010 05 31" xfId="2766"/>
    <cellStyle name="_CDS Trades_Book1_RELATED PARTY-2010 05 31_(19) Loan Feb-11(Feb-11 figures)" xfId="2767"/>
    <cellStyle name="_CDS Trades_Book2 (2)" xfId="2768"/>
    <cellStyle name="_CDS Trades_Book3" xfId="2769"/>
    <cellStyle name="_CDS Trades_Book3_31.12.09 Mauritius-USD based ledger - Final1" xfId="2770"/>
    <cellStyle name="_CDS Trades_Book3_Book4" xfId="2771"/>
    <cellStyle name="_CDS Trades_Book3_Book5" xfId="2772"/>
    <cellStyle name="_CDS Trades_Book3_Book5_(19) Loan Feb-11(Feb-11 figures)" xfId="2773"/>
    <cellStyle name="_CDS Trades_Book3_capital adequacy September 2009" xfId="2774"/>
    <cellStyle name="_CDS Trades_Book3_Copy of Mauritius-USD based ledger" xfId="2775"/>
    <cellStyle name="_CDS Trades_Book3_Ops risk Mauritius - Sep 09 split stephanie after adjusment conversion" xfId="2776"/>
    <cellStyle name="_CDS Trades_Book3_RELATED PARTY-2010 05 31" xfId="2777"/>
    <cellStyle name="_CDS Trades_Book3_RELATED PARTY-2010 05 31_(19) Loan Feb-11(Feb-11 figures)" xfId="2778"/>
    <cellStyle name="_CDS Trades_Book4" xfId="2779"/>
    <cellStyle name="_CDS Trades_Book5 (2)" xfId="2780"/>
    <cellStyle name="_CDS Trades_Book5 (2)_Sheet1" xfId="2781"/>
    <cellStyle name="_CDS Trades_Book6" xfId="2782"/>
    <cellStyle name="_CDS Trades_Book6_31.12.09 Mauritius-USD based ledger - Final1" xfId="2783"/>
    <cellStyle name="_CDS Trades_Book6_Book4" xfId="2784"/>
    <cellStyle name="_CDS Trades_Book6_Book5" xfId="2785"/>
    <cellStyle name="_CDS Trades_Book6_Book5_(19) Loan Feb-11(Feb-11 figures)" xfId="2786"/>
    <cellStyle name="_CDS Trades_Book6_capital adequacy September 2009" xfId="2787"/>
    <cellStyle name="_CDS Trades_Book6_Copy of Mauritius-USD based ledger" xfId="2788"/>
    <cellStyle name="_CDS Trades_Book6_Ops risk Mauritius - Sep 09 split stephanie after adjusment conversion" xfId="2789"/>
    <cellStyle name="_CDS Trades_Book6_RELATED PARTY-2010 05 31" xfId="2790"/>
    <cellStyle name="_CDS Trades_Book6_RELATED PARTY-2010 05 31_(19) Loan Feb-11(Feb-11 figures)" xfId="2791"/>
    <cellStyle name="_CDS Trades_BS - Mar 09" xfId="2792"/>
    <cellStyle name="_CDS Trades_capital adequacy September 2009" xfId="2793"/>
    <cellStyle name="_CDS Trades_Detailed BS Dec 07" xfId="2794"/>
    <cellStyle name="_CDS Trades_Detailed BS Dec 07_Avearge retrieval" xfId="2795"/>
    <cellStyle name="_CDS Trades_Detailed BS Dec 07_Avearge retrieval_(26) Oct-09 (AL)" xfId="2796"/>
    <cellStyle name="_CDS Trades_Detailed BS Dec 07_Avearge retrieval_(27) Nov-09 (AL)" xfId="2797"/>
    <cellStyle name="_CDS Trades_Detailed BS Dec 07_Avearge retrieval_31.12.09 Mauritius-USD based ledger - Final1" xfId="2798"/>
    <cellStyle name="_CDS Trades_Detailed BS Dec 07_Avearge retrieval_Book1 (4)" xfId="2799"/>
    <cellStyle name="_CDS Trades_Detailed BS Dec 07_Avearge retrieval_Book4" xfId="2800"/>
    <cellStyle name="_CDS Trades_Detailed BS Dec 07_Avearge retrieval_capital adequacy September 2009" xfId="2801"/>
    <cellStyle name="_CDS Trades_Detailed BS Dec 07_Avearge retrieval_Copy of Mauritius-USD based ledger" xfId="2802"/>
    <cellStyle name="_CDS Trades_Detailed BS Dec 07_Avearge retrieval_IBM_Grouped(2)" xfId="2803"/>
    <cellStyle name="_CDS Trades_Detailed BS Dec 07_Avearge retrieval_IBM_Grouped_USD" xfId="2804"/>
    <cellStyle name="_CDS Trades_Detailed BS Dec 07_Avearge retrieval_IBM_Grouped_ZAR" xfId="2805"/>
    <cellStyle name="_CDS Trades_Detailed BS Dec 07_Avearge retrieval_Liquidity and repricing" xfId="2806"/>
    <cellStyle name="_CDS Trades_Detailed BS Dec 07_Avearge retrieval_NOP 2010 01 31 USD BASED" xfId="2807"/>
    <cellStyle name="_CDS Trades_Detailed BS Dec 07_Avearge retrieval_NOP 2010 01 31 USD BASED_Report Finance" xfId="2808"/>
    <cellStyle name="_CDS Trades_Detailed BS Dec 07_Avearge retrieval_NOP 2010 02 28 USD BASED Final" xfId="2809"/>
    <cellStyle name="_CDS Trades_Detailed BS Dec 07_Avearge retrieval_NOP 2010 02 28 USD BASED Final_Report Finance" xfId="2810"/>
    <cellStyle name="_CDS Trades_Detailed BS Dec 07_Avearge retrieval_NOP 2010 03 31 USD BASEDrevised" xfId="2811"/>
    <cellStyle name="_CDS Trades_Detailed BS Dec 07_Avearge retrieval_NOP 2010 03 31 USD BASEDrevised_Report Finance" xfId="2812"/>
    <cellStyle name="_CDS Trades_Detailed BS Dec 07_Avearge retrieval_NOP 2010 04 30" xfId="2813"/>
    <cellStyle name="_CDS Trades_Detailed BS Dec 07_Avearge retrieval_NOP 2010 04 30_Report Finance" xfId="2814"/>
    <cellStyle name="_CDS Trades_Detailed BS Dec 07_Avearge retrieval_ORIGINAL NOP 2009 12 31 USD BASED" xfId="2815"/>
    <cellStyle name="_CDS Trades_Detailed BS Dec 07_Avearge retrieval_ORIGINAL NOP 2009 12 31 USD BASED_Report Finance" xfId="2816"/>
    <cellStyle name="_CDS Trades_Detailed BS Dec 07_Avearge retrieval_Sheet1" xfId="2817"/>
    <cellStyle name="_CDS Trades_Detailed BS Dec 07_Sheet1" xfId="2818"/>
    <cellStyle name="_CDS Trades_Detailed BS Dec 08" xfId="2819"/>
    <cellStyle name="_CDS Trades_Detailed BS Jun 09" xfId="2820"/>
    <cellStyle name="_CDS Trades_Detailed BS June08" xfId="2821"/>
    <cellStyle name="_CDS Trades_Detailed BS June08_31.12.09 Mauritius-USD based ledger - Final1" xfId="2822"/>
    <cellStyle name="_CDS Trades_Detailed BS June08_Book4" xfId="2823"/>
    <cellStyle name="_CDS Trades_Detailed BS June08_Book5" xfId="2824"/>
    <cellStyle name="_CDS Trades_Detailed BS June08_Book5_(19) Loan Feb-11(Feb-11 figures)" xfId="2825"/>
    <cellStyle name="_CDS Trades_Detailed BS June08_capital adequacy September 2009" xfId="2826"/>
    <cellStyle name="_CDS Trades_Detailed BS June08_Copy of Mauritius-USD based ledger" xfId="2827"/>
    <cellStyle name="_CDS Trades_Detailed BS June08_Ops risk Mauritius - Sep 09 split stephanie after adjusment conversion" xfId="2828"/>
    <cellStyle name="_CDS Trades_Detailed BS June08_RELATED PARTY-2010 05 31" xfId="2829"/>
    <cellStyle name="_CDS Trades_Detailed BS June08_RELATED PARTY-2010 05 31_(19) Loan Feb-11(Feb-11 figures)" xfId="2830"/>
    <cellStyle name="_CDS Trades_Detailed BS March 08(1)" xfId="2831"/>
    <cellStyle name="_CDS Trades_Detailed BS March 08(1)_31.12.09 Mauritius-USD based ledger - Final1" xfId="2832"/>
    <cellStyle name="_CDS Trades_Detailed BS March 08(1)_Book4" xfId="2833"/>
    <cellStyle name="_CDS Trades_Detailed BS March 08(1)_Book5" xfId="2834"/>
    <cellStyle name="_CDS Trades_Detailed BS March 08(1)_Book5_(19) Loan Feb-11(Feb-11 figures)" xfId="2835"/>
    <cellStyle name="_CDS Trades_Detailed BS March 08(1)_capital adequacy September 2009" xfId="2836"/>
    <cellStyle name="_CDS Trades_Detailed BS March 08(1)_Copy of Mauritius-USD based ledger" xfId="2837"/>
    <cellStyle name="_CDS Trades_Detailed BS March 08(1)_Ops risk Mauritius - Sep 09 split stephanie after adjusment conversion" xfId="2838"/>
    <cellStyle name="_CDS Trades_Detailed BS March 08(1)_RELATED PARTY-2010 05 31" xfId="2839"/>
    <cellStyle name="_CDS Trades_Detailed BS March 08(1)_RELATED PARTY-2010 05 31_(19) Loan Feb-11(Feb-11 figures)" xfId="2840"/>
    <cellStyle name="_CDS Trades_Detailed BS March 09" xfId="2841"/>
    <cellStyle name="_CDS Trades_Essbase March 2008" xfId="2842"/>
    <cellStyle name="_CDS Trades_Essbase March 2008_31.12.09 Mauritius-USD based ledger - Final1" xfId="2843"/>
    <cellStyle name="_CDS Trades_Essbase March 2008_Book4" xfId="2844"/>
    <cellStyle name="_CDS Trades_Essbase March 2008_Book5" xfId="2845"/>
    <cellStyle name="_CDS Trades_Essbase March 2008_Book5_(19) Loan Feb-11(Feb-11 figures)" xfId="2846"/>
    <cellStyle name="_CDS Trades_Essbase March 2008_capital adequacy September 2009" xfId="2847"/>
    <cellStyle name="_CDS Trades_Essbase March 2008_Copy of Mauritius-USD based ledger" xfId="2848"/>
    <cellStyle name="_CDS Trades_Essbase March 2008_Ops risk Mauritius - Sep 09 split stephanie after adjusment conversion" xfId="2849"/>
    <cellStyle name="_CDS Trades_Essbase March 2008_RELATED PARTY-2010 05 31" xfId="2850"/>
    <cellStyle name="_CDS Trades_Essbase March 2008_RELATED PARTY-2010 05 31_(19) Loan Feb-11(Feb-11 figures)" xfId="2851"/>
    <cellStyle name="_CDS Trades_FINANCIALS 30-JUN-08-New Format-Auditors-Reformated" xfId="2852"/>
    <cellStyle name="_CDS Trades_Fixed Assets Register 11 Feb10" xfId="2853"/>
    <cellStyle name="_CDS Trades_Fixed Assets Register 11 Feb10_(19) Loan Feb-11(Feb-11 figures)" xfId="2854"/>
    <cellStyle name="_CDS Trades_Fixed Assets Register 12 Mar10.xls" xfId="2855"/>
    <cellStyle name="_CDS Trades_Fixed Assets Register 12 Mar10.xls_(19) Loan Feb-11(Feb-11 figures)" xfId="2856"/>
    <cellStyle name="_CDS Trades_FV of Derivatives - 30 06 09" xfId="2857"/>
    <cellStyle name="_CDS Trades_FV of Derivatives - 31.03.08" xfId="2858"/>
    <cellStyle name="_CDS Trades_FV of Derivatives - 31.03.08_31.12.09 Mauritius-USD based ledger - Final1" xfId="2859"/>
    <cellStyle name="_CDS Trades_FV of Derivatives - 31.03.08_Book4" xfId="2860"/>
    <cellStyle name="_CDS Trades_FV of Derivatives - 31.03.08_Book5" xfId="2861"/>
    <cellStyle name="_CDS Trades_FV of Derivatives - 31.03.08_Book5_(19) Loan Feb-11(Feb-11 figures)" xfId="2862"/>
    <cellStyle name="_CDS Trades_FV of Derivatives - 31.03.08_capital adequacy September 2009" xfId="2863"/>
    <cellStyle name="_CDS Trades_FV of Derivatives - 31.03.08_Copy of Mauritius-USD based ledger" xfId="2864"/>
    <cellStyle name="_CDS Trades_FV of Derivatives - 31.03.08_Ops risk Mauritius - Sep 09 split stephanie after adjusment conversion" xfId="2865"/>
    <cellStyle name="_CDS Trades_FV of Derivatives - 31.03.08_RELATED PARTY-2010 05 31" xfId="2866"/>
    <cellStyle name="_CDS Trades_FV of Derivatives - 31.03.08_RELATED PARTY-2010 05 31_(19) Loan Feb-11(Feb-11 figures)" xfId="2867"/>
    <cellStyle name="_CDS Trades_IBM Input Sheet 31.03.2010 v0.4" xfId="2868"/>
    <cellStyle name="_CDS Trades_IBM Input Sheet 31.03.2010 v0.4_(19) Loan Feb-11(Feb-11 figures)" xfId="2869"/>
    <cellStyle name="_CDS Trades_IBM_Grouped(2)" xfId="2870"/>
    <cellStyle name="_CDS Trades_IBM_Grouped_USD" xfId="2871"/>
    <cellStyle name="_CDS Trades_IBM_Grouped_ZAR" xfId="2872"/>
    <cellStyle name="_CDS Trades_Liquidity and repricing" xfId="2873"/>
    <cellStyle name="_CDS Trades_MUR position" xfId="2874"/>
    <cellStyle name="_CDS Trades_NOP 2010 01 31 USD BASED" xfId="2875"/>
    <cellStyle name="_CDS Trades_NOP 2010 01 31 USD BASED_Report Finance" xfId="2876"/>
    <cellStyle name="_CDS Trades_NOP 2010 02 28 USD BASED Final" xfId="2877"/>
    <cellStyle name="_CDS Trades_NOP 2010 02 28 USD BASED Final_Report Finance" xfId="2878"/>
    <cellStyle name="_CDS Trades_NOP 2010 03 31 USD BASEDrevised" xfId="2879"/>
    <cellStyle name="_CDS Trades_NOP 2010 03 31 USD BASEDrevised_Report Finance" xfId="2880"/>
    <cellStyle name="_CDS Trades_NOP 2010 04 30" xfId="2881"/>
    <cellStyle name="_CDS Trades_NOP 2010 04 30_Report Finance" xfId="2882"/>
    <cellStyle name="_CDS Trades_Opeartional Risk sept 2009" xfId="2883"/>
    <cellStyle name="_CDS Trades_Ops risk Mauritius - Sep 09 split stephanie after adjusment conversion" xfId="2884"/>
    <cellStyle name="_CDS Trades_ORIGINAL NOP 2009 12 31 USD BASED" xfId="2885"/>
    <cellStyle name="_CDS Trades_ORIGINAL NOP 2009 12 31 USD BASED_Report Finance" xfId="2886"/>
    <cellStyle name="_CDS Trades_Related Party Dec-08" xfId="2887"/>
    <cellStyle name="_CDS Trades_Report Finance" xfId="2888"/>
    <cellStyle name="_CDS Trades_SARB BOM Comparison 20081231 v3 0" xfId="2889"/>
    <cellStyle name="_CDS Trades_SARB BOM Comparison 20081231 v3 0v from Mahen" xfId="2890"/>
    <cellStyle name="_CDS Trades_SARBResults_1101" xfId="2891"/>
    <cellStyle name="_CDS Trades_SARBResults_1101_31.12.09 Mauritius-USD based ledger - Final1" xfId="2892"/>
    <cellStyle name="_CDS Trades_SARBResults_1101_Book4" xfId="2893"/>
    <cellStyle name="_CDS Trades_SARBResults_1101_Book5" xfId="2894"/>
    <cellStyle name="_CDS Trades_SARBResults_1101_Book5_(19) Loan Feb-11(Feb-11 figures)" xfId="2895"/>
    <cellStyle name="_CDS Trades_SARBResults_1101_capital adequacy September 2009" xfId="2896"/>
    <cellStyle name="_CDS Trades_SARBResults_1101_Copy of Mauritius-USD based ledger" xfId="2897"/>
    <cellStyle name="_CDS Trades_SARBResults_1101_Ops risk Mauritius - Sep 09 split stephanie after adjusment conversion" xfId="2898"/>
    <cellStyle name="_CDS Trades_SARBResults_1101_RELATED PARTY-2010 05 31" xfId="2899"/>
    <cellStyle name="_CDS Trades_SARBResults_1101_RELATED PARTY-2010 05 31_(19) Loan Feb-11(Feb-11 figures)" xfId="2900"/>
    <cellStyle name="_CDS Trades_SARBResults_2697 (vanessa board2)" xfId="2901"/>
    <cellStyle name="_CDS Trades_Sheet1" xfId="2902"/>
    <cellStyle name="_CDS Trades_Sheet1_1" xfId="2903"/>
    <cellStyle name="_CDS Trades_Statutory Annual Report - 31 03 08" xfId="2904"/>
    <cellStyle name="_CDS Trades_Statutory Annual Report - 31 03 08_31.12.09 Mauritius-USD based ledger - Final1" xfId="2905"/>
    <cellStyle name="_CDS Trades_Statutory Annual Report - 31 03 08_Book4" xfId="2906"/>
    <cellStyle name="_CDS Trades_Statutory Annual Report - 31 03 08_Book5" xfId="2907"/>
    <cellStyle name="_CDS Trades_Statutory Annual Report - 31 03 08_Book5_(19) Loan Feb-11(Feb-11 figures)" xfId="2908"/>
    <cellStyle name="_CDS Trades_Statutory Annual Report - 31 03 08_capital adequacy September 2009" xfId="2909"/>
    <cellStyle name="_CDS Trades_Statutory Annual Report - 31 03 08_Copy of Mauritius-USD based ledger" xfId="2910"/>
    <cellStyle name="_CDS Trades_Statutory Annual Report - 31 03 08_Ops risk Mauritius - Sep 09 split stephanie after adjusment conversion" xfId="2911"/>
    <cellStyle name="_CDS Trades_Statutory Annual Report - 31 03 08_RELATED PARTY-2010 05 31" xfId="2912"/>
    <cellStyle name="_CDS Trades_Statutory Annual Report - 31 03 08_RELATED PARTY-2010 05 31_(19) Loan Feb-11(Feb-11 figures)" xfId="2913"/>
    <cellStyle name="_Cf" xfId="2914"/>
    <cellStyle name="_Cf_Sheet1" xfId="2915"/>
    <cellStyle name="_circularisation jeremie" xfId="2916"/>
    <cellStyle name="_circularisation jeremie_(26) Oct-09 (AL)" xfId="2917"/>
    <cellStyle name="_circularisation jeremie_(27) Nov-09 (AL)" xfId="2918"/>
    <cellStyle name="_circularisation jeremie_31.12.09 Mauritius-USD based ledger - Final1" xfId="2919"/>
    <cellStyle name="_circularisation jeremie_Book1 (4)" xfId="2920"/>
    <cellStyle name="_circularisation jeremie_Book4" xfId="2921"/>
    <cellStyle name="_circularisation jeremie_capital adequacy September 2009" xfId="2922"/>
    <cellStyle name="_circularisation jeremie_Copy of Mauritius-USD based ledger" xfId="2923"/>
    <cellStyle name="_circularisation jeremie_Fixed Assets Register 11 Feb10" xfId="2924"/>
    <cellStyle name="_circularisation jeremie_Fixed Assets Register 11 Feb10_(19) Loan Feb-11(Feb-11 figures)" xfId="2925"/>
    <cellStyle name="_circularisation jeremie_Fixed Assets Register 12 Mar10.xls" xfId="2926"/>
    <cellStyle name="_circularisation jeremie_Fixed Assets Register 12 Mar10.xls_(19) Loan Feb-11(Feb-11 figures)" xfId="2927"/>
    <cellStyle name="_circularisation jeremie_IBM Input Sheet 31.03.2010 v0.4" xfId="2928"/>
    <cellStyle name="_circularisation jeremie_IBM Input Sheet 31.03.2010 v0.4_(19) Loan Feb-11(Feb-11 figures)" xfId="2929"/>
    <cellStyle name="_circularisation jeremie_IBM_Grouped(2)" xfId="2930"/>
    <cellStyle name="_circularisation jeremie_IBM_Grouped_USD" xfId="2931"/>
    <cellStyle name="_circularisation jeremie_IBM_Grouped_ZAR" xfId="2932"/>
    <cellStyle name="_circularisation jeremie_Liquidity and repricing" xfId="2933"/>
    <cellStyle name="_circularisation jeremie_MUR position" xfId="2934"/>
    <cellStyle name="_circularisation jeremie_NOP 2010 01 31 USD BASED" xfId="2935"/>
    <cellStyle name="_circularisation jeremie_NOP 2010 01 31 USD BASED_Report Finance" xfId="2936"/>
    <cellStyle name="_circularisation jeremie_NOP 2010 02 28 USD BASED Final" xfId="2937"/>
    <cellStyle name="_circularisation jeremie_NOP 2010 02 28 USD BASED Final_Report Finance" xfId="2938"/>
    <cellStyle name="_circularisation jeremie_NOP 2010 03 31 USD BASEDrevised" xfId="2939"/>
    <cellStyle name="_circularisation jeremie_NOP 2010 03 31 USD BASEDrevised_Report Finance" xfId="2940"/>
    <cellStyle name="_circularisation jeremie_NOP 2010 04 30" xfId="2941"/>
    <cellStyle name="_circularisation jeremie_NOP 2010 04 30_Report Finance" xfId="2942"/>
    <cellStyle name="_circularisation jeremie_ORIGINAL NOP 2009 12 31 USD BASED" xfId="2943"/>
    <cellStyle name="_circularisation jeremie_ORIGINAL NOP 2009 12 31 USD BASED_Report Finance" xfId="2944"/>
    <cellStyle name="_circularisation jeremie_Report Finance" xfId="2945"/>
    <cellStyle name="_circularisation jeremie_Sheet1" xfId="2946"/>
    <cellStyle name="_circularisation jeremie_Sheet1_1" xfId="2947"/>
    <cellStyle name="_Circularisation status_22.04.2008 Musarrat" xfId="2948"/>
    <cellStyle name="_Circularisation status_22.04.2008 Musarrat_(26) Oct-09 (AL)" xfId="2949"/>
    <cellStyle name="_Circularisation status_22.04.2008 Musarrat_(27) Nov-09 (AL)" xfId="2950"/>
    <cellStyle name="_Circularisation status_22.04.2008 Musarrat_31.12.09 Mauritius-USD based ledger - Final1" xfId="2951"/>
    <cellStyle name="_Circularisation status_22.04.2008 Musarrat_Book1 (4)" xfId="2952"/>
    <cellStyle name="_Circularisation status_22.04.2008 Musarrat_Book4" xfId="2953"/>
    <cellStyle name="_Circularisation status_22.04.2008 Musarrat_capital adequacy September 2009" xfId="2954"/>
    <cellStyle name="_Circularisation status_22.04.2008 Musarrat_Copy of Mauritius-USD based ledger" xfId="2955"/>
    <cellStyle name="_Circularisation status_22.04.2008 Musarrat_Fixed Assets Register 11 Feb10" xfId="2956"/>
    <cellStyle name="_Circularisation status_22.04.2008 Musarrat_Fixed Assets Register 11 Feb10_(19) Loan Feb-11(Feb-11 figures)" xfId="2957"/>
    <cellStyle name="_Circularisation status_22.04.2008 Musarrat_Fixed Assets Register 12 Mar10.xls" xfId="2958"/>
    <cellStyle name="_Circularisation status_22.04.2008 Musarrat_Fixed Assets Register 12 Mar10.xls_(19) Loan Feb-11(Feb-11 figures)" xfId="2959"/>
    <cellStyle name="_Circularisation status_22.04.2008 Musarrat_IBM Input Sheet 31.03.2010 v0.4" xfId="2960"/>
    <cellStyle name="_Circularisation status_22.04.2008 Musarrat_IBM Input Sheet 31.03.2010 v0.4_(19) Loan Feb-11(Feb-11 figures)" xfId="2961"/>
    <cellStyle name="_Circularisation status_22.04.2008 Musarrat_IBM_Grouped(2)" xfId="2962"/>
    <cellStyle name="_Circularisation status_22.04.2008 Musarrat_IBM_Grouped_USD" xfId="2963"/>
    <cellStyle name="_Circularisation status_22.04.2008 Musarrat_IBM_Grouped_ZAR" xfId="2964"/>
    <cellStyle name="_Circularisation status_22.04.2008 Musarrat_Liquidity and repricing" xfId="2965"/>
    <cellStyle name="_Circularisation status_22.04.2008 Musarrat_MUR position" xfId="2966"/>
    <cellStyle name="_Circularisation status_22.04.2008 Musarrat_NOP 2010 01 31 USD BASED" xfId="2967"/>
    <cellStyle name="_Circularisation status_22.04.2008 Musarrat_NOP 2010 01 31 USD BASED_Report Finance" xfId="2968"/>
    <cellStyle name="_Circularisation status_22.04.2008 Musarrat_NOP 2010 02 28 USD BASED Final" xfId="2969"/>
    <cellStyle name="_Circularisation status_22.04.2008 Musarrat_NOP 2010 02 28 USD BASED Final_Report Finance" xfId="2970"/>
    <cellStyle name="_Circularisation status_22.04.2008 Musarrat_NOP 2010 03 31 USD BASEDrevised" xfId="2971"/>
    <cellStyle name="_Circularisation status_22.04.2008 Musarrat_NOP 2010 03 31 USD BASEDrevised_Report Finance" xfId="2972"/>
    <cellStyle name="_Circularisation status_22.04.2008 Musarrat_NOP 2010 04 30" xfId="2973"/>
    <cellStyle name="_Circularisation status_22.04.2008 Musarrat_NOP 2010 04 30_Report Finance" xfId="2974"/>
    <cellStyle name="_Circularisation status_22.04.2008 Musarrat_ORIGINAL NOP 2009 12 31 USD BASED" xfId="2975"/>
    <cellStyle name="_Circularisation status_22.04.2008 Musarrat_ORIGINAL NOP 2009 12 31 USD BASED_Report Finance" xfId="2976"/>
    <cellStyle name="_Circularisation status_22.04.2008 Musarrat_Report Finance" xfId="2977"/>
    <cellStyle name="_Circularisation status_22.04.2008 Musarrat_Sheet1" xfId="2978"/>
    <cellStyle name="_Circularisation status_22.04.2008 Musarrat_Sheet1_1" xfId="2979"/>
    <cellStyle name="_CLO Deal Template" xfId="2980"/>
    <cellStyle name="_CLO Deal Template_Sheet1" xfId="2981"/>
    <cellStyle name="_CLOs" xfId="2982"/>
    <cellStyle name="_CLOs_Sheet1" xfId="2983"/>
    <cellStyle name="_ColdWater Portfolio (Termsheet)- 06-08-06" xfId="2984"/>
    <cellStyle name="_ColdWater Portfolio (Termsheet)- 06-08-06_Sheet1" xfId="2985"/>
    <cellStyle name="_Collateral Detail+Summary" xfId="2986"/>
    <cellStyle name="_Collateral Generator" xfId="2987"/>
    <cellStyle name="_Collateral Input" xfId="2988"/>
    <cellStyle name="_Comma" xfId="2989"/>
    <cellStyle name="_Compare All-NEW" xfId="2990"/>
    <cellStyle name="_Copy of excel website_Sept08 plc 2" xfId="2991"/>
    <cellStyle name="_Copy of excel website_Sept08 plc 2_(19) Loan Feb-11(Feb-11 figures)" xfId="2992"/>
    <cellStyle name="_Copy of Springdale 2006-1 Sources and Uses 07-17-2006" xfId="2993"/>
    <cellStyle name="_Copy of Springdale 2006-1 Sources and Uses 07-17-2006_Sheet1" xfId="2994"/>
    <cellStyle name="_Correlation Matrix" xfId="2995"/>
    <cellStyle name="_Correlation Matrix_Sheet1" xfId="2996"/>
    <cellStyle name="_Country credit exposure_30 Sep 08" xfId="2997"/>
    <cellStyle name="_Country credit exposure_30 Sep 08_(19) Loan Feb-11(Feb-11 figures)" xfId="2998"/>
    <cellStyle name="_Country credit exposure_30 Sep 08_(32) Mar-10 Breakdown of Credit" xfId="2999"/>
    <cellStyle name="_Country credit exposure_30 Sep 08_(32) Mar-10 Loan" xfId="3000"/>
    <cellStyle name="_Country credit exposure_30 Sep 08_(33) Apr-10 Breakdown of Credit" xfId="3001"/>
    <cellStyle name="_Country credit exposure_30 Sep 08_(33) Apr-10 Loan" xfId="3002"/>
    <cellStyle name="_Country credit exposure_30 Sep 08_Book15" xfId="3003"/>
    <cellStyle name="_Country credit exposure_30 Sep 08_Book16" xfId="3004"/>
    <cellStyle name="_Country credit exposure_30 Sep 08_Book17" xfId="3005"/>
    <cellStyle name="_Country credit exposure_30 Sep 08_Book19" xfId="3006"/>
    <cellStyle name="_Country credit exposure_30 Sep 08_Book20" xfId="3007"/>
    <cellStyle name="_Country credit exposure_30 Sep 08_Book8" xfId="3008"/>
    <cellStyle name="_Country credit exposure_30 Sep 08_Book9" xfId="3009"/>
    <cellStyle name="_Country credit exposure_30 Sep 08_CM - Overview" xfId="3010"/>
    <cellStyle name="_Cover" xfId="3011"/>
    <cellStyle name="_Cover_(19) Loan Feb-11(Feb-11 figures)" xfId="3012"/>
    <cellStyle name="_CRE CDOs" xfId="3013"/>
    <cellStyle name="_CRE CDOs_Sheet1" xfId="3014"/>
    <cellStyle name="_CreditBonds" xfId="3015"/>
    <cellStyle name="_CreditBonds_Sheet1" xfId="3016"/>
    <cellStyle name="_Credits" xfId="3017"/>
    <cellStyle name="_Credits_Sheet1" xfId="3018"/>
    <cellStyle name="_CSV Menu" xfId="3019"/>
    <cellStyle name="_CSV Menu_Sheet1" xfId="3020"/>
    <cellStyle name="_Currency" xfId="3021"/>
    <cellStyle name="_CurrencySpace" xfId="3022"/>
    <cellStyle name="_Current Exposures" xfId="3023"/>
    <cellStyle name="_Curves" xfId="3024"/>
    <cellStyle name="_Curves_Sheet1" xfId="3025"/>
    <cellStyle name="_CUSIPS" xfId="3026"/>
    <cellStyle name="_CUSIPS_Sheet1" xfId="3027"/>
    <cellStyle name="_DA" xfId="3028"/>
    <cellStyle name="_DA_Sheet1" xfId="3029"/>
    <cellStyle name="_Data" xfId="3030"/>
    <cellStyle name="_Data_Sheet1" xfId="3031"/>
    <cellStyle name="_Deal Summary" xfId="3032"/>
    <cellStyle name="_Deal Summary_Sheet1" xfId="3033"/>
    <cellStyle name="_Detailed BS Jan 08" xfId="3034"/>
    <cellStyle name="_Detailed BS Jan 08_Sheet1" xfId="3035"/>
    <cellStyle name="_Disclaimer" xfId="3036"/>
    <cellStyle name="_Disclaimer_Ratings action BLP links" xfId="3037"/>
    <cellStyle name="_Disclaimer_Ratings action BLP links_Sheet1" xfId="3038"/>
    <cellStyle name="_Disclaimer_Report Finance" xfId="3039"/>
    <cellStyle name="_Disclaimer_Sheet1" xfId="3040"/>
    <cellStyle name="_Disclosure Workings - Pack MAR08 PB" xfId="3041"/>
    <cellStyle name="_Disclosure Workings - Pack MAR08 PB_(26) Oct-09 (AL)" xfId="3042"/>
    <cellStyle name="_Disclosure Workings - Pack MAR08 PB_(27) Nov-09 (AL)" xfId="3043"/>
    <cellStyle name="_Disclosure Workings - Pack MAR08 PB_31.12.09 Mauritius-USD based ledger - Final1" xfId="3044"/>
    <cellStyle name="_Disclosure Workings - Pack MAR08 PB_Book1 (4)" xfId="3045"/>
    <cellStyle name="_Disclosure Workings - Pack MAR08 PB_Book4" xfId="3046"/>
    <cellStyle name="_Disclosure Workings - Pack MAR08 PB_capital adequacy September 2009" xfId="3047"/>
    <cellStyle name="_Disclosure Workings - Pack MAR08 PB_Copy of Mauritius-USD based ledger" xfId="3048"/>
    <cellStyle name="_Disclosure Workings - Pack MAR08 PB_IBM_Grouped(2)" xfId="3049"/>
    <cellStyle name="_Disclosure Workings - Pack MAR08 PB_IBM_Grouped_USD" xfId="3050"/>
    <cellStyle name="_Disclosure Workings - Pack MAR08 PB_IBM_Grouped_ZAR" xfId="3051"/>
    <cellStyle name="_Disclosure Workings - Pack MAR08 PB_Liquidity and repricing" xfId="3052"/>
    <cellStyle name="_Disclosure Workings - Pack MAR08 PB_NOP 2010 01 31 USD BASED" xfId="3053"/>
    <cellStyle name="_Disclosure Workings - Pack MAR08 PB_NOP 2010 01 31 USD BASED_Report Finance" xfId="3054"/>
    <cellStyle name="_Disclosure Workings - Pack MAR08 PB_NOP 2010 02 28 USD BASED Final" xfId="3055"/>
    <cellStyle name="_Disclosure Workings - Pack MAR08 PB_NOP 2010 02 28 USD BASED Final_Report Finance" xfId="3056"/>
    <cellStyle name="_Disclosure Workings - Pack MAR08 PB_NOP 2010 03 31 USD BASEDrevised" xfId="3057"/>
    <cellStyle name="_Disclosure Workings - Pack MAR08 PB_NOP 2010 03 31 USD BASEDrevised_Report Finance" xfId="3058"/>
    <cellStyle name="_Disclosure Workings - Pack MAR08 PB_NOP 2010 04 30" xfId="3059"/>
    <cellStyle name="_Disclosure Workings - Pack MAR08 PB_NOP 2010 04 30_Report Finance" xfId="3060"/>
    <cellStyle name="_Disclosure Workings - Pack MAR08 PB_ORIGINAL NOP 2009 12 31 USD BASED" xfId="3061"/>
    <cellStyle name="_Disclosure Workings - Pack MAR08 PB_ORIGINAL NOP 2009 12 31 USD BASED_Report Finance" xfId="3062"/>
    <cellStyle name="_Disclosure Workings - Pack MAR08 PB_Sheet1" xfId="3063"/>
    <cellStyle name="_Disclosure Workings - Pack MAR08 PL" xfId="3064"/>
    <cellStyle name="_Disclosure Workings - Pack MAR08 PL_(26) Oct-09 (AL)" xfId="3065"/>
    <cellStyle name="_Disclosure Workings - Pack MAR08 PL_(27) Nov-09 (AL)" xfId="3066"/>
    <cellStyle name="_Disclosure Workings - Pack MAR08 PL_31.12.09 Mauritius-USD based ledger - Final1" xfId="3067"/>
    <cellStyle name="_Disclosure Workings - Pack MAR08 PL_Book1 (4)" xfId="3068"/>
    <cellStyle name="_Disclosure Workings - Pack MAR08 PL_Book4" xfId="3069"/>
    <cellStyle name="_Disclosure Workings - Pack MAR08 PL_capital adequacy September 2009" xfId="3070"/>
    <cellStyle name="_Disclosure Workings - Pack MAR08 PL_Copy of Mauritius-USD based ledger" xfId="3071"/>
    <cellStyle name="_Disclosure Workings - Pack MAR08 PL_IBM_Grouped(2)" xfId="3072"/>
    <cellStyle name="_Disclosure Workings - Pack MAR08 PL_IBM_Grouped_USD" xfId="3073"/>
    <cellStyle name="_Disclosure Workings - Pack MAR08 PL_IBM_Grouped_ZAR" xfId="3074"/>
    <cellStyle name="_Disclosure Workings - Pack MAR08 PL_Liquidity and repricing" xfId="3075"/>
    <cellStyle name="_Disclosure Workings - Pack MAR08 PL_NOP 2010 01 31 USD BASED" xfId="3076"/>
    <cellStyle name="_Disclosure Workings - Pack MAR08 PL_NOP 2010 01 31 USD BASED_Report Finance" xfId="3077"/>
    <cellStyle name="_Disclosure Workings - Pack MAR08 PL_NOP 2010 02 28 USD BASED Final" xfId="3078"/>
    <cellStyle name="_Disclosure Workings - Pack MAR08 PL_NOP 2010 02 28 USD BASED Final_Report Finance" xfId="3079"/>
    <cellStyle name="_Disclosure Workings - Pack MAR08 PL_NOP 2010 03 31 USD BASEDrevised" xfId="3080"/>
    <cellStyle name="_Disclosure Workings - Pack MAR08 PL_NOP 2010 03 31 USD BASEDrevised_Report Finance" xfId="3081"/>
    <cellStyle name="_Disclosure Workings - Pack MAR08 PL_NOP 2010 04 30" xfId="3082"/>
    <cellStyle name="_Disclosure Workings - Pack MAR08 PL_NOP 2010 04 30_Report Finance" xfId="3083"/>
    <cellStyle name="_Disclosure Workings - Pack MAR08 PL_ORIGINAL NOP 2009 12 31 USD BASED" xfId="3084"/>
    <cellStyle name="_Disclosure Workings - Pack MAR08 PL_ORIGINAL NOP 2009 12 31 USD BASED_Report Finance" xfId="3085"/>
    <cellStyle name="_Disclosure Workings - Pack MAR08 PL_Sheet1" xfId="3086"/>
    <cellStyle name="_DV01" xfId="3087"/>
    <cellStyle name="_DV01_Sheet1" xfId="3088"/>
    <cellStyle name="_ems10223_my" xfId="3089"/>
    <cellStyle name="_ems10223_my_Sheet1" xfId="3090"/>
    <cellStyle name="_ET ABS CDO III Portfolio" xfId="3091"/>
    <cellStyle name="_ET ABS CDO III Portfolio-closing" xfId="3092"/>
    <cellStyle name="_Euro" xfId="3093"/>
    <cellStyle name="_Example 1" xfId="3094"/>
    <cellStyle name="_Example 1_Sheet1" xfId="3095"/>
    <cellStyle name="_example inv disposalNikanor" xfId="3096"/>
    <cellStyle name="_example inv disposalNikanor_Sheet1" xfId="3097"/>
    <cellStyle name="_F Lakes3" xfId="3098"/>
    <cellStyle name="_F Lakes3_Sheet1" xfId="3099"/>
    <cellStyle name="_f_in" xfId="3100"/>
    <cellStyle name="_f_tbl" xfId="3101"/>
    <cellStyle name="_Factor Exposure" xfId="3102"/>
    <cellStyle name="_Factor Exposure_Sheet1" xfId="3103"/>
    <cellStyle name="_Feuil1" xfId="3104"/>
    <cellStyle name="_Feuil1_Sheet1" xfId="3105"/>
    <cellStyle name="_FIFES" xfId="3106"/>
    <cellStyle name="_Fitch Input" xfId="3107"/>
    <cellStyle name="_Fitch Inputs" xfId="3108"/>
    <cellStyle name="_Fitch VECTOR" xfId="3109"/>
    <cellStyle name="_Fitch_MATRIX" xfId="3110"/>
    <cellStyle name="_Fitch_VECTOR_Model" xfId="3111"/>
    <cellStyle name="_Fitch_VECTOR_Model_Correlation Matrix" xfId="3112"/>
    <cellStyle name="_Fitch_VECTOR_Model_Factor Exposure" xfId="3113"/>
    <cellStyle name="_Fitch_VECTOR_Model_Portfolio Definition" xfId="3114"/>
    <cellStyle name="_Fitch_VECTOR_Model_Recovery Rates" xfId="3115"/>
    <cellStyle name="_Fitch_VECTOR_Model2.0" xfId="3116"/>
    <cellStyle name="_FP BS Audit Schedules - Apr 07" xfId="3117"/>
    <cellStyle name="_FP BS Audit Schedules - Aug 07" xfId="3118"/>
    <cellStyle name="_FP BS Audit Schedules - Jun 07" xfId="3119"/>
    <cellStyle name="_FP BS Audit Schedules - Mar 07" xfId="3120"/>
    <cellStyle name="_FP BS Audit Schedules - May 07" xfId="3121"/>
    <cellStyle name="_FP BS Audit Schedules - Nov 07" xfId="3122"/>
    <cellStyle name="_FP BS Audit Schedules - SepV1 07" xfId="3123"/>
    <cellStyle name="_Funded-CDX-DG-013105" xfId="3124"/>
    <cellStyle name="_Funded-CDX-DG-013105_Sheet1" xfId="3125"/>
    <cellStyle name="_General Prov IBM Jan 08" xfId="3126"/>
    <cellStyle name="_General Prov IBM Jan 08_Sheet1" xfId="3127"/>
    <cellStyle name="_getdata" xfId="3128"/>
    <cellStyle name="_getdata_Sheet1" xfId="3129"/>
    <cellStyle name="_GLACIER III" xfId="3130"/>
    <cellStyle name="_GLACIER III_Sheet1" xfId="3131"/>
    <cellStyle name="_Groups" xfId="3132"/>
    <cellStyle name="_H-" xfId="3133"/>
    <cellStyle name="_H - Scenario" xfId="3134"/>
    <cellStyle name="_H-_Sheet1" xfId="3135"/>
    <cellStyle name="_headers" xfId="3136"/>
    <cellStyle name="_headers_Sheet1" xfId="3137"/>
    <cellStyle name="_Heading" xfId="3138"/>
    <cellStyle name="_Highlight" xfId="3139"/>
    <cellStyle name="_IBL Consol March 2009 15.05" xfId="3140"/>
    <cellStyle name="_IBM_MAR 08 INCLUDING clos" xfId="3141"/>
    <cellStyle name="_IBM_MAR 08 INCLUDING clos_Report Finance" xfId="3142"/>
    <cellStyle name="_IBM_MAR 08 INCLUDING clos_Sheet1" xfId="3143"/>
    <cellStyle name="_IBP Mar09" xfId="3144"/>
    <cellStyle name="_Info Sheet" xfId="3145"/>
    <cellStyle name="_Info Sheet_Sheet1" xfId="3146"/>
    <cellStyle name="_Inman  - Static ABS Deal" xfId="3147"/>
    <cellStyle name="_Inman  - Static ABS Deal_Sheet1" xfId="3148"/>
    <cellStyle name="_Inputs" xfId="3149"/>
    <cellStyle name="_interdiv" xfId="3150"/>
    <cellStyle name="_interdiv P&amp;L" xfId="3151"/>
    <cellStyle name="_interdiv P&amp;L_Sheet1" xfId="3152"/>
    <cellStyle name="_interdiv_scap" xfId="3153"/>
    <cellStyle name="_interdiv_scap_Sheet1" xfId="3154"/>
    <cellStyle name="_interdiv_Sheet1" xfId="3155"/>
    <cellStyle name="_InterdivInterco_PLT" xfId="3156"/>
    <cellStyle name="_InterdivInterco_PLT_Sheet1" xfId="3157"/>
    <cellStyle name="_Interims - Kensington template_300907v1" xfId="3158"/>
    <cellStyle name="_ITML YP 0809" xfId="3159"/>
    <cellStyle name="_ITML YP 0809_(19) Loan Feb-11(Feb-11 figures)" xfId="3160"/>
    <cellStyle name="_ITML YP 0809_Book1 (4)" xfId="3161"/>
    <cellStyle name="_IVY Detailed Collateral CDO sheet" xfId="3162"/>
    <cellStyle name="_junk" xfId="3163"/>
    <cellStyle name="_junk_Sheet1" xfId="3164"/>
    <cellStyle name="_Kefton CDO Detail File" xfId="3165"/>
    <cellStyle name="_LatAm" xfId="3166"/>
    <cellStyle name="_LatAm_Sheet1" xfId="3167"/>
    <cellStyle name="_Liabilities" xfId="3168"/>
    <cellStyle name="_Liabilities_Sheet1" xfId="3169"/>
    <cellStyle name="_Loan by DI sector" xfId="3170"/>
    <cellStyle name="_Loan by DI sector_Sheet1" xfId="3171"/>
    <cellStyle name="_Loan by DI sectors" xfId="3172"/>
    <cellStyle name="_Loan by DI sectors_Report Finance" xfId="3173"/>
    <cellStyle name="_Loan by DI sectors_Sheet1" xfId="3174"/>
    <cellStyle name="_Loan by DI sectors-Original" xfId="3175"/>
    <cellStyle name="_Loan by DI sectors-Original_Report Finance" xfId="3176"/>
    <cellStyle name="_Loan by DI sectors-Original_Sheet1" xfId="3177"/>
    <cellStyle name="_Loans after decision has been taken" xfId="3178"/>
    <cellStyle name="_Loans after decision has been taken_Sheet1" xfId="3179"/>
    <cellStyle name="_LOOKUP" xfId="3180"/>
    <cellStyle name="_lookup sheet" xfId="3181"/>
    <cellStyle name="_lookup sheet_Report Finance" xfId="3182"/>
    <cellStyle name="_lookup sheet_Sheet1" xfId="3183"/>
    <cellStyle name="_LOOKUP_(05) CAR Dec-07" xfId="3184"/>
    <cellStyle name="_LOOKUP_(05) CAR Dec-07_(26) Oct-09 (AL)" xfId="3185"/>
    <cellStyle name="_LOOKUP_(05) CAR Dec-07_(27) Nov-09 (AL)" xfId="3186"/>
    <cellStyle name="_LOOKUP_(05) CAR Dec-07_31.12.09 Mauritius-USD based ledger - Final1" xfId="3187"/>
    <cellStyle name="_LOOKUP_(05) CAR Dec-07_Book1 (4)" xfId="3188"/>
    <cellStyle name="_LOOKUP_(05) CAR Dec-07_Book4" xfId="3189"/>
    <cellStyle name="_LOOKUP_(05) CAR Dec-07_capital adequacy September 2009" xfId="3190"/>
    <cellStyle name="_LOOKUP_(05) CAR Dec-07_Copy of Mauritius-USD based ledger" xfId="3191"/>
    <cellStyle name="_LOOKUP_(05) CAR Dec-07_IBM_Grouped(2)" xfId="3192"/>
    <cellStyle name="_LOOKUP_(05) CAR Dec-07_IBM_Grouped_USD" xfId="3193"/>
    <cellStyle name="_LOOKUP_(05) CAR Dec-07_IBM_Grouped_ZAR" xfId="3194"/>
    <cellStyle name="_LOOKUP_(05) CAR Dec-07_Liquidity and repricing" xfId="3195"/>
    <cellStyle name="_LOOKUP_(05) CAR Dec-07_NOP 2010 01 31 USD BASED" xfId="3196"/>
    <cellStyle name="_LOOKUP_(05) CAR Dec-07_NOP 2010 01 31 USD BASED_Report Finance" xfId="3197"/>
    <cellStyle name="_LOOKUP_(05) CAR Dec-07_NOP 2010 02 28 USD BASED Final" xfId="3198"/>
    <cellStyle name="_LOOKUP_(05) CAR Dec-07_NOP 2010 02 28 USD BASED Final_Report Finance" xfId="3199"/>
    <cellStyle name="_LOOKUP_(05) CAR Dec-07_NOP 2010 03 31 USD BASEDrevised" xfId="3200"/>
    <cellStyle name="_LOOKUP_(05) CAR Dec-07_NOP 2010 03 31 USD BASEDrevised_Report Finance" xfId="3201"/>
    <cellStyle name="_LOOKUP_(05) CAR Dec-07_NOP 2010 04 30" xfId="3202"/>
    <cellStyle name="_LOOKUP_(05) CAR Dec-07_NOP 2010 04 30_Report Finance" xfId="3203"/>
    <cellStyle name="_LOOKUP_(05) CAR Dec-07_ORIGINAL NOP 2009 12 31 USD BASED" xfId="3204"/>
    <cellStyle name="_LOOKUP_(05) CAR Dec-07_ORIGINAL NOP 2009 12 31 USD BASED_Report Finance" xfId="3205"/>
    <cellStyle name="_LOOKUP_(05) CAR Dec-07_Sheet1" xfId="3206"/>
    <cellStyle name="_LOOKUP_(26) Oct-09 (AL)" xfId="3207"/>
    <cellStyle name="_LOOKUP_(27) Nov-09 (AL)" xfId="3208"/>
    <cellStyle name="_LOOKUP_08_IBM_A2.2.1 to A2.2.15_Statutory workings - 31 03 08" xfId="3209"/>
    <cellStyle name="_LOOKUP_08_IBM_A2.2.1 to A2.2.15_Statutory workings - 31 03 08_31.12.09 Mauritius-USD based ledger - Final1" xfId="3210"/>
    <cellStyle name="_LOOKUP_08_IBM_A2.2.1 to A2.2.15_Statutory workings - 31 03 08_Book4" xfId="3211"/>
    <cellStyle name="_LOOKUP_08_IBM_A2.2.1 to A2.2.15_Statutory workings - 31 03 08_Book5" xfId="3212"/>
    <cellStyle name="_LOOKUP_08_IBM_A2.2.1 to A2.2.15_Statutory workings - 31 03 08_Book5_(19) Loan Feb-11(Feb-11 figures)" xfId="3213"/>
    <cellStyle name="_LOOKUP_08_IBM_A2.2.1 to A2.2.15_Statutory workings - 31 03 08_RELATED PARTY-2010 05 31" xfId="3214"/>
    <cellStyle name="_LOOKUP_08_IBM_A2.2.1 to A2.2.15_Statutory workings - 31 03 08_RELATED PARTY-2010 05 31_(19) Loan Feb-11(Feb-11 figures)" xfId="3215"/>
    <cellStyle name="_LOOKUP_31.12.09 Mauritius-USD based ledger - Final1" xfId="3216"/>
    <cellStyle name="_LOOKUP_audit adjustment 2007" xfId="3217"/>
    <cellStyle name="_LOOKUP_audit adjustment 2007_(26) Oct-09 (AL)" xfId="3218"/>
    <cellStyle name="_LOOKUP_audit adjustment 2007_(27) Nov-09 (AL)" xfId="3219"/>
    <cellStyle name="_LOOKUP_audit adjustment 2007_31.12.09 Mauritius-USD based ledger - Final1" xfId="3220"/>
    <cellStyle name="_LOOKUP_audit adjustment 2007_Book1 (4)" xfId="3221"/>
    <cellStyle name="_LOOKUP_audit adjustment 2007_Book4" xfId="3222"/>
    <cellStyle name="_LOOKUP_audit adjustment 2007_capital adequacy September 2009" xfId="3223"/>
    <cellStyle name="_LOOKUP_audit adjustment 2007_Copy of Mauritius-USD based ledger" xfId="3224"/>
    <cellStyle name="_LOOKUP_audit adjustment 2007_IBM_Grouped(2)" xfId="3225"/>
    <cellStyle name="_LOOKUP_audit adjustment 2007_IBM_Grouped_USD" xfId="3226"/>
    <cellStyle name="_LOOKUP_audit adjustment 2007_IBM_Grouped_ZAR" xfId="3227"/>
    <cellStyle name="_LOOKUP_audit adjustment 2007_Liquidity and repricing" xfId="3228"/>
    <cellStyle name="_LOOKUP_audit adjustment 2007_NOP 2010 01 31 USD BASED" xfId="3229"/>
    <cellStyle name="_LOOKUP_audit adjustment 2007_NOP 2010 01 31 USD BASED_Report Finance" xfId="3230"/>
    <cellStyle name="_LOOKUP_audit adjustment 2007_NOP 2010 02 28 USD BASED Final" xfId="3231"/>
    <cellStyle name="_LOOKUP_audit adjustment 2007_NOP 2010 02 28 USD BASED Final_Report Finance" xfId="3232"/>
    <cellStyle name="_LOOKUP_audit adjustment 2007_NOP 2010 03 31 USD BASEDrevised" xfId="3233"/>
    <cellStyle name="_LOOKUP_audit adjustment 2007_NOP 2010 03 31 USD BASEDrevised_Report Finance" xfId="3234"/>
    <cellStyle name="_LOOKUP_audit adjustment 2007_NOP 2010 04 30" xfId="3235"/>
    <cellStyle name="_LOOKUP_audit adjustment 2007_NOP 2010 04 30_Report Finance" xfId="3236"/>
    <cellStyle name="_LOOKUP_audit adjustment 2007_ORIGINAL NOP 2009 12 31 USD BASED" xfId="3237"/>
    <cellStyle name="_LOOKUP_audit adjustment 2007_ORIGINAL NOP 2009 12 31 USD BASED_Report Finance" xfId="3238"/>
    <cellStyle name="_LOOKUP_audit adjustment 2007_Sheet1" xfId="3239"/>
    <cellStyle name="_LOOKUP_BA 610 wkgs &amp; Return - 30 Jun 08" xfId="3240"/>
    <cellStyle name="_LOOKUP_BA 610 wkgs &amp; Return - 30 Sep 08" xfId="3241"/>
    <cellStyle name="_LOOKUP_BA 610 wkgs &amp; Return - 31 Dec 08" xfId="3242"/>
    <cellStyle name="_LOOKUP_BA 610 wkgs &amp; Return - 31 Dec 08 LATEST" xfId="3243"/>
    <cellStyle name="_LOOKUP_BA 610 wkgs -31.03.08(Version 2)" xfId="3244"/>
    <cellStyle name="_LOOKUP_Book1" xfId="3245"/>
    <cellStyle name="_LOOKUP_Book1 (3)" xfId="3246"/>
    <cellStyle name="_LOOKUP_Book1 (4)" xfId="3247"/>
    <cellStyle name="_LOOKUP_Book1_1" xfId="3248"/>
    <cellStyle name="_LOOKUP_Book1_31.12.09 Mauritius-USD based ledger - Final1" xfId="3249"/>
    <cellStyle name="_LOOKUP_Book1_Book4" xfId="3250"/>
    <cellStyle name="_LOOKUP_Book1_Book5" xfId="3251"/>
    <cellStyle name="_LOOKUP_Book1_Book5_(19) Loan Feb-11(Feb-11 figures)" xfId="3252"/>
    <cellStyle name="_LOOKUP_Book1_capital adequacy September 2009" xfId="3253"/>
    <cellStyle name="_LOOKUP_Book1_Copy of Mauritius-USD based ledger" xfId="3254"/>
    <cellStyle name="_LOOKUP_Book1_Ops risk Mauritius - Sep 09 split stephanie after adjusment conversion" xfId="3255"/>
    <cellStyle name="_LOOKUP_Book1_RELATED PARTY-2010 05 31" xfId="3256"/>
    <cellStyle name="_LOOKUP_Book1_RELATED PARTY-2010 05 31_(19) Loan Feb-11(Feb-11 figures)" xfId="3257"/>
    <cellStyle name="_LOOKUP_Book2 (2)" xfId="3258"/>
    <cellStyle name="_LOOKUP_Book3" xfId="3259"/>
    <cellStyle name="_LOOKUP_Book3_31.12.09 Mauritius-USD based ledger - Final1" xfId="3260"/>
    <cellStyle name="_LOOKUP_Book3_Book4" xfId="3261"/>
    <cellStyle name="_LOOKUP_Book3_Book5" xfId="3262"/>
    <cellStyle name="_LOOKUP_Book3_Book5_(19) Loan Feb-11(Feb-11 figures)" xfId="3263"/>
    <cellStyle name="_LOOKUP_Book3_capital adequacy September 2009" xfId="3264"/>
    <cellStyle name="_LOOKUP_Book3_Copy of Mauritius-USD based ledger" xfId="3265"/>
    <cellStyle name="_LOOKUP_Book3_Ops risk Mauritius - Sep 09 split stephanie after adjusment conversion" xfId="3266"/>
    <cellStyle name="_LOOKUP_Book3_RELATED PARTY-2010 05 31" xfId="3267"/>
    <cellStyle name="_LOOKUP_Book3_RELATED PARTY-2010 05 31_(19) Loan Feb-11(Feb-11 figures)" xfId="3268"/>
    <cellStyle name="_LOOKUP_Book4" xfId="3269"/>
    <cellStyle name="_LOOKUP_Book5 (2)" xfId="3270"/>
    <cellStyle name="_LOOKUP_Book5 (2)_Sheet1" xfId="3271"/>
    <cellStyle name="_LOOKUP_Book6" xfId="3272"/>
    <cellStyle name="_LOOKUP_Book6_31.12.09 Mauritius-USD based ledger - Final1" xfId="3273"/>
    <cellStyle name="_LOOKUP_Book6_Book4" xfId="3274"/>
    <cellStyle name="_LOOKUP_Book6_Book5" xfId="3275"/>
    <cellStyle name="_LOOKUP_Book6_Book5_(19) Loan Feb-11(Feb-11 figures)" xfId="3276"/>
    <cellStyle name="_LOOKUP_Book6_capital adequacy September 2009" xfId="3277"/>
    <cellStyle name="_LOOKUP_Book6_Copy of Mauritius-USD based ledger" xfId="3278"/>
    <cellStyle name="_LOOKUP_Book6_Ops risk Mauritius - Sep 09 split stephanie after adjusment conversion" xfId="3279"/>
    <cellStyle name="_LOOKUP_Book6_RELATED PARTY-2010 05 31" xfId="3280"/>
    <cellStyle name="_LOOKUP_Book6_RELATED PARTY-2010 05 31_(19) Loan Feb-11(Feb-11 figures)" xfId="3281"/>
    <cellStyle name="_LOOKUP_BS - Mar 09" xfId="3282"/>
    <cellStyle name="_LOOKUP_capital adequacy September 2009" xfId="3283"/>
    <cellStyle name="_LOOKUP_Detailed BS Dec 07" xfId="3284"/>
    <cellStyle name="_LOOKUP_Detailed BS Dec 07_Avearge retrieval" xfId="3285"/>
    <cellStyle name="_LOOKUP_Detailed BS Dec 07_Avearge retrieval_(26) Oct-09 (AL)" xfId="3286"/>
    <cellStyle name="_LOOKUP_Detailed BS Dec 07_Avearge retrieval_(27) Nov-09 (AL)" xfId="3287"/>
    <cellStyle name="_LOOKUP_Detailed BS Dec 07_Avearge retrieval_31.12.09 Mauritius-USD based ledger - Final1" xfId="3288"/>
    <cellStyle name="_LOOKUP_Detailed BS Dec 07_Avearge retrieval_Book1 (4)" xfId="3289"/>
    <cellStyle name="_LOOKUP_Detailed BS Dec 07_Avearge retrieval_Book4" xfId="3290"/>
    <cellStyle name="_LOOKUP_Detailed BS Dec 07_Avearge retrieval_capital adequacy September 2009" xfId="3291"/>
    <cellStyle name="_LOOKUP_Detailed BS Dec 07_Avearge retrieval_Copy of Mauritius-USD based ledger" xfId="3292"/>
    <cellStyle name="_LOOKUP_Detailed BS Dec 07_Avearge retrieval_IBM_Grouped(2)" xfId="3293"/>
    <cellStyle name="_LOOKUP_Detailed BS Dec 07_Avearge retrieval_IBM_Grouped_USD" xfId="3294"/>
    <cellStyle name="_LOOKUP_Detailed BS Dec 07_Avearge retrieval_IBM_Grouped_ZAR" xfId="3295"/>
    <cellStyle name="_LOOKUP_Detailed BS Dec 07_Avearge retrieval_Liquidity and repricing" xfId="3296"/>
    <cellStyle name="_LOOKUP_Detailed BS Dec 07_Avearge retrieval_NOP 2010 01 31 USD BASED" xfId="3297"/>
    <cellStyle name="_LOOKUP_Detailed BS Dec 07_Avearge retrieval_NOP 2010 01 31 USD BASED_Report Finance" xfId="3298"/>
    <cellStyle name="_LOOKUP_Detailed BS Dec 07_Avearge retrieval_NOP 2010 02 28 USD BASED Final" xfId="3299"/>
    <cellStyle name="_LOOKUP_Detailed BS Dec 07_Avearge retrieval_NOP 2010 02 28 USD BASED Final_Report Finance" xfId="3300"/>
    <cellStyle name="_LOOKUP_Detailed BS Dec 07_Avearge retrieval_NOP 2010 03 31 USD BASEDrevised" xfId="3301"/>
    <cellStyle name="_LOOKUP_Detailed BS Dec 07_Avearge retrieval_NOP 2010 03 31 USD BASEDrevised_Report Finance" xfId="3302"/>
    <cellStyle name="_LOOKUP_Detailed BS Dec 07_Avearge retrieval_NOP 2010 04 30" xfId="3303"/>
    <cellStyle name="_LOOKUP_Detailed BS Dec 07_Avearge retrieval_NOP 2010 04 30_Report Finance" xfId="3304"/>
    <cellStyle name="_LOOKUP_Detailed BS Dec 07_Avearge retrieval_ORIGINAL NOP 2009 12 31 USD BASED" xfId="3305"/>
    <cellStyle name="_LOOKUP_Detailed BS Dec 07_Avearge retrieval_ORIGINAL NOP 2009 12 31 USD BASED_Report Finance" xfId="3306"/>
    <cellStyle name="_LOOKUP_Detailed BS Dec 07_Avearge retrieval_Sheet1" xfId="3307"/>
    <cellStyle name="_LOOKUP_Detailed BS Dec 07_Sheet1" xfId="3308"/>
    <cellStyle name="_LOOKUP_Detailed BS Dec 08" xfId="3309"/>
    <cellStyle name="_LOOKUP_Detailed BS Jun 09" xfId="3310"/>
    <cellStyle name="_LOOKUP_Detailed BS June08" xfId="3311"/>
    <cellStyle name="_LOOKUP_Detailed BS June08_31.12.09 Mauritius-USD based ledger - Final1" xfId="3312"/>
    <cellStyle name="_LOOKUP_Detailed BS June08_Book4" xfId="3313"/>
    <cellStyle name="_LOOKUP_Detailed BS June08_Book5" xfId="3314"/>
    <cellStyle name="_LOOKUP_Detailed BS June08_Book5_(19) Loan Feb-11(Feb-11 figures)" xfId="3315"/>
    <cellStyle name="_LOOKUP_Detailed BS June08_capital adequacy September 2009" xfId="3316"/>
    <cellStyle name="_LOOKUP_Detailed BS June08_Copy of Mauritius-USD based ledger" xfId="3317"/>
    <cellStyle name="_LOOKUP_Detailed BS June08_Ops risk Mauritius - Sep 09 split stephanie after adjusment conversion" xfId="3318"/>
    <cellStyle name="_LOOKUP_Detailed BS June08_RELATED PARTY-2010 05 31" xfId="3319"/>
    <cellStyle name="_LOOKUP_Detailed BS June08_RELATED PARTY-2010 05 31_(19) Loan Feb-11(Feb-11 figures)" xfId="3320"/>
    <cellStyle name="_LOOKUP_Detailed BS March 08(1)" xfId="3321"/>
    <cellStyle name="_LOOKUP_Detailed BS March 08(1)_31.12.09 Mauritius-USD based ledger - Final1" xfId="3322"/>
    <cellStyle name="_LOOKUP_Detailed BS March 08(1)_Book4" xfId="3323"/>
    <cellStyle name="_LOOKUP_Detailed BS March 08(1)_Book5" xfId="3324"/>
    <cellStyle name="_LOOKUP_Detailed BS March 08(1)_Book5_(19) Loan Feb-11(Feb-11 figures)" xfId="3325"/>
    <cellStyle name="_LOOKUP_Detailed BS March 08(1)_capital adequacy September 2009" xfId="3326"/>
    <cellStyle name="_LOOKUP_Detailed BS March 08(1)_Copy of Mauritius-USD based ledger" xfId="3327"/>
    <cellStyle name="_LOOKUP_Detailed BS March 08(1)_Ops risk Mauritius - Sep 09 split stephanie after adjusment conversion" xfId="3328"/>
    <cellStyle name="_LOOKUP_Detailed BS March 08(1)_RELATED PARTY-2010 05 31" xfId="3329"/>
    <cellStyle name="_LOOKUP_Detailed BS March 08(1)_RELATED PARTY-2010 05 31_(19) Loan Feb-11(Feb-11 figures)" xfId="3330"/>
    <cellStyle name="_LOOKUP_Detailed BS March 09" xfId="3331"/>
    <cellStyle name="_LOOKUP_Essbase March 2008" xfId="3332"/>
    <cellStyle name="_LOOKUP_Essbase March 2008_31.12.09 Mauritius-USD based ledger - Final1" xfId="3333"/>
    <cellStyle name="_LOOKUP_Essbase March 2008_Book4" xfId="3334"/>
    <cellStyle name="_LOOKUP_Essbase March 2008_Book5" xfId="3335"/>
    <cellStyle name="_LOOKUP_Essbase March 2008_Book5_(19) Loan Feb-11(Feb-11 figures)" xfId="3336"/>
    <cellStyle name="_LOOKUP_Essbase March 2008_capital adequacy September 2009" xfId="3337"/>
    <cellStyle name="_LOOKUP_Essbase March 2008_Copy of Mauritius-USD based ledger" xfId="3338"/>
    <cellStyle name="_LOOKUP_Essbase March 2008_Ops risk Mauritius - Sep 09 split stephanie after adjusment conversion" xfId="3339"/>
    <cellStyle name="_LOOKUP_Essbase March 2008_RELATED PARTY-2010 05 31" xfId="3340"/>
    <cellStyle name="_LOOKUP_Essbase March 2008_RELATED PARTY-2010 05 31_(19) Loan Feb-11(Feb-11 figures)" xfId="3341"/>
    <cellStyle name="_LOOKUP_FINANCIALS 30-JUN-08-New Format-Auditors-Reformated" xfId="3342"/>
    <cellStyle name="_LOOKUP_Fixed Assets Register 11 Feb10" xfId="3343"/>
    <cellStyle name="_LOOKUP_Fixed Assets Register 11 Feb10_(19) Loan Feb-11(Feb-11 figures)" xfId="3344"/>
    <cellStyle name="_LOOKUP_Fixed Assets Register 12 Mar10.xls" xfId="3345"/>
    <cellStyle name="_LOOKUP_Fixed Assets Register 12 Mar10.xls_(19) Loan Feb-11(Feb-11 figures)" xfId="3346"/>
    <cellStyle name="_LOOKUP_FV of Derivatives - 30 06 09" xfId="3347"/>
    <cellStyle name="_LOOKUP_FV of Derivatives - 31.03.08" xfId="3348"/>
    <cellStyle name="_LOOKUP_FV of Derivatives - 31.03.08_31.12.09 Mauritius-USD based ledger - Final1" xfId="3349"/>
    <cellStyle name="_LOOKUP_FV of Derivatives - 31.03.08_Book4" xfId="3350"/>
    <cellStyle name="_LOOKUP_FV of Derivatives - 31.03.08_Book5" xfId="3351"/>
    <cellStyle name="_LOOKUP_FV of Derivatives - 31.03.08_Book5_(19) Loan Feb-11(Feb-11 figures)" xfId="3352"/>
    <cellStyle name="_LOOKUP_FV of Derivatives - 31.03.08_capital adequacy September 2009" xfId="3353"/>
    <cellStyle name="_LOOKUP_FV of Derivatives - 31.03.08_Copy of Mauritius-USD based ledger" xfId="3354"/>
    <cellStyle name="_LOOKUP_FV of Derivatives - 31.03.08_Ops risk Mauritius - Sep 09 split stephanie after adjusment conversion" xfId="3355"/>
    <cellStyle name="_LOOKUP_FV of Derivatives - 31.03.08_RELATED PARTY-2010 05 31" xfId="3356"/>
    <cellStyle name="_LOOKUP_FV of Derivatives - 31.03.08_RELATED PARTY-2010 05 31_(19) Loan Feb-11(Feb-11 figures)" xfId="3357"/>
    <cellStyle name="_LOOKUP_IBM Input Sheet 31.03.2010 v0.4" xfId="3358"/>
    <cellStyle name="_LOOKUP_IBM Input Sheet 31.03.2010 v0.4_(19) Loan Feb-11(Feb-11 figures)" xfId="3359"/>
    <cellStyle name="_LOOKUP_IBM_Grouped(2)" xfId="3360"/>
    <cellStyle name="_LOOKUP_IBM_Grouped_USD" xfId="3361"/>
    <cellStyle name="_LOOKUP_IBM_Grouped_ZAR" xfId="3362"/>
    <cellStyle name="_LOOKUP_Liquidity and repricing" xfId="3363"/>
    <cellStyle name="_LOOKUP_MUR position" xfId="3364"/>
    <cellStyle name="_LOOKUP_NOP 2010 01 31 USD BASED" xfId="3365"/>
    <cellStyle name="_LOOKUP_NOP 2010 01 31 USD BASED_Report Finance" xfId="3366"/>
    <cellStyle name="_LOOKUP_NOP 2010 02 28 USD BASED Final" xfId="3367"/>
    <cellStyle name="_LOOKUP_NOP 2010 02 28 USD BASED Final_Report Finance" xfId="3368"/>
    <cellStyle name="_LOOKUP_NOP 2010 03 31 USD BASEDrevised" xfId="3369"/>
    <cellStyle name="_LOOKUP_NOP 2010 03 31 USD BASEDrevised_Report Finance" xfId="3370"/>
    <cellStyle name="_LOOKUP_NOP 2010 04 30" xfId="3371"/>
    <cellStyle name="_LOOKUP_NOP 2010 04 30_Report Finance" xfId="3372"/>
    <cellStyle name="_LOOKUP_Opeartional Risk sept 2009" xfId="3373"/>
    <cellStyle name="_LOOKUP_Ops risk Mauritius - Sep 09 split stephanie after adjusment conversion" xfId="3374"/>
    <cellStyle name="_LOOKUP_ORIGINAL NOP 2009 12 31 USD BASED" xfId="3375"/>
    <cellStyle name="_LOOKUP_ORIGINAL NOP 2009 12 31 USD BASED_Report Finance" xfId="3376"/>
    <cellStyle name="_LOOKUP_Related Party Dec-08" xfId="3377"/>
    <cellStyle name="_LOOKUP_Report Finance" xfId="3378"/>
    <cellStyle name="_LOOKUP_SARB BOM Comparison 20081231 v3 0" xfId="3379"/>
    <cellStyle name="_LOOKUP_SARB BOM Comparison 20081231 v3 0v from Mahen" xfId="3380"/>
    <cellStyle name="_LOOKUP_SARBResults_1101" xfId="3381"/>
    <cellStyle name="_LOOKUP_SARBResults_1101_31.12.09 Mauritius-USD based ledger - Final1" xfId="3382"/>
    <cellStyle name="_LOOKUP_SARBResults_1101_Book4" xfId="3383"/>
    <cellStyle name="_LOOKUP_SARBResults_1101_Book5" xfId="3384"/>
    <cellStyle name="_LOOKUP_SARBResults_1101_Book5_(19) Loan Feb-11(Feb-11 figures)" xfId="3385"/>
    <cellStyle name="_LOOKUP_SARBResults_1101_capital adequacy September 2009" xfId="3386"/>
    <cellStyle name="_LOOKUP_SARBResults_1101_Copy of Mauritius-USD based ledger" xfId="3387"/>
    <cellStyle name="_LOOKUP_SARBResults_1101_Ops risk Mauritius - Sep 09 split stephanie after adjusment conversion" xfId="3388"/>
    <cellStyle name="_LOOKUP_SARBResults_1101_RELATED PARTY-2010 05 31" xfId="3389"/>
    <cellStyle name="_LOOKUP_SARBResults_1101_RELATED PARTY-2010 05 31_(19) Loan Feb-11(Feb-11 figures)" xfId="3390"/>
    <cellStyle name="_LOOKUP_SARBResults_2697 (vanessa board2)" xfId="3391"/>
    <cellStyle name="_LOOKUP_Sheet1" xfId="3392"/>
    <cellStyle name="_LOOKUP_Sheet1_1" xfId="3393"/>
    <cellStyle name="_LOOKUP_Statutory Annual Report - 31 03 08" xfId="3394"/>
    <cellStyle name="_LOOKUP_Statutory Annual Report - 31 03 08_31.12.09 Mauritius-USD based ledger - Final1" xfId="3395"/>
    <cellStyle name="_LOOKUP_Statutory Annual Report - 31 03 08_Book4" xfId="3396"/>
    <cellStyle name="_LOOKUP_Statutory Annual Report - 31 03 08_Book5" xfId="3397"/>
    <cellStyle name="_LOOKUP_Statutory Annual Report - 31 03 08_Book5_(19) Loan Feb-11(Feb-11 figures)" xfId="3398"/>
    <cellStyle name="_LOOKUP_Statutory Annual Report - 31 03 08_capital adequacy September 2009" xfId="3399"/>
    <cellStyle name="_LOOKUP_Statutory Annual Report - 31 03 08_Copy of Mauritius-USD based ledger" xfId="3400"/>
    <cellStyle name="_LOOKUP_Statutory Annual Report - 31 03 08_Ops risk Mauritius - Sep 09 split stephanie after adjusment conversion" xfId="3401"/>
    <cellStyle name="_LOOKUP_Statutory Annual Report - 31 03 08_RELATED PARTY-2010 05 31" xfId="3402"/>
    <cellStyle name="_LOOKUP_Statutory Annual Report - 31 03 08_RELATED PARTY-2010 05 31_(19) Loan Feb-11(Feb-11 figures)" xfId="3403"/>
    <cellStyle name="_LTD Consol March 2009 15.05" xfId="3404"/>
    <cellStyle name="_man swaps" xfId="3405"/>
    <cellStyle name="_man swaps_Sheet1" xfId="3406"/>
    <cellStyle name="_Manual Tkts" xfId="3407"/>
    <cellStyle name="_Manual Tkts_Sheet1" xfId="3408"/>
    <cellStyle name="_Mapping" xfId="3409"/>
    <cellStyle name="_Mapping_Sheet1" xfId="3410"/>
    <cellStyle name="_mir-2000-Nov-03_eod " xfId="3411"/>
    <cellStyle name="_mir-2000-Nov-03_eod _Sheet1" xfId="3412"/>
    <cellStyle name="_ML HG LIST" xfId="3413"/>
    <cellStyle name="_MRS Consol March 2009 (4)" xfId="3414"/>
    <cellStyle name="_Multiple" xfId="3415"/>
    <cellStyle name="_MultipleSpace" xfId="3416"/>
    <cellStyle name="_Nf" xfId="3417"/>
    <cellStyle name="_Nf_Sheet1" xfId="3418"/>
    <cellStyle name="_Ng" xfId="3419"/>
    <cellStyle name="_Ng_Sheet1" xfId="3420"/>
    <cellStyle name="_o trade" xfId="3421"/>
    <cellStyle name="_o trade_Sheet1" xfId="3422"/>
    <cellStyle name="_Oa" xfId="3423"/>
    <cellStyle name="_Oa_Sheet1" xfId="3424"/>
    <cellStyle name="_Ob" xfId="3425"/>
    <cellStyle name="_Ob_Sheet1" xfId="3426"/>
    <cellStyle name="_Oc" xfId="3427"/>
    <cellStyle name="_Oc_Sheet1" xfId="3428"/>
    <cellStyle name="_Offer Sheet" xfId="3429"/>
    <cellStyle name="_Offer Sheet_Sheet1" xfId="3430"/>
    <cellStyle name="_Output" xfId="3431"/>
    <cellStyle name="_Pa" xfId="3432"/>
    <cellStyle name="_Pa_Sheet1" xfId="3433"/>
    <cellStyle name="_Pack supporting info 31 Jan 09" xfId="3434"/>
    <cellStyle name="_Pack supporting info 31 Jan 09_(19) Loan Feb-11(Feb-11 figures)" xfId="3435"/>
    <cellStyle name="_Pack supporting info 31 Jan 09_(32) Mar-10 Breakdown of Credit" xfId="3436"/>
    <cellStyle name="_Pack supporting info 31 Jan 09_(32) Mar-10 Loan" xfId="3437"/>
    <cellStyle name="_Pack supporting info 31 Jan 09_(33) Apr-10 Breakdown of Credit" xfId="3438"/>
    <cellStyle name="_Pack supporting info 31 Jan 09_(33) Apr-10 Loan" xfId="3439"/>
    <cellStyle name="_Pack supporting info 31 Jan 09_Book15" xfId="3440"/>
    <cellStyle name="_Pack supporting info 31 Jan 09_Book16" xfId="3441"/>
    <cellStyle name="_Pack supporting info 31 Jan 09_Book17" xfId="3442"/>
    <cellStyle name="_Pack supporting info 31 Jan 09_Book19" xfId="3443"/>
    <cellStyle name="_Pack supporting info 31 Jan 09_Book20" xfId="3444"/>
    <cellStyle name="_Pack supporting info 31 Jan 09_Book8" xfId="3445"/>
    <cellStyle name="_Pack supporting info 31 Jan 09_Book9" xfId="3446"/>
    <cellStyle name="_page q 2" xfId="3447"/>
    <cellStyle name="_page q 2_Sheet1" xfId="3448"/>
    <cellStyle name="_pageO" xfId="3449"/>
    <cellStyle name="_pageO_Sheet1" xfId="3450"/>
    <cellStyle name="_PB Consol September (5)" xfId="3451"/>
    <cellStyle name="_Pine Mountain 2_Omnicron Request_10.15.06" xfId="3452"/>
    <cellStyle name="_Pine Mountain 2_Omnicron Request_10.15.06_Report Finance" xfId="3453"/>
    <cellStyle name="_Pine Mountain 2_Omnicron Request_10.15.06_Sheet1" xfId="3454"/>
    <cellStyle name="_PLT interdiv" xfId="3455"/>
    <cellStyle name="_PLT interdiv_Sheet1" xfId="3456"/>
    <cellStyle name="_PM2_CDO Stress Runs for Ischus_10.12.06" xfId="3457"/>
    <cellStyle name="_PM2_CDO Stress Runs for Ischus_10.12.06_Sheet1" xfId="3458"/>
    <cellStyle name="_Portfolio" xfId="3459"/>
    <cellStyle name="_Portfolio Data Spreadsheet (2006-08-21)" xfId="3460"/>
    <cellStyle name="_Portfolio Definition" xfId="3461"/>
    <cellStyle name="_Portfolio Definition_1" xfId="3462"/>
    <cellStyle name="_Portfolio Definition_1_Sheet1" xfId="3463"/>
    <cellStyle name="_Portfolio Definition_Correlation Matrix" xfId="3464"/>
    <cellStyle name="_Portfolio Definition_Factor Exposure" xfId="3465"/>
    <cellStyle name="_Portfolio Definition_Portfolio Definition" xfId="3466"/>
    <cellStyle name="_Portfolio Definition_Recovery Rates" xfId="3467"/>
    <cellStyle name="_Portfolio Lookup" xfId="3468"/>
    <cellStyle name="_Portfolio_(05) CAR Dec-07" xfId="3469"/>
    <cellStyle name="_Portfolio_(05) CAR Dec-07_(26) Oct-09 (AL)" xfId="3470"/>
    <cellStyle name="_Portfolio_(05) CAR Dec-07_(27) Nov-09 (AL)" xfId="3471"/>
    <cellStyle name="_Portfolio_(05) CAR Dec-07_31.12.09 Mauritius-USD based ledger - Final1" xfId="3472"/>
    <cellStyle name="_Portfolio_(05) CAR Dec-07_Book1 (4)" xfId="3473"/>
    <cellStyle name="_Portfolio_(05) CAR Dec-07_Book4" xfId="3474"/>
    <cellStyle name="_Portfolio_(05) CAR Dec-07_capital adequacy September 2009" xfId="3475"/>
    <cellStyle name="_Portfolio_(05) CAR Dec-07_Copy of Mauritius-USD based ledger" xfId="3476"/>
    <cellStyle name="_Portfolio_(05) CAR Dec-07_IBM_Grouped(2)" xfId="3477"/>
    <cellStyle name="_Portfolio_(05) CAR Dec-07_IBM_Grouped_USD" xfId="3478"/>
    <cellStyle name="_Portfolio_(05) CAR Dec-07_IBM_Grouped_ZAR" xfId="3479"/>
    <cellStyle name="_Portfolio_(05) CAR Dec-07_Liquidity and repricing" xfId="3480"/>
    <cellStyle name="_Portfolio_(05) CAR Dec-07_NOP 2010 01 31 USD BASED" xfId="3481"/>
    <cellStyle name="_Portfolio_(05) CAR Dec-07_NOP 2010 01 31 USD BASED_Report Finance" xfId="3482"/>
    <cellStyle name="_Portfolio_(05) CAR Dec-07_NOP 2010 02 28 USD BASED Final" xfId="3483"/>
    <cellStyle name="_Portfolio_(05) CAR Dec-07_NOP 2010 02 28 USD BASED Final_Report Finance" xfId="3484"/>
    <cellStyle name="_Portfolio_(05) CAR Dec-07_NOP 2010 03 31 USD BASEDrevised" xfId="3485"/>
    <cellStyle name="_Portfolio_(05) CAR Dec-07_NOP 2010 03 31 USD BASEDrevised_Report Finance" xfId="3486"/>
    <cellStyle name="_Portfolio_(05) CAR Dec-07_NOP 2010 04 30" xfId="3487"/>
    <cellStyle name="_Portfolio_(05) CAR Dec-07_NOP 2010 04 30_Report Finance" xfId="3488"/>
    <cellStyle name="_Portfolio_(05) CAR Dec-07_ORIGINAL NOP 2009 12 31 USD BASED" xfId="3489"/>
    <cellStyle name="_Portfolio_(05) CAR Dec-07_ORIGINAL NOP 2009 12 31 USD BASED_Report Finance" xfId="3490"/>
    <cellStyle name="_Portfolio_(05) CAR Dec-07_Sheet1" xfId="3491"/>
    <cellStyle name="_Portfolio_(26) Oct-09 (AL)" xfId="3492"/>
    <cellStyle name="_Portfolio_(27) Nov-09 (AL)" xfId="3493"/>
    <cellStyle name="_Portfolio_08_IBM_A2.2.1 to A2.2.15_Statutory workings - 31 03 08" xfId="3494"/>
    <cellStyle name="_Portfolio_08_IBM_A2.2.1 to A2.2.15_Statutory workings - 31 03 08_31.12.09 Mauritius-USD based ledger - Final1" xfId="3495"/>
    <cellStyle name="_Portfolio_08_IBM_A2.2.1 to A2.2.15_Statutory workings - 31 03 08_Book4" xfId="3496"/>
    <cellStyle name="_Portfolio_08_IBM_A2.2.1 to A2.2.15_Statutory workings - 31 03 08_Book5" xfId="3497"/>
    <cellStyle name="_Portfolio_08_IBM_A2.2.1 to A2.2.15_Statutory workings - 31 03 08_Book5_(19) Loan Feb-11(Feb-11 figures)" xfId="3498"/>
    <cellStyle name="_Portfolio_08_IBM_A2.2.1 to A2.2.15_Statutory workings - 31 03 08_RELATED PARTY-2010 05 31" xfId="3499"/>
    <cellStyle name="_Portfolio_08_IBM_A2.2.1 to A2.2.15_Statutory workings - 31 03 08_RELATED PARTY-2010 05 31_(19) Loan Feb-11(Feb-11 figures)" xfId="3500"/>
    <cellStyle name="_Portfolio_31.12.09 Mauritius-USD based ledger - Final1" xfId="3501"/>
    <cellStyle name="_Portfolio_audit adjustment 2007" xfId="3502"/>
    <cellStyle name="_Portfolio_audit adjustment 2007_(26) Oct-09 (AL)" xfId="3503"/>
    <cellStyle name="_Portfolio_audit adjustment 2007_(27) Nov-09 (AL)" xfId="3504"/>
    <cellStyle name="_Portfolio_audit adjustment 2007_31.12.09 Mauritius-USD based ledger - Final1" xfId="3505"/>
    <cellStyle name="_Portfolio_audit adjustment 2007_Book1 (4)" xfId="3506"/>
    <cellStyle name="_Portfolio_audit adjustment 2007_Book4" xfId="3507"/>
    <cellStyle name="_Portfolio_audit adjustment 2007_capital adequacy September 2009" xfId="3508"/>
    <cellStyle name="_Portfolio_audit adjustment 2007_Copy of Mauritius-USD based ledger" xfId="3509"/>
    <cellStyle name="_Portfolio_audit adjustment 2007_IBM_Grouped(2)" xfId="3510"/>
    <cellStyle name="_Portfolio_audit adjustment 2007_IBM_Grouped_USD" xfId="3511"/>
    <cellStyle name="_Portfolio_audit adjustment 2007_IBM_Grouped_ZAR" xfId="3512"/>
    <cellStyle name="_Portfolio_audit adjustment 2007_Liquidity and repricing" xfId="3513"/>
    <cellStyle name="_Portfolio_audit adjustment 2007_NOP 2010 01 31 USD BASED" xfId="3514"/>
    <cellStyle name="_Portfolio_audit adjustment 2007_NOP 2010 01 31 USD BASED_Report Finance" xfId="3515"/>
    <cellStyle name="_Portfolio_audit adjustment 2007_NOP 2010 02 28 USD BASED Final" xfId="3516"/>
    <cellStyle name="_Portfolio_audit adjustment 2007_NOP 2010 02 28 USD BASED Final_Report Finance" xfId="3517"/>
    <cellStyle name="_Portfolio_audit adjustment 2007_NOP 2010 03 31 USD BASEDrevised" xfId="3518"/>
    <cellStyle name="_Portfolio_audit adjustment 2007_NOP 2010 03 31 USD BASEDrevised_Report Finance" xfId="3519"/>
    <cellStyle name="_Portfolio_audit adjustment 2007_NOP 2010 04 30" xfId="3520"/>
    <cellStyle name="_Portfolio_audit adjustment 2007_NOP 2010 04 30_Report Finance" xfId="3521"/>
    <cellStyle name="_Portfolio_audit adjustment 2007_ORIGINAL NOP 2009 12 31 USD BASED" xfId="3522"/>
    <cellStyle name="_Portfolio_audit adjustment 2007_ORIGINAL NOP 2009 12 31 USD BASED_Report Finance" xfId="3523"/>
    <cellStyle name="_Portfolio_audit adjustment 2007_Sheet1" xfId="3524"/>
    <cellStyle name="_Portfolio_BA 610 wkgs &amp; Return - 30 Jun 08" xfId="3525"/>
    <cellStyle name="_Portfolio_BA 610 wkgs &amp; Return - 30 Sep 08" xfId="3526"/>
    <cellStyle name="_Portfolio_BA 610 wkgs &amp; Return - 31 Dec 08" xfId="3527"/>
    <cellStyle name="_Portfolio_BA 610 wkgs &amp; Return - 31 Dec 08 LATEST" xfId="3528"/>
    <cellStyle name="_Portfolio_BA 610 wkgs -31.03.08(Version 2)" xfId="3529"/>
    <cellStyle name="_Portfolio_Book1" xfId="3530"/>
    <cellStyle name="_Portfolio_Book1 (3)" xfId="3531"/>
    <cellStyle name="_Portfolio_Book1 (4)" xfId="3532"/>
    <cellStyle name="_Portfolio_Book1_1" xfId="3533"/>
    <cellStyle name="_Portfolio_Book1_31.12.09 Mauritius-USD based ledger - Final1" xfId="3534"/>
    <cellStyle name="_Portfolio_Book1_Book4" xfId="3535"/>
    <cellStyle name="_Portfolio_Book1_Book5" xfId="3536"/>
    <cellStyle name="_Portfolio_Book1_Book5_(19) Loan Feb-11(Feb-11 figures)" xfId="3537"/>
    <cellStyle name="_Portfolio_Book1_capital adequacy September 2009" xfId="3538"/>
    <cellStyle name="_Portfolio_Book1_Copy of Mauritius-USD based ledger" xfId="3539"/>
    <cellStyle name="_Portfolio_Book1_Ops risk Mauritius - Sep 09 split stephanie after adjusment conversion" xfId="3540"/>
    <cellStyle name="_Portfolio_Book1_RELATED PARTY-2010 05 31" xfId="3541"/>
    <cellStyle name="_Portfolio_Book1_RELATED PARTY-2010 05 31_(19) Loan Feb-11(Feb-11 figures)" xfId="3542"/>
    <cellStyle name="_Portfolio_Book2 (2)" xfId="3543"/>
    <cellStyle name="_Portfolio_Book3" xfId="3544"/>
    <cellStyle name="_Portfolio_Book3_31.12.09 Mauritius-USD based ledger - Final1" xfId="3545"/>
    <cellStyle name="_Portfolio_Book3_Book4" xfId="3546"/>
    <cellStyle name="_Portfolio_Book3_Book5" xfId="3547"/>
    <cellStyle name="_Portfolio_Book3_Book5_(19) Loan Feb-11(Feb-11 figures)" xfId="3548"/>
    <cellStyle name="_Portfolio_Book3_capital adequacy September 2009" xfId="3549"/>
    <cellStyle name="_Portfolio_Book3_Copy of Mauritius-USD based ledger" xfId="3550"/>
    <cellStyle name="_Portfolio_Book3_Ops risk Mauritius - Sep 09 split stephanie after adjusment conversion" xfId="3551"/>
    <cellStyle name="_Portfolio_Book3_RELATED PARTY-2010 05 31" xfId="3552"/>
    <cellStyle name="_Portfolio_Book3_RELATED PARTY-2010 05 31_(19) Loan Feb-11(Feb-11 figures)" xfId="3553"/>
    <cellStyle name="_Portfolio_Book4" xfId="3554"/>
    <cellStyle name="_Portfolio_Book5 (2)" xfId="3555"/>
    <cellStyle name="_Portfolio_Book5 (2)_Sheet1" xfId="3556"/>
    <cellStyle name="_Portfolio_Book6" xfId="3557"/>
    <cellStyle name="_Portfolio_Book6_31.12.09 Mauritius-USD based ledger - Final1" xfId="3558"/>
    <cellStyle name="_Portfolio_Book6_Book4" xfId="3559"/>
    <cellStyle name="_Portfolio_Book6_Book5" xfId="3560"/>
    <cellStyle name="_Portfolio_Book6_Book5_(19) Loan Feb-11(Feb-11 figures)" xfId="3561"/>
    <cellStyle name="_Portfolio_Book6_capital adequacy September 2009" xfId="3562"/>
    <cellStyle name="_Portfolio_Book6_Copy of Mauritius-USD based ledger" xfId="3563"/>
    <cellStyle name="_Portfolio_Book6_Ops risk Mauritius - Sep 09 split stephanie after adjusment conversion" xfId="3564"/>
    <cellStyle name="_Portfolio_Book6_RELATED PARTY-2010 05 31" xfId="3565"/>
    <cellStyle name="_Portfolio_Book6_RELATED PARTY-2010 05 31_(19) Loan Feb-11(Feb-11 figures)" xfId="3566"/>
    <cellStyle name="_Portfolio_BS - Mar 09" xfId="3567"/>
    <cellStyle name="_Portfolio_capital adequacy September 2009" xfId="3568"/>
    <cellStyle name="_Portfolio_Detailed BS Dec 07" xfId="3569"/>
    <cellStyle name="_Portfolio_Detailed BS Dec 07_Avearge retrieval" xfId="3570"/>
    <cellStyle name="_Portfolio_Detailed BS Dec 07_Avearge retrieval_(26) Oct-09 (AL)" xfId="3571"/>
    <cellStyle name="_Portfolio_Detailed BS Dec 07_Avearge retrieval_(27) Nov-09 (AL)" xfId="3572"/>
    <cellStyle name="_Portfolio_Detailed BS Dec 07_Avearge retrieval_31.12.09 Mauritius-USD based ledger - Final1" xfId="3573"/>
    <cellStyle name="_Portfolio_Detailed BS Dec 07_Avearge retrieval_Book1 (4)" xfId="3574"/>
    <cellStyle name="_Portfolio_Detailed BS Dec 07_Avearge retrieval_Book4" xfId="3575"/>
    <cellStyle name="_Portfolio_Detailed BS Dec 07_Avearge retrieval_capital adequacy September 2009" xfId="3576"/>
    <cellStyle name="_Portfolio_Detailed BS Dec 07_Avearge retrieval_Copy of Mauritius-USD based ledger" xfId="3577"/>
    <cellStyle name="_Portfolio_Detailed BS Dec 07_Avearge retrieval_IBM_Grouped(2)" xfId="3578"/>
    <cellStyle name="_Portfolio_Detailed BS Dec 07_Avearge retrieval_IBM_Grouped_USD" xfId="3579"/>
    <cellStyle name="_Portfolio_Detailed BS Dec 07_Avearge retrieval_IBM_Grouped_ZAR" xfId="3580"/>
    <cellStyle name="_Portfolio_Detailed BS Dec 07_Avearge retrieval_Liquidity and repricing" xfId="3581"/>
    <cellStyle name="_Portfolio_Detailed BS Dec 07_Avearge retrieval_NOP 2010 01 31 USD BASED" xfId="3582"/>
    <cellStyle name="_Portfolio_Detailed BS Dec 07_Avearge retrieval_NOP 2010 01 31 USD BASED_Report Finance" xfId="3583"/>
    <cellStyle name="_Portfolio_Detailed BS Dec 07_Avearge retrieval_NOP 2010 02 28 USD BASED Final" xfId="3584"/>
    <cellStyle name="_Portfolio_Detailed BS Dec 07_Avearge retrieval_NOP 2010 02 28 USD BASED Final_Report Finance" xfId="3585"/>
    <cellStyle name="_Portfolio_Detailed BS Dec 07_Avearge retrieval_NOP 2010 03 31 USD BASEDrevised" xfId="3586"/>
    <cellStyle name="_Portfolio_Detailed BS Dec 07_Avearge retrieval_NOP 2010 03 31 USD BASEDrevised_Report Finance" xfId="3587"/>
    <cellStyle name="_Portfolio_Detailed BS Dec 07_Avearge retrieval_NOP 2010 04 30" xfId="3588"/>
    <cellStyle name="_Portfolio_Detailed BS Dec 07_Avearge retrieval_NOP 2010 04 30_Report Finance" xfId="3589"/>
    <cellStyle name="_Portfolio_Detailed BS Dec 07_Avearge retrieval_ORIGINAL NOP 2009 12 31 USD BASED" xfId="3590"/>
    <cellStyle name="_Portfolio_Detailed BS Dec 07_Avearge retrieval_ORIGINAL NOP 2009 12 31 USD BASED_Report Finance" xfId="3591"/>
    <cellStyle name="_Portfolio_Detailed BS Dec 07_Avearge retrieval_Sheet1" xfId="3592"/>
    <cellStyle name="_Portfolio_Detailed BS Dec 07_Sheet1" xfId="3593"/>
    <cellStyle name="_Portfolio_Detailed BS Dec 08" xfId="3594"/>
    <cellStyle name="_Portfolio_Detailed BS Jun 09" xfId="3595"/>
    <cellStyle name="_Portfolio_Detailed BS June08" xfId="3596"/>
    <cellStyle name="_Portfolio_Detailed BS June08_31.12.09 Mauritius-USD based ledger - Final1" xfId="3597"/>
    <cellStyle name="_Portfolio_Detailed BS June08_Book4" xfId="3598"/>
    <cellStyle name="_Portfolio_Detailed BS June08_Book5" xfId="3599"/>
    <cellStyle name="_Portfolio_Detailed BS June08_Book5_(19) Loan Feb-11(Feb-11 figures)" xfId="3600"/>
    <cellStyle name="_Portfolio_Detailed BS June08_capital adequacy September 2009" xfId="3601"/>
    <cellStyle name="_Portfolio_Detailed BS June08_Copy of Mauritius-USD based ledger" xfId="3602"/>
    <cellStyle name="_Portfolio_Detailed BS June08_Ops risk Mauritius - Sep 09 split stephanie after adjusment conversion" xfId="3603"/>
    <cellStyle name="_Portfolio_Detailed BS June08_RELATED PARTY-2010 05 31" xfId="3604"/>
    <cellStyle name="_Portfolio_Detailed BS June08_RELATED PARTY-2010 05 31_(19) Loan Feb-11(Feb-11 figures)" xfId="3605"/>
    <cellStyle name="_Portfolio_Detailed BS March 08(1)" xfId="3606"/>
    <cellStyle name="_Portfolio_Detailed BS March 08(1)_31.12.09 Mauritius-USD based ledger - Final1" xfId="3607"/>
    <cellStyle name="_Portfolio_Detailed BS March 08(1)_Book4" xfId="3608"/>
    <cellStyle name="_Portfolio_Detailed BS March 08(1)_Book5" xfId="3609"/>
    <cellStyle name="_Portfolio_Detailed BS March 08(1)_Book5_(19) Loan Feb-11(Feb-11 figures)" xfId="3610"/>
    <cellStyle name="_Portfolio_Detailed BS March 08(1)_capital adequacy September 2009" xfId="3611"/>
    <cellStyle name="_Portfolio_Detailed BS March 08(1)_Copy of Mauritius-USD based ledger" xfId="3612"/>
    <cellStyle name="_Portfolio_Detailed BS March 08(1)_Ops risk Mauritius - Sep 09 split stephanie after adjusment conversion" xfId="3613"/>
    <cellStyle name="_Portfolio_Detailed BS March 08(1)_RELATED PARTY-2010 05 31" xfId="3614"/>
    <cellStyle name="_Portfolio_Detailed BS March 08(1)_RELATED PARTY-2010 05 31_(19) Loan Feb-11(Feb-11 figures)" xfId="3615"/>
    <cellStyle name="_Portfolio_Detailed BS March 09" xfId="3616"/>
    <cellStyle name="_Portfolio_Essbase March 2008" xfId="3617"/>
    <cellStyle name="_Portfolio_Essbase March 2008_31.12.09 Mauritius-USD based ledger - Final1" xfId="3618"/>
    <cellStyle name="_Portfolio_Essbase March 2008_Book4" xfId="3619"/>
    <cellStyle name="_Portfolio_Essbase March 2008_Book5" xfId="3620"/>
    <cellStyle name="_Portfolio_Essbase March 2008_Book5_(19) Loan Feb-11(Feb-11 figures)" xfId="3621"/>
    <cellStyle name="_Portfolio_Essbase March 2008_capital adequacy September 2009" xfId="3622"/>
    <cellStyle name="_Portfolio_Essbase March 2008_Copy of Mauritius-USD based ledger" xfId="3623"/>
    <cellStyle name="_Portfolio_Essbase March 2008_Ops risk Mauritius - Sep 09 split stephanie after adjusment conversion" xfId="3624"/>
    <cellStyle name="_Portfolio_Essbase March 2008_RELATED PARTY-2010 05 31" xfId="3625"/>
    <cellStyle name="_Portfolio_Essbase March 2008_RELATED PARTY-2010 05 31_(19) Loan Feb-11(Feb-11 figures)" xfId="3626"/>
    <cellStyle name="_Portfolio_FINANCIALS 30-JUN-08-New Format-Auditors-Reformated" xfId="3627"/>
    <cellStyle name="_Portfolio_Fixed Assets Register 11 Feb10" xfId="3628"/>
    <cellStyle name="_Portfolio_Fixed Assets Register 11 Feb10_(19) Loan Feb-11(Feb-11 figures)" xfId="3629"/>
    <cellStyle name="_Portfolio_Fixed Assets Register 12 Mar10.xls" xfId="3630"/>
    <cellStyle name="_Portfolio_Fixed Assets Register 12 Mar10.xls_(19) Loan Feb-11(Feb-11 figures)" xfId="3631"/>
    <cellStyle name="_Portfolio_FV of Derivatives - 30 06 09" xfId="3632"/>
    <cellStyle name="_Portfolio_FV of Derivatives - 31.03.08" xfId="3633"/>
    <cellStyle name="_Portfolio_FV of Derivatives - 31.03.08_31.12.09 Mauritius-USD based ledger - Final1" xfId="3634"/>
    <cellStyle name="_Portfolio_FV of Derivatives - 31.03.08_Book4" xfId="3635"/>
    <cellStyle name="_Portfolio_FV of Derivatives - 31.03.08_Book5" xfId="3636"/>
    <cellStyle name="_Portfolio_FV of Derivatives - 31.03.08_Book5_(19) Loan Feb-11(Feb-11 figures)" xfId="3637"/>
    <cellStyle name="_Portfolio_FV of Derivatives - 31.03.08_capital adequacy September 2009" xfId="3638"/>
    <cellStyle name="_Portfolio_FV of Derivatives - 31.03.08_Copy of Mauritius-USD based ledger" xfId="3639"/>
    <cellStyle name="_Portfolio_FV of Derivatives - 31.03.08_Ops risk Mauritius - Sep 09 split stephanie after adjusment conversion" xfId="3640"/>
    <cellStyle name="_Portfolio_FV of Derivatives - 31.03.08_RELATED PARTY-2010 05 31" xfId="3641"/>
    <cellStyle name="_Portfolio_FV of Derivatives - 31.03.08_RELATED PARTY-2010 05 31_(19) Loan Feb-11(Feb-11 figures)" xfId="3642"/>
    <cellStyle name="_Portfolio_IBM Input Sheet 31.03.2010 v0.4" xfId="3643"/>
    <cellStyle name="_Portfolio_IBM Input Sheet 31.03.2010 v0.4_(19) Loan Feb-11(Feb-11 figures)" xfId="3644"/>
    <cellStyle name="_Portfolio_IBM_Grouped(2)" xfId="3645"/>
    <cellStyle name="_Portfolio_IBM_Grouped_USD" xfId="3646"/>
    <cellStyle name="_Portfolio_IBM_Grouped_ZAR" xfId="3647"/>
    <cellStyle name="_Portfolio_Liquidity and repricing" xfId="3648"/>
    <cellStyle name="_Portfolio_MUR position" xfId="3649"/>
    <cellStyle name="_Portfolio_NOP 2010 01 31 USD BASED" xfId="3650"/>
    <cellStyle name="_Portfolio_NOP 2010 01 31 USD BASED_Report Finance" xfId="3651"/>
    <cellStyle name="_Portfolio_NOP 2010 02 28 USD BASED Final" xfId="3652"/>
    <cellStyle name="_Portfolio_NOP 2010 02 28 USD BASED Final_Report Finance" xfId="3653"/>
    <cellStyle name="_Portfolio_NOP 2010 03 31 USD BASEDrevised" xfId="3654"/>
    <cellStyle name="_Portfolio_NOP 2010 03 31 USD BASEDrevised_Report Finance" xfId="3655"/>
    <cellStyle name="_Portfolio_NOP 2010 04 30" xfId="3656"/>
    <cellStyle name="_Portfolio_NOP 2010 04 30_Report Finance" xfId="3657"/>
    <cellStyle name="_Portfolio_Opeartional Risk sept 2009" xfId="3658"/>
    <cellStyle name="_Portfolio_Ops risk Mauritius - Sep 09 split stephanie after adjusment conversion" xfId="3659"/>
    <cellStyle name="_Portfolio_ORIGINAL NOP 2009 12 31 USD BASED" xfId="3660"/>
    <cellStyle name="_Portfolio_ORIGINAL NOP 2009 12 31 USD BASED_Report Finance" xfId="3661"/>
    <cellStyle name="_Portfolio_Ratings action BLP links" xfId="3662"/>
    <cellStyle name="_Portfolio_Related Party Dec-08" xfId="3663"/>
    <cellStyle name="_Portfolio_Report Finance" xfId="3664"/>
    <cellStyle name="_Portfolio_SARB BOM Comparison 20081231 v3 0" xfId="3665"/>
    <cellStyle name="_Portfolio_SARB BOM Comparison 20081231 v3 0v from Mahen" xfId="3666"/>
    <cellStyle name="_Portfolio_SARBResults_1101" xfId="3667"/>
    <cellStyle name="_Portfolio_SARBResults_1101_31.12.09 Mauritius-USD based ledger - Final1" xfId="3668"/>
    <cellStyle name="_Portfolio_SARBResults_1101_Book4" xfId="3669"/>
    <cellStyle name="_Portfolio_SARBResults_1101_Book5" xfId="3670"/>
    <cellStyle name="_Portfolio_SARBResults_1101_Book5_(19) Loan Feb-11(Feb-11 figures)" xfId="3671"/>
    <cellStyle name="_Portfolio_SARBResults_1101_capital adequacy September 2009" xfId="3672"/>
    <cellStyle name="_Portfolio_SARBResults_1101_Copy of Mauritius-USD based ledger" xfId="3673"/>
    <cellStyle name="_Portfolio_SARBResults_1101_Ops risk Mauritius - Sep 09 split stephanie after adjusment conversion" xfId="3674"/>
    <cellStyle name="_Portfolio_SARBResults_1101_RELATED PARTY-2010 05 31" xfId="3675"/>
    <cellStyle name="_Portfolio_SARBResults_1101_RELATED PARTY-2010 05 31_(19) Loan Feb-11(Feb-11 figures)" xfId="3676"/>
    <cellStyle name="_Portfolio_SARBResults_2697 (vanessa board2)" xfId="3677"/>
    <cellStyle name="_Portfolio_Sheet1" xfId="3678"/>
    <cellStyle name="_Portfolio_Sheet1_1" xfId="3679"/>
    <cellStyle name="_Portfolio_Statutory Annual Report - 31 03 08" xfId="3680"/>
    <cellStyle name="_Portfolio_Statutory Annual Report - 31 03 08_31.12.09 Mauritius-USD based ledger - Final1" xfId="3681"/>
    <cellStyle name="_Portfolio_Statutory Annual Report - 31 03 08_Book4" xfId="3682"/>
    <cellStyle name="_Portfolio_Statutory Annual Report - 31 03 08_Book5" xfId="3683"/>
    <cellStyle name="_Portfolio_Statutory Annual Report - 31 03 08_Book5_(19) Loan Feb-11(Feb-11 figures)" xfId="3684"/>
    <cellStyle name="_Portfolio_Statutory Annual Report - 31 03 08_capital adequacy September 2009" xfId="3685"/>
    <cellStyle name="_Portfolio_Statutory Annual Report - 31 03 08_Copy of Mauritius-USD based ledger" xfId="3686"/>
    <cellStyle name="_Portfolio_Statutory Annual Report - 31 03 08_Ops risk Mauritius - Sep 09 split stephanie after adjusment conversion" xfId="3687"/>
    <cellStyle name="_Portfolio_Statutory Annual Report - 31 03 08_RELATED PARTY-2010 05 31" xfId="3688"/>
    <cellStyle name="_Portfolio_Statutory Annual Report - 31 03 08_RELATED PARTY-2010 05 31_(19) Loan Feb-11(Feb-11 figures)" xfId="3689"/>
    <cellStyle name="_Positions" xfId="3690"/>
    <cellStyle name="_Positions_Sheet1" xfId="3691"/>
    <cellStyle name="_Pricing Lookup" xfId="3692"/>
    <cellStyle name="_Pricing Lookup_Sheet1" xfId="3693"/>
    <cellStyle name="_Prp5_ Bond_Prices" xfId="3694"/>
    <cellStyle name="_Prp5_ Bond_Prices_Sheet1" xfId="3695"/>
    <cellStyle name="_Qa" xfId="3696"/>
    <cellStyle name="_Qa_Sheet1" xfId="3697"/>
    <cellStyle name="_Qb" xfId="3698"/>
    <cellStyle name="_Qb_Sheet1" xfId="3699"/>
    <cellStyle name="_Rating" xfId="3700"/>
    <cellStyle name="_Rating_Sheet1" xfId="3701"/>
    <cellStyle name="_Ratings" xfId="3702"/>
    <cellStyle name="_Ratings_Sheet1" xfId="3703"/>
    <cellStyle name="_Recon" xfId="3704"/>
    <cellStyle name="_Recon_Sheet1" xfId="3705"/>
    <cellStyle name="_Ref Ob. Underlying Collateral" xfId="3706"/>
    <cellStyle name="_Ref Ob. Underlying Collateral_Sheet1" xfId="3707"/>
    <cellStyle name="_Rid_10_xt_ml_s31" xfId="3708"/>
    <cellStyle name="_Rid_10_xt_ml_s31 2" xfId="3709"/>
    <cellStyle name="_Rid_10_xt_ml_s6" xfId="3710"/>
    <cellStyle name="_Rid_10_xt_ml_s6 2" xfId="3711"/>
    <cellStyle name="_Rid_10_xt_ml_s7" xfId="3712"/>
    <cellStyle name="_Rid_10_xt_ml_s7 2" xfId="3713"/>
    <cellStyle name="_Rid_10_xt_mv_s12" xfId="3714"/>
    <cellStyle name="_Rid_10_xt_mv_s12 2" xfId="3715"/>
    <cellStyle name="_Rid_10_xt_mv_s13" xfId="3716"/>
    <cellStyle name="_Rid_10_xt_mv_s13 2" xfId="3717"/>
    <cellStyle name="_Rid_10_xt_s33" xfId="3718"/>
    <cellStyle name="_Rid_10_xt_s33 2" xfId="3719"/>
    <cellStyle name="_Rid_10_xt_s6" xfId="3720"/>
    <cellStyle name="_Rid_10_xt_s6 2" xfId="3721"/>
    <cellStyle name="_Rid_11_s0" xfId="3722"/>
    <cellStyle name="_Rid_11_s0 2" xfId="3723"/>
    <cellStyle name="_Rid_11_s1" xfId="3724"/>
    <cellStyle name="_Rid_11_s1 2" xfId="3725"/>
    <cellStyle name="_Rid_11_s2_s3" xfId="3726"/>
    <cellStyle name="_Rid_11_s2_s3 2" xfId="3727"/>
    <cellStyle name="_Rid_11_xt_ml_s13" xfId="3728"/>
    <cellStyle name="_Rid_11_xt_ml_s13 2" xfId="3729"/>
    <cellStyle name="_Rid_11_xt_ml_s8" xfId="3730"/>
    <cellStyle name="_Rid_11_xt_ml_s8 2" xfId="3731"/>
    <cellStyle name="_Rid_11_xt_xm" xfId="3732"/>
    <cellStyle name="_Rid_11_xt_xm 2" xfId="3733"/>
    <cellStyle name="_Rid_12_cl_s3" xfId="3734"/>
    <cellStyle name="_Rid_12_cl_s3 2" xfId="3735"/>
    <cellStyle name="_Rid_12_cl_s5" xfId="3736"/>
    <cellStyle name="_Rid_12_cl_s5 2" xfId="3737"/>
    <cellStyle name="_Rid_12_s0" xfId="3738"/>
    <cellStyle name="_Rid_12_s0 2" xfId="3739"/>
    <cellStyle name="_Rid_12_s1" xfId="3740"/>
    <cellStyle name="_Rid_12_s1 2" xfId="3741"/>
    <cellStyle name="_Rid_12_s2" xfId="3742"/>
    <cellStyle name="_Rid_12_s2 2" xfId="3743"/>
    <cellStyle name="_Rid_12_xt_cv_s11_s10" xfId="3744"/>
    <cellStyle name="_Rid_12_xt_cv_s11_s10 2" xfId="3745"/>
    <cellStyle name="_Rid_12_xt_cv_s12_s10" xfId="3746"/>
    <cellStyle name="_Rid_12_xt_cv_s12_s10 2" xfId="3747"/>
    <cellStyle name="_Rid_12_xt_cv_s13_s10" xfId="3748"/>
    <cellStyle name="_Rid_12_xt_cv_s13_s10 2" xfId="3749"/>
    <cellStyle name="_Rid_12_xt_cv_s14_s10" xfId="3750"/>
    <cellStyle name="_Rid_12_xt_cv_s14_s10 2" xfId="3751"/>
    <cellStyle name="_Rid_12_xt_cv_s15_s10" xfId="3752"/>
    <cellStyle name="_Rid_12_xt_cv_s15_s10 2" xfId="3753"/>
    <cellStyle name="_Rid_12_xt_cv_s16_s10" xfId="3754"/>
    <cellStyle name="_Rid_12_xt_cv_s16_s10 2" xfId="3755"/>
    <cellStyle name="_Rid_12_xt_cv_s17_s10" xfId="3756"/>
    <cellStyle name="_Rid_12_xt_cv_s17_s10 2" xfId="3757"/>
    <cellStyle name="_Rid_12_xt_cv_s18_s10" xfId="3758"/>
    <cellStyle name="_Rid_12_xt_cv_s18_s10 2" xfId="3759"/>
    <cellStyle name="_Rid_12_xt_cv_s20_s10" xfId="3760"/>
    <cellStyle name="_Rid_12_xt_cv_s20_s10 2" xfId="3761"/>
    <cellStyle name="_Rid_12_xt_cv_s21_s10" xfId="3762"/>
    <cellStyle name="_Rid_12_xt_cv_s21_s10 2" xfId="3763"/>
    <cellStyle name="_Rid_12_xt_cv_s22_s10" xfId="3764"/>
    <cellStyle name="_Rid_12_xt_cv_s22_s10 2" xfId="3765"/>
    <cellStyle name="_Rid_12_xt_cv_s23_s10" xfId="3766"/>
    <cellStyle name="_Rid_12_xt_cv_s23_s10 2" xfId="3767"/>
    <cellStyle name="_Rid_12_xt_cv_s24_s10" xfId="3768"/>
    <cellStyle name="_Rid_12_xt_cv_s24_s10 2" xfId="3769"/>
    <cellStyle name="_Rid_12_xt_cv_s25_s10" xfId="3770"/>
    <cellStyle name="_Rid_12_xt_cv_s25_s10 2" xfId="3771"/>
    <cellStyle name="_Rid_12_xt_cv_s9_s10" xfId="3772"/>
    <cellStyle name="_Rid_12_xt_cv_s9_s10 2" xfId="3773"/>
    <cellStyle name="_Rid_12_xt_ml_s19" xfId="3774"/>
    <cellStyle name="_Rid_12_xt_ml_s19 2" xfId="3775"/>
    <cellStyle name="_Rid_12_xt_ml_s8" xfId="3776"/>
    <cellStyle name="_Rid_12_xt_ml_s8 2" xfId="3777"/>
    <cellStyle name="_Rid_12_xt_s26" xfId="3778"/>
    <cellStyle name="_Rid_12_xt_s26 2" xfId="3779"/>
    <cellStyle name="_Rid_12_xt_s4" xfId="3780"/>
    <cellStyle name="_Rid_12_xt_s4 2" xfId="3781"/>
    <cellStyle name="_Rid_12_xt_s6" xfId="3782"/>
    <cellStyle name="_Rid_12_xt_s6 2" xfId="3783"/>
    <cellStyle name="_Rid_12_xt_s7" xfId="3784"/>
    <cellStyle name="_Rid_12_xt_s7 2" xfId="3785"/>
    <cellStyle name="_Rid_12_xt_xm" xfId="3786"/>
    <cellStyle name="_Rid_12_xt_xm 2" xfId="3787"/>
    <cellStyle name="_Rid_13_cl_s3" xfId="3788"/>
    <cellStyle name="_Rid_13_cl_s3 2" xfId="3789"/>
    <cellStyle name="_Rid_13_cl_s5" xfId="3790"/>
    <cellStyle name="_Rid_13_cl_s5 2" xfId="3791"/>
    <cellStyle name="_Rid_13_cl_s7" xfId="3792"/>
    <cellStyle name="_Rid_13_cl_s7 2" xfId="3793"/>
    <cellStyle name="_Rid_13_s0" xfId="3794"/>
    <cellStyle name="_Rid_13_s0 2" xfId="3795"/>
    <cellStyle name="_Rid_13_s1" xfId="3796"/>
    <cellStyle name="_Rid_13_s1 2" xfId="3797"/>
    <cellStyle name="_Rid_13_s2" xfId="3798"/>
    <cellStyle name="_Rid_13_s2 2" xfId="3799"/>
    <cellStyle name="_Rid_13_xt_cv_s10_s6" xfId="3800"/>
    <cellStyle name="_Rid_13_xt_cv_s10_s6 2" xfId="3801"/>
    <cellStyle name="_Rid_13_xt_cv_s11_s6" xfId="3802"/>
    <cellStyle name="_Rid_13_xt_cv_s11_s6 2" xfId="3803"/>
    <cellStyle name="_Rid_13_xt_cv_s12_s6" xfId="3804"/>
    <cellStyle name="_Rid_13_xt_cv_s12_s6 2" xfId="3805"/>
    <cellStyle name="_Rid_13_xt_cv_s13_s6" xfId="3806"/>
    <cellStyle name="_Rid_13_xt_cv_s13_s6 2" xfId="3807"/>
    <cellStyle name="_Rid_13_xt_cv_s14_s6" xfId="3808"/>
    <cellStyle name="_Rid_13_xt_cv_s14_s6 2" xfId="3809"/>
    <cellStyle name="_Rid_13_xt_cv_s15_s6" xfId="3810"/>
    <cellStyle name="_Rid_13_xt_cv_s15_s6 2" xfId="3811"/>
    <cellStyle name="_Rid_13_xt_cv_s16_s6" xfId="3812"/>
    <cellStyle name="_Rid_13_xt_cv_s16_s6 2" xfId="3813"/>
    <cellStyle name="_Rid_13_xt_cv_s17_s6" xfId="3814"/>
    <cellStyle name="_Rid_13_xt_cv_s17_s6 2" xfId="3815"/>
    <cellStyle name="_Rid_13_xt_cv_s18_s6" xfId="3816"/>
    <cellStyle name="_Rid_13_xt_cv_s18_s6 2" xfId="3817"/>
    <cellStyle name="_Rid_13_xt_cv_s20_s6" xfId="3818"/>
    <cellStyle name="_Rid_13_xt_cv_s20_s6 2" xfId="3819"/>
    <cellStyle name="_Rid_13_xt_cv_s21_s6" xfId="3820"/>
    <cellStyle name="_Rid_13_xt_cv_s21_s6 2" xfId="3821"/>
    <cellStyle name="_Rid_13_xt_cv_s22_s6" xfId="3822"/>
    <cellStyle name="_Rid_13_xt_cv_s22_s6 2" xfId="3823"/>
    <cellStyle name="_Rid_13_xt_cv_s9_s6" xfId="3824"/>
    <cellStyle name="_Rid_13_xt_cv_s9_s6 2" xfId="3825"/>
    <cellStyle name="_Rid_13_xt_ml_s19" xfId="3826"/>
    <cellStyle name="_Rid_13_xt_ml_s19 2" xfId="3827"/>
    <cellStyle name="_Rid_13_xt_ml_s8" xfId="3828"/>
    <cellStyle name="_Rid_13_xt_ml_s8 2" xfId="3829"/>
    <cellStyle name="_Rid_13_xt_s23" xfId="3830"/>
    <cellStyle name="_Rid_13_xt_s23 2" xfId="3831"/>
    <cellStyle name="_Rid_13_xt_s4" xfId="3832"/>
    <cellStyle name="_Rid_13_xt_s4 2" xfId="3833"/>
    <cellStyle name="_Rid_13_xt_xm" xfId="3834"/>
    <cellStyle name="_Rid_13_xt_xm 2" xfId="3835"/>
    <cellStyle name="_risk" xfId="3836"/>
    <cellStyle name="_risk_Sheet1" xfId="3837"/>
    <cellStyle name="_Rolf" xfId="3838"/>
    <cellStyle name="_Rolf_72340 130607" xfId="3839"/>
    <cellStyle name="_Rolf_Sheet1" xfId="3840"/>
    <cellStyle name="_S&amp;T Sheet" xfId="3841"/>
    <cellStyle name="_S&amp;T Sheet_Sheet1" xfId="3842"/>
    <cellStyle name="_SandP Inputs" xfId="3843"/>
    <cellStyle name="_Securitised exposures" xfId="3844"/>
    <cellStyle name="_Securitization" xfId="3845"/>
    <cellStyle name="_Securitization_(19) Loan Feb-11(Feb-11 figures)" xfId="3846"/>
    <cellStyle name="_Securitization_(32) Mar-10 Breakdown of Credit" xfId="3847"/>
    <cellStyle name="_Securitization_(32) Mar-10 Loan" xfId="3848"/>
    <cellStyle name="_Securitization_(33) Apr-10 Breakdown of Credit" xfId="3849"/>
    <cellStyle name="_Securitization_(33) Apr-10 Loan" xfId="3850"/>
    <cellStyle name="_Securitization_Book15" xfId="3851"/>
    <cellStyle name="_Securitization_Book16" xfId="3852"/>
    <cellStyle name="_Securitization_Book17" xfId="3853"/>
    <cellStyle name="_Securitization_Book19" xfId="3854"/>
    <cellStyle name="_Securitization_Book20" xfId="3855"/>
    <cellStyle name="_Securitization_Book8" xfId="3856"/>
    <cellStyle name="_Securitization_Book9" xfId="3857"/>
    <cellStyle name="_SFN Acc-May07AS" xfId="3858"/>
    <cellStyle name="_SFN Acc-Nov07" xfId="3859"/>
    <cellStyle name="_Sheet1" xfId="3860"/>
    <cellStyle name="_Sheet1_(05) CAR Dec-07" xfId="3861"/>
    <cellStyle name="_Sheet1_(05) CAR Dec-07_(26) Oct-09 (AL)" xfId="3862"/>
    <cellStyle name="_Sheet1_(05) CAR Dec-07_(27) Nov-09 (AL)" xfId="3863"/>
    <cellStyle name="_Sheet1_(05) CAR Dec-07_31.12.09 Mauritius-USD based ledger - Final1" xfId="3864"/>
    <cellStyle name="_Sheet1_(05) CAR Dec-07_Book1 (4)" xfId="3865"/>
    <cellStyle name="_Sheet1_(05) CAR Dec-07_Book4" xfId="3866"/>
    <cellStyle name="_Sheet1_(05) CAR Dec-07_capital adequacy September 2009" xfId="3867"/>
    <cellStyle name="_Sheet1_(05) CAR Dec-07_Copy of Mauritius-USD based ledger" xfId="3868"/>
    <cellStyle name="_Sheet1_(05) CAR Dec-07_IBM_Grouped(2)" xfId="3869"/>
    <cellStyle name="_Sheet1_(05) CAR Dec-07_IBM_Grouped_USD" xfId="3870"/>
    <cellStyle name="_Sheet1_(05) CAR Dec-07_IBM_Grouped_ZAR" xfId="3871"/>
    <cellStyle name="_Sheet1_(05) CAR Dec-07_Liquidity and repricing" xfId="3872"/>
    <cellStyle name="_Sheet1_(05) CAR Dec-07_NOP 2010 01 31 USD BASED" xfId="3873"/>
    <cellStyle name="_Sheet1_(05) CAR Dec-07_NOP 2010 01 31 USD BASED_Report Finance" xfId="3874"/>
    <cellStyle name="_Sheet1_(05) CAR Dec-07_NOP 2010 02 28 USD BASED Final" xfId="3875"/>
    <cellStyle name="_Sheet1_(05) CAR Dec-07_NOP 2010 02 28 USD BASED Final_Report Finance" xfId="3876"/>
    <cellStyle name="_Sheet1_(05) CAR Dec-07_NOP 2010 03 31 USD BASEDrevised" xfId="3877"/>
    <cellStyle name="_Sheet1_(05) CAR Dec-07_NOP 2010 03 31 USD BASEDrevised_Report Finance" xfId="3878"/>
    <cellStyle name="_Sheet1_(05) CAR Dec-07_NOP 2010 04 30" xfId="3879"/>
    <cellStyle name="_Sheet1_(05) CAR Dec-07_NOP 2010 04 30_Report Finance" xfId="3880"/>
    <cellStyle name="_Sheet1_(05) CAR Dec-07_ORIGINAL NOP 2009 12 31 USD BASED" xfId="3881"/>
    <cellStyle name="_Sheet1_(05) CAR Dec-07_ORIGINAL NOP 2009 12 31 USD BASED_Report Finance" xfId="3882"/>
    <cellStyle name="_Sheet1_(05) CAR Dec-07_Sheet1" xfId="3883"/>
    <cellStyle name="_Sheet1_(26) Oct-09 (AL)" xfId="3884"/>
    <cellStyle name="_Sheet1_(27) Nov-09 (AL)" xfId="3885"/>
    <cellStyle name="_Sheet1_08_IBM_A2.2.1 to A2.2.15_Statutory workings - 31 03 08" xfId="3886"/>
    <cellStyle name="_Sheet1_08_IBM_A2.2.1 to A2.2.15_Statutory workings - 31 03 08_31.12.09 Mauritius-USD based ledger - Final1" xfId="3887"/>
    <cellStyle name="_Sheet1_08_IBM_A2.2.1 to A2.2.15_Statutory workings - 31 03 08_Book4" xfId="3888"/>
    <cellStyle name="_Sheet1_08_IBM_A2.2.1 to A2.2.15_Statutory workings - 31 03 08_Book5" xfId="3889"/>
    <cellStyle name="_Sheet1_08_IBM_A2.2.1 to A2.2.15_Statutory workings - 31 03 08_Book5_(19) Loan Feb-11(Feb-11 figures)" xfId="3890"/>
    <cellStyle name="_Sheet1_08_IBM_A2.2.1 to A2.2.15_Statutory workings - 31 03 08_RELATED PARTY-2010 05 31" xfId="3891"/>
    <cellStyle name="_Sheet1_08_IBM_A2.2.1 to A2.2.15_Statutory workings - 31 03 08_RELATED PARTY-2010 05 31_(19) Loan Feb-11(Feb-11 figures)" xfId="3892"/>
    <cellStyle name="_Sheet1_1" xfId="3893"/>
    <cellStyle name="_Sheet1_1_Rating Actions" xfId="3894"/>
    <cellStyle name="_Sheet1_1_Rating Actions_Report Finance" xfId="3895"/>
    <cellStyle name="_Sheet1_1_Rating Actions_Sheet1" xfId="3896"/>
    <cellStyle name="_Sheet1_1_Ratings action BLP links" xfId="3897"/>
    <cellStyle name="_Sheet1_1_Ratings action BLP links_1" xfId="3898"/>
    <cellStyle name="_Sheet1_1_Ratings action BLP links_1_Sheet1" xfId="3899"/>
    <cellStyle name="_Sheet1_1_Ratings action BLP links_Report Finance" xfId="3900"/>
    <cellStyle name="_Sheet1_1_Ratings action BLP links_Sheet1" xfId="3901"/>
    <cellStyle name="_Sheet1_1_Sheet1" xfId="3902"/>
    <cellStyle name="_Sheet1_31.12.09 Mauritius-USD based ledger - Final1" xfId="3903"/>
    <cellStyle name="_Sheet1_Asset information" xfId="3904"/>
    <cellStyle name="_Sheet1_Asset information_Sheet1" xfId="3905"/>
    <cellStyle name="_Sheet1_audit adjustment 2007" xfId="3906"/>
    <cellStyle name="_Sheet1_audit adjustment 2007_(26) Oct-09 (AL)" xfId="3907"/>
    <cellStyle name="_Sheet1_audit adjustment 2007_(27) Nov-09 (AL)" xfId="3908"/>
    <cellStyle name="_Sheet1_audit adjustment 2007_31.12.09 Mauritius-USD based ledger - Final1" xfId="3909"/>
    <cellStyle name="_Sheet1_audit adjustment 2007_Book1 (4)" xfId="3910"/>
    <cellStyle name="_Sheet1_audit adjustment 2007_Book4" xfId="3911"/>
    <cellStyle name="_Sheet1_audit adjustment 2007_capital adequacy September 2009" xfId="3912"/>
    <cellStyle name="_Sheet1_audit adjustment 2007_Copy of Mauritius-USD based ledger" xfId="3913"/>
    <cellStyle name="_Sheet1_audit adjustment 2007_IBM_Grouped(2)" xfId="3914"/>
    <cellStyle name="_Sheet1_audit adjustment 2007_IBM_Grouped_USD" xfId="3915"/>
    <cellStyle name="_Sheet1_audit adjustment 2007_IBM_Grouped_ZAR" xfId="3916"/>
    <cellStyle name="_Sheet1_audit adjustment 2007_Liquidity and repricing" xfId="3917"/>
    <cellStyle name="_Sheet1_audit adjustment 2007_NOP 2010 01 31 USD BASED" xfId="3918"/>
    <cellStyle name="_Sheet1_audit adjustment 2007_NOP 2010 01 31 USD BASED_Report Finance" xfId="3919"/>
    <cellStyle name="_Sheet1_audit adjustment 2007_NOP 2010 02 28 USD BASED Final" xfId="3920"/>
    <cellStyle name="_Sheet1_audit adjustment 2007_NOP 2010 02 28 USD BASED Final_Report Finance" xfId="3921"/>
    <cellStyle name="_Sheet1_audit adjustment 2007_NOP 2010 03 31 USD BASEDrevised" xfId="3922"/>
    <cellStyle name="_Sheet1_audit adjustment 2007_NOP 2010 03 31 USD BASEDrevised_Report Finance" xfId="3923"/>
    <cellStyle name="_Sheet1_audit adjustment 2007_NOP 2010 04 30" xfId="3924"/>
    <cellStyle name="_Sheet1_audit adjustment 2007_NOP 2010 04 30_Report Finance" xfId="3925"/>
    <cellStyle name="_Sheet1_audit adjustment 2007_ORIGINAL NOP 2009 12 31 USD BASED" xfId="3926"/>
    <cellStyle name="_Sheet1_audit adjustment 2007_ORIGINAL NOP 2009 12 31 USD BASED_Report Finance" xfId="3927"/>
    <cellStyle name="_Sheet1_audit adjustment 2007_Sheet1" xfId="3928"/>
    <cellStyle name="_Sheet1_BA 610 wkgs &amp; Return - 30 Jun 08" xfId="3929"/>
    <cellStyle name="_Sheet1_BA 610 wkgs &amp; Return - 30 Sep 08" xfId="3930"/>
    <cellStyle name="_Sheet1_BA 610 wkgs &amp; Return - 31 Dec 08" xfId="3931"/>
    <cellStyle name="_Sheet1_BA 610 wkgs &amp; Return - 31 Dec 08 LATEST" xfId="3932"/>
    <cellStyle name="_Sheet1_BA 610 wkgs -31.03.08(Version 2)" xfId="3933"/>
    <cellStyle name="_Sheet1_Base Case Cash Flows 5 yr call 2006-07-19" xfId="3934"/>
    <cellStyle name="_Sheet1_Base Case Cash Flows 5 yr call 2006-07-19_Sheet1" xfId="3935"/>
    <cellStyle name="_Sheet1_Book1" xfId="3936"/>
    <cellStyle name="_Sheet1_Book1 (3)" xfId="3937"/>
    <cellStyle name="_Sheet1_Book1 (4)" xfId="3938"/>
    <cellStyle name="_Sheet1_Book1_1" xfId="3939"/>
    <cellStyle name="_Sheet1_Book1_31.12.09 Mauritius-USD based ledger - Final1" xfId="3940"/>
    <cellStyle name="_Sheet1_Book1_Book4" xfId="3941"/>
    <cellStyle name="_Sheet1_Book1_Book5" xfId="3942"/>
    <cellStyle name="_Sheet1_Book1_Book5_(19) Loan Feb-11(Feb-11 figures)" xfId="3943"/>
    <cellStyle name="_Sheet1_Book1_capital adequacy September 2009" xfId="3944"/>
    <cellStyle name="_Sheet1_Book1_Copy of Mauritius-USD based ledger" xfId="3945"/>
    <cellStyle name="_Sheet1_Book1_Ops risk Mauritius - Sep 09 split stephanie after adjusment conversion" xfId="3946"/>
    <cellStyle name="_Sheet1_Book1_RELATED PARTY-2010 05 31" xfId="3947"/>
    <cellStyle name="_Sheet1_Book1_RELATED PARTY-2010 05 31_(19) Loan Feb-11(Feb-11 figures)" xfId="3948"/>
    <cellStyle name="_Sheet1_Book2 (2)" xfId="3949"/>
    <cellStyle name="_Sheet1_Book3" xfId="3950"/>
    <cellStyle name="_Sheet1_Book3_31.12.09 Mauritius-USD based ledger - Final1" xfId="3951"/>
    <cellStyle name="_Sheet1_Book3_Book4" xfId="3952"/>
    <cellStyle name="_Sheet1_Book3_Book5" xfId="3953"/>
    <cellStyle name="_Sheet1_Book3_Book5_(19) Loan Feb-11(Feb-11 figures)" xfId="3954"/>
    <cellStyle name="_Sheet1_Book3_capital adequacy September 2009" xfId="3955"/>
    <cellStyle name="_Sheet1_Book3_Copy of Mauritius-USD based ledger" xfId="3956"/>
    <cellStyle name="_Sheet1_Book3_Ops risk Mauritius - Sep 09 split stephanie after adjusment conversion" xfId="3957"/>
    <cellStyle name="_Sheet1_Book3_RELATED PARTY-2010 05 31" xfId="3958"/>
    <cellStyle name="_Sheet1_Book3_RELATED PARTY-2010 05 31_(19) Loan Feb-11(Feb-11 figures)" xfId="3959"/>
    <cellStyle name="_Sheet1_Book4" xfId="3960"/>
    <cellStyle name="_Sheet1_Book5 (2)" xfId="3961"/>
    <cellStyle name="_Sheet1_Book5 (2)_Sheet1" xfId="3962"/>
    <cellStyle name="_Sheet1_Book6" xfId="3963"/>
    <cellStyle name="_Sheet1_Book6_31.12.09 Mauritius-USD based ledger - Final1" xfId="3964"/>
    <cellStyle name="_Sheet1_Book6_Book4" xfId="3965"/>
    <cellStyle name="_Sheet1_Book6_Book5" xfId="3966"/>
    <cellStyle name="_Sheet1_Book6_Book5_(19) Loan Feb-11(Feb-11 figures)" xfId="3967"/>
    <cellStyle name="_Sheet1_Book6_capital adequacy September 2009" xfId="3968"/>
    <cellStyle name="_Sheet1_Book6_Copy of Mauritius-USD based ledger" xfId="3969"/>
    <cellStyle name="_Sheet1_Book6_Ops risk Mauritius - Sep 09 split stephanie after adjusment conversion" xfId="3970"/>
    <cellStyle name="_Sheet1_Book6_RELATED PARTY-2010 05 31" xfId="3971"/>
    <cellStyle name="_Sheet1_Book6_RELATED PARTY-2010 05 31_(19) Loan Feb-11(Feb-11 figures)" xfId="3972"/>
    <cellStyle name="_Sheet1_BS - Mar 09" xfId="3973"/>
    <cellStyle name="_Sheet1_capital adequacy September 2009" xfId="3974"/>
    <cellStyle name="_Sheet1_CDO Bucket" xfId="3975"/>
    <cellStyle name="_Sheet1_CDO Bucket_Sheet1" xfId="3976"/>
    <cellStyle name="_Sheet1_CollateralSummary (2)" xfId="3977"/>
    <cellStyle name="_Sheet1_CollateralSummary (2)_Report Finance" xfId="3978"/>
    <cellStyle name="_Sheet1_CollateralSummary (2)_Sheet1" xfId="3979"/>
    <cellStyle name="_Sheet1_Copy of Springdale 2006-1 Sources and Uses 07-17-2006" xfId="3980"/>
    <cellStyle name="_Sheet1_Detailed BS Dec 07" xfId="3981"/>
    <cellStyle name="_Sheet1_Detailed BS Dec 07_Avearge retrieval" xfId="3982"/>
    <cellStyle name="_Sheet1_Detailed BS Dec 07_Avearge retrieval_(26) Oct-09 (AL)" xfId="3983"/>
    <cellStyle name="_Sheet1_Detailed BS Dec 07_Avearge retrieval_(27) Nov-09 (AL)" xfId="3984"/>
    <cellStyle name="_Sheet1_Detailed BS Dec 07_Avearge retrieval_31.12.09 Mauritius-USD based ledger - Final1" xfId="3985"/>
    <cellStyle name="_Sheet1_Detailed BS Dec 07_Avearge retrieval_Book1 (4)" xfId="3986"/>
    <cellStyle name="_Sheet1_Detailed BS Dec 07_Avearge retrieval_Book4" xfId="3987"/>
    <cellStyle name="_Sheet1_Detailed BS Dec 07_Avearge retrieval_capital adequacy September 2009" xfId="3988"/>
    <cellStyle name="_Sheet1_Detailed BS Dec 07_Avearge retrieval_Copy of Mauritius-USD based ledger" xfId="3989"/>
    <cellStyle name="_Sheet1_Detailed BS Dec 07_Avearge retrieval_IBM_Grouped(2)" xfId="3990"/>
    <cellStyle name="_Sheet1_Detailed BS Dec 07_Avearge retrieval_IBM_Grouped_USD" xfId="3991"/>
    <cellStyle name="_Sheet1_Detailed BS Dec 07_Avearge retrieval_IBM_Grouped_ZAR" xfId="3992"/>
    <cellStyle name="_Sheet1_Detailed BS Dec 07_Avearge retrieval_Liquidity and repricing" xfId="3993"/>
    <cellStyle name="_Sheet1_Detailed BS Dec 07_Avearge retrieval_NOP 2010 01 31 USD BASED" xfId="3994"/>
    <cellStyle name="_Sheet1_Detailed BS Dec 07_Avearge retrieval_NOP 2010 01 31 USD BASED_Report Finance" xfId="3995"/>
    <cellStyle name="_Sheet1_Detailed BS Dec 07_Avearge retrieval_NOP 2010 02 28 USD BASED Final" xfId="3996"/>
    <cellStyle name="_Sheet1_Detailed BS Dec 07_Avearge retrieval_NOP 2010 02 28 USD BASED Final_Report Finance" xfId="3997"/>
    <cellStyle name="_Sheet1_Detailed BS Dec 07_Avearge retrieval_NOP 2010 03 31 USD BASEDrevised" xfId="3998"/>
    <cellStyle name="_Sheet1_Detailed BS Dec 07_Avearge retrieval_NOP 2010 03 31 USD BASEDrevised_Report Finance" xfId="3999"/>
    <cellStyle name="_Sheet1_Detailed BS Dec 07_Avearge retrieval_NOP 2010 04 30" xfId="4000"/>
    <cellStyle name="_Sheet1_Detailed BS Dec 07_Avearge retrieval_NOP 2010 04 30_Report Finance" xfId="4001"/>
    <cellStyle name="_Sheet1_Detailed BS Dec 07_Avearge retrieval_ORIGINAL NOP 2009 12 31 USD BASED" xfId="4002"/>
    <cellStyle name="_Sheet1_Detailed BS Dec 07_Avearge retrieval_ORIGINAL NOP 2009 12 31 USD BASED_Report Finance" xfId="4003"/>
    <cellStyle name="_Sheet1_Detailed BS Dec 07_Avearge retrieval_Sheet1" xfId="4004"/>
    <cellStyle name="_Sheet1_Detailed BS Dec 07_Sheet1" xfId="4005"/>
    <cellStyle name="_Sheet1_Detailed BS Dec 08" xfId="4006"/>
    <cellStyle name="_Sheet1_Detailed BS Jun 09" xfId="4007"/>
    <cellStyle name="_Sheet1_Detailed BS June08" xfId="4008"/>
    <cellStyle name="_Sheet1_Detailed BS June08_31.12.09 Mauritius-USD based ledger - Final1" xfId="4009"/>
    <cellStyle name="_Sheet1_Detailed BS June08_Book4" xfId="4010"/>
    <cellStyle name="_Sheet1_Detailed BS June08_Book5" xfId="4011"/>
    <cellStyle name="_Sheet1_Detailed BS June08_Book5_(19) Loan Feb-11(Feb-11 figures)" xfId="4012"/>
    <cellStyle name="_Sheet1_Detailed BS June08_capital adequacy September 2009" xfId="4013"/>
    <cellStyle name="_Sheet1_Detailed BS June08_Copy of Mauritius-USD based ledger" xfId="4014"/>
    <cellStyle name="_Sheet1_Detailed BS June08_Ops risk Mauritius - Sep 09 split stephanie after adjusment conversion" xfId="4015"/>
    <cellStyle name="_Sheet1_Detailed BS June08_RELATED PARTY-2010 05 31" xfId="4016"/>
    <cellStyle name="_Sheet1_Detailed BS June08_RELATED PARTY-2010 05 31_(19) Loan Feb-11(Feb-11 figures)" xfId="4017"/>
    <cellStyle name="_Sheet1_Detailed BS March 08(1)" xfId="4018"/>
    <cellStyle name="_Sheet1_Detailed BS March 08(1)_31.12.09 Mauritius-USD based ledger - Final1" xfId="4019"/>
    <cellStyle name="_Sheet1_Detailed BS March 08(1)_Book4" xfId="4020"/>
    <cellStyle name="_Sheet1_Detailed BS March 08(1)_Book5" xfId="4021"/>
    <cellStyle name="_Sheet1_Detailed BS March 08(1)_Book5_(19) Loan Feb-11(Feb-11 figures)" xfId="4022"/>
    <cellStyle name="_Sheet1_Detailed BS March 08(1)_capital adequacy September 2009" xfId="4023"/>
    <cellStyle name="_Sheet1_Detailed BS March 08(1)_Copy of Mauritius-USD based ledger" xfId="4024"/>
    <cellStyle name="_Sheet1_Detailed BS March 08(1)_Ops risk Mauritius - Sep 09 split stephanie after adjusment conversion" xfId="4025"/>
    <cellStyle name="_Sheet1_Detailed BS March 08(1)_RELATED PARTY-2010 05 31" xfId="4026"/>
    <cellStyle name="_Sheet1_Detailed BS March 08(1)_RELATED PARTY-2010 05 31_(19) Loan Feb-11(Feb-11 figures)" xfId="4027"/>
    <cellStyle name="_Sheet1_Detailed BS March 09" xfId="4028"/>
    <cellStyle name="_Sheet1_Disclaimer" xfId="4029"/>
    <cellStyle name="_Sheet1_Disclaimer_Sheet1" xfId="4030"/>
    <cellStyle name="_Sheet1_Essbase March 2008" xfId="4031"/>
    <cellStyle name="_Sheet1_Essbase March 2008_31.12.09 Mauritius-USD based ledger - Final1" xfId="4032"/>
    <cellStyle name="_Sheet1_Essbase March 2008_Book4" xfId="4033"/>
    <cellStyle name="_Sheet1_Essbase March 2008_Book5" xfId="4034"/>
    <cellStyle name="_Sheet1_Essbase March 2008_Book5_(19) Loan Feb-11(Feb-11 figures)" xfId="4035"/>
    <cellStyle name="_Sheet1_Essbase March 2008_capital adequacy September 2009" xfId="4036"/>
    <cellStyle name="_Sheet1_Essbase March 2008_Copy of Mauritius-USD based ledger" xfId="4037"/>
    <cellStyle name="_Sheet1_Essbase March 2008_Ops risk Mauritius - Sep 09 split stephanie after adjusment conversion" xfId="4038"/>
    <cellStyle name="_Sheet1_Essbase March 2008_RELATED PARTY-2010 05 31" xfId="4039"/>
    <cellStyle name="_Sheet1_Essbase March 2008_RELATED PARTY-2010 05 31_(19) Loan Feb-11(Feb-11 figures)" xfId="4040"/>
    <cellStyle name="_Sheet1_FINANCIALS 30-JUN-08-New Format-Auditors-Reformated" xfId="4041"/>
    <cellStyle name="_Sheet1_Fixed Assets Register 11 Feb10" xfId="4042"/>
    <cellStyle name="_Sheet1_Fixed Assets Register 11 Feb10_(19) Loan Feb-11(Feb-11 figures)" xfId="4043"/>
    <cellStyle name="_Sheet1_Fixed Assets Register 12 Mar10.xls" xfId="4044"/>
    <cellStyle name="_Sheet1_Fixed Assets Register 12 Mar10.xls_(19) Loan Feb-11(Feb-11 figures)" xfId="4045"/>
    <cellStyle name="_Sheet1_FV of Derivatives - 30 06 09" xfId="4046"/>
    <cellStyle name="_Sheet1_FV of Derivatives - 31.03.08" xfId="4047"/>
    <cellStyle name="_Sheet1_FV of Derivatives - 31.03.08_31.12.09 Mauritius-USD based ledger - Final1" xfId="4048"/>
    <cellStyle name="_Sheet1_FV of Derivatives - 31.03.08_Book4" xfId="4049"/>
    <cellStyle name="_Sheet1_FV of Derivatives - 31.03.08_Book5" xfId="4050"/>
    <cellStyle name="_Sheet1_FV of Derivatives - 31.03.08_Book5_(19) Loan Feb-11(Feb-11 figures)" xfId="4051"/>
    <cellStyle name="_Sheet1_FV of Derivatives - 31.03.08_capital adequacy September 2009" xfId="4052"/>
    <cellStyle name="_Sheet1_FV of Derivatives - 31.03.08_Copy of Mauritius-USD based ledger" xfId="4053"/>
    <cellStyle name="_Sheet1_FV of Derivatives - 31.03.08_Ops risk Mauritius - Sep 09 split stephanie after adjusment conversion" xfId="4054"/>
    <cellStyle name="_Sheet1_FV of Derivatives - 31.03.08_RELATED PARTY-2010 05 31" xfId="4055"/>
    <cellStyle name="_Sheet1_FV of Derivatives - 31.03.08_RELATED PARTY-2010 05 31_(19) Loan Feb-11(Feb-11 figures)" xfId="4056"/>
    <cellStyle name="_Sheet1_IBM Input Sheet 31.03.2010 v0.4" xfId="4057"/>
    <cellStyle name="_Sheet1_IBM Input Sheet 31.03.2010 v0.4_(19) Loan Feb-11(Feb-11 figures)" xfId="4058"/>
    <cellStyle name="_Sheet1_IBM_Grouped(2)" xfId="4059"/>
    <cellStyle name="_Sheet1_IBM_Grouped_USD" xfId="4060"/>
    <cellStyle name="_Sheet1_IBM_Grouped_ZAR" xfId="4061"/>
    <cellStyle name="_Sheet1_Info Sheet" xfId="4062"/>
    <cellStyle name="_Sheet1_Info Sheet_Sheet1" xfId="4063"/>
    <cellStyle name="_Sheet1_Liquidity and repricing" xfId="4064"/>
    <cellStyle name="_Sheet1_lookup sheet" xfId="4065"/>
    <cellStyle name="_Sheet1_lookup sheet_1" xfId="4066"/>
    <cellStyle name="_Sheet1_lookup sheet_1_Sheet1" xfId="4067"/>
    <cellStyle name="_Sheet1_MUR position" xfId="4068"/>
    <cellStyle name="_Sheet1_NOP 2010 01 31 USD BASED" xfId="4069"/>
    <cellStyle name="_Sheet1_NOP 2010 01 31 USD BASED_Report Finance" xfId="4070"/>
    <cellStyle name="_Sheet1_NOP 2010 02 28 USD BASED Final" xfId="4071"/>
    <cellStyle name="_Sheet1_NOP 2010 02 28 USD BASED Final_Report Finance" xfId="4072"/>
    <cellStyle name="_Sheet1_NOP 2010 03 31 USD BASEDrevised" xfId="4073"/>
    <cellStyle name="_Sheet1_NOP 2010 03 31 USD BASEDrevised_Report Finance" xfId="4074"/>
    <cellStyle name="_Sheet1_NOP 2010 04 30" xfId="4075"/>
    <cellStyle name="_Sheet1_NOP 2010 04 30_Report Finance" xfId="4076"/>
    <cellStyle name="_Sheet1_Opeartional Risk sept 2009" xfId="4077"/>
    <cellStyle name="_Sheet1_Ops risk Mauritius - Sep 09 split stephanie after adjusment conversion" xfId="4078"/>
    <cellStyle name="_Sheet1_ORIGINAL NOP 2009 12 31 USD BASED" xfId="4079"/>
    <cellStyle name="_Sheet1_ORIGINAL NOP 2009 12 31 USD BASED_Report Finance" xfId="4080"/>
    <cellStyle name="_Sheet1_Portfolio" xfId="4081"/>
    <cellStyle name="_Sheet1_Portfolio_Sheet1" xfId="4082"/>
    <cellStyle name="_Sheet1_Rating Actions" xfId="4083"/>
    <cellStyle name="_Sheet1_Rating Actions BLP links" xfId="4084"/>
    <cellStyle name="_Sheet1_Rating Actions BLP links_Report Finance" xfId="4085"/>
    <cellStyle name="_Sheet1_Rating Actions BLP links_Sheet1" xfId="4086"/>
    <cellStyle name="_Sheet1_Ratings action BLP links" xfId="4087"/>
    <cellStyle name="_Sheet1_Ratings action BLP links_1" xfId="4088"/>
    <cellStyle name="_Sheet1_Ratings action BLP links_1_Sheet1" xfId="4089"/>
    <cellStyle name="_Sheet1_Ref Ob. Underlying Collateral" xfId="4090"/>
    <cellStyle name="_Sheet1_Ref Ob. Underlying Collateral_Sheet1" xfId="4091"/>
    <cellStyle name="_Sheet1_Related Party Dec-08" xfId="4092"/>
    <cellStyle name="_Sheet1_Report Finance" xfId="4093"/>
    <cellStyle name="_Sheet1_SARB BOM Comparison 20081231 v3 0" xfId="4094"/>
    <cellStyle name="_Sheet1_SARB BOM Comparison 20081231 v3 0v from Mahen" xfId="4095"/>
    <cellStyle name="_Sheet1_SARBResults_1101" xfId="4096"/>
    <cellStyle name="_Sheet1_SARBResults_1101_31.12.09 Mauritius-USD based ledger - Final1" xfId="4097"/>
    <cellStyle name="_Sheet1_SARBResults_1101_Book4" xfId="4098"/>
    <cellStyle name="_Sheet1_SARBResults_1101_Book5" xfId="4099"/>
    <cellStyle name="_Sheet1_SARBResults_1101_Book5_(19) Loan Feb-11(Feb-11 figures)" xfId="4100"/>
    <cellStyle name="_Sheet1_SARBResults_1101_capital adequacy September 2009" xfId="4101"/>
    <cellStyle name="_Sheet1_SARBResults_1101_Copy of Mauritius-USD based ledger" xfId="4102"/>
    <cellStyle name="_Sheet1_SARBResults_1101_Ops risk Mauritius - Sep 09 split stephanie after adjusment conversion" xfId="4103"/>
    <cellStyle name="_Sheet1_SARBResults_1101_RELATED PARTY-2010 05 31" xfId="4104"/>
    <cellStyle name="_Sheet1_SARBResults_1101_RELATED PARTY-2010 05 31_(19) Loan Feb-11(Feb-11 figures)" xfId="4105"/>
    <cellStyle name="_Sheet1_SARBResults_2697 (vanessa board2)" xfId="4106"/>
    <cellStyle name="_Sheet1_Sheet1" xfId="4107"/>
    <cellStyle name="_Sheet1_Sheet1_1" xfId="4108"/>
    <cellStyle name="_Sheet1_Sheet1_1_Report Finance" xfId="4109"/>
    <cellStyle name="_Sheet1_Sheet1_1_Sheet1" xfId="4110"/>
    <cellStyle name="_Sheet1_Sheet1_2" xfId="4111"/>
    <cellStyle name="_Sheet1_Sheet1_3" xfId="4112"/>
    <cellStyle name="_Sheet1_Sheet1_Ratings action BLP links" xfId="4113"/>
    <cellStyle name="_Sheet1_Sheet1_Ratings action BLP links_Report Finance" xfId="4114"/>
    <cellStyle name="_Sheet1_Sheet1_Ratings action BLP links_Sheet1" xfId="4115"/>
    <cellStyle name="_Sheet1_Sheet1_Sheet1" xfId="4116"/>
    <cellStyle name="_Sheet1_Sheet2" xfId="4117"/>
    <cellStyle name="_Sheet1_Sheet2_Sheet1" xfId="4118"/>
    <cellStyle name="_Sheet1_Solent CDO Portfolio Update Request v3" xfId="4119"/>
    <cellStyle name="_Sheet1_Sphynx Ratings Analysis" xfId="4120"/>
    <cellStyle name="_Sheet1_Sphynx Ratings Analysis_Sheet1" xfId="4121"/>
    <cellStyle name="_Sheet1_Springdale 2006-1 Sources and Uses 08-09-2006" xfId="4122"/>
    <cellStyle name="_Sheet1_Springdale Investor Request for Church Tavern" xfId="4123"/>
    <cellStyle name="_Sheet1_Springdale Investor Request for Church Tavern_Sheet1" xfId="4124"/>
    <cellStyle name="_Sheet1_Statutory Annual Report - 31 03 08" xfId="4125"/>
    <cellStyle name="_Sheet1_Statutory Annual Report - 31 03 08_31.12.09 Mauritius-USD based ledger - Final1" xfId="4126"/>
    <cellStyle name="_Sheet1_Statutory Annual Report - 31 03 08_Book4" xfId="4127"/>
    <cellStyle name="_Sheet1_Statutory Annual Report - 31 03 08_Book5" xfId="4128"/>
    <cellStyle name="_Sheet1_Statutory Annual Report - 31 03 08_Book5_(19) Loan Feb-11(Feb-11 figures)" xfId="4129"/>
    <cellStyle name="_Sheet1_Statutory Annual Report - 31 03 08_capital adequacy September 2009" xfId="4130"/>
    <cellStyle name="_Sheet1_Statutory Annual Report - 31 03 08_Copy of Mauritius-USD based ledger" xfId="4131"/>
    <cellStyle name="_Sheet1_Statutory Annual Report - 31 03 08_Ops risk Mauritius - Sep 09 split stephanie after adjusment conversion" xfId="4132"/>
    <cellStyle name="_Sheet1_Statutory Annual Report - 31 03 08_RELATED PARTY-2010 05 31" xfId="4133"/>
    <cellStyle name="_Sheet1_Statutory Annual Report - 31 03 08_RELATED PARTY-2010 05 31_(19) Loan Feb-11(Feb-11 figures)" xfId="4134"/>
    <cellStyle name="_Sheet1_StructProdDeals" xfId="4135"/>
    <cellStyle name="_Sheet1_StructProdDeals_Sheet1" xfId="4136"/>
    <cellStyle name="_Sheet2" xfId="4137"/>
    <cellStyle name="_Sheet2_lookup sheet" xfId="4138"/>
    <cellStyle name="_Sheet2_lookup sheet_1" xfId="4139"/>
    <cellStyle name="_Sheet2_lookup sheet_1_Sheet1" xfId="4140"/>
    <cellStyle name="_Sheet2_Ratings action BLP links" xfId="4141"/>
    <cellStyle name="_Sheet2_Sheet1" xfId="4142"/>
    <cellStyle name="_Sheet3" xfId="4143"/>
    <cellStyle name="_Sheet3_lookup sheet" xfId="4144"/>
    <cellStyle name="_Sheet3_lookup sheet_Sheet1" xfId="4145"/>
    <cellStyle name="_Sheet3_Ratings action BLP links" xfId="4146"/>
    <cellStyle name="_Sheet3_Report Finance" xfId="4147"/>
    <cellStyle name="_Sheet3_Sheet1" xfId="4148"/>
    <cellStyle name="_Sheet4" xfId="4149"/>
    <cellStyle name="_Sheet6" xfId="4150"/>
    <cellStyle name="_Sheet6_Sheet1" xfId="4151"/>
    <cellStyle name="_SmartLiveRates" xfId="4152"/>
    <cellStyle name="_SmartLiveRates_Sheet1" xfId="4153"/>
    <cellStyle name="_Sphynx Ratings Analysis" xfId="4154"/>
    <cellStyle name="_Sphynx Ratings Analysis_Sheet1" xfId="4155"/>
    <cellStyle name="_Sphynx_Portfolio_Disclosure" xfId="4156"/>
    <cellStyle name="_Springdale (Princeton) Reference Portfolio 2006-07-17" xfId="4157"/>
    <cellStyle name="_Springdale Investor Request for Church Tavern" xfId="4158"/>
    <cellStyle name="_Start" xfId="4159"/>
    <cellStyle name="_Start_Sheet1" xfId="4160"/>
    <cellStyle name="_Strats" xfId="4161"/>
    <cellStyle name="_Strats_Sheet1" xfId="4162"/>
    <cellStyle name="_StructProdDeals" xfId="4163"/>
    <cellStyle name="_SU_6_7_05" xfId="4164"/>
    <cellStyle name="_SubHeading" xfId="4165"/>
    <cellStyle name="_Summary" xfId="4166"/>
    <cellStyle name="_Summary Surveillance Report May 2007" xfId="4167"/>
    <cellStyle name="_Summary Surveillance Report May 2007_Sheet1" xfId="4168"/>
    <cellStyle name="_Summary_Sheet1" xfId="4169"/>
    <cellStyle name="_SummitDBRec" xfId="4170"/>
    <cellStyle name="_SummitDBRec_Calculator" xfId="4171"/>
    <cellStyle name="_SummitDBRec_CreditEvents" xfId="4172"/>
    <cellStyle name="_SummitDBRec_FIFES" xfId="4173"/>
    <cellStyle name="_SummitDBRec_Positions" xfId="4174"/>
    <cellStyle name="_SummitDBRec_Settings" xfId="4175"/>
    <cellStyle name="_SummitDBRec_SyntheticABS-Jack" xfId="4176"/>
    <cellStyle name="_Symphony 2006-07-30 (Combo)" xfId="4177"/>
    <cellStyle name="_Symphony 2006-07-30 (Combo)_Sheet1" xfId="4178"/>
    <cellStyle name="_SYN FX" xfId="4179"/>
    <cellStyle name="_SYN FX_Sheet1" xfId="4180"/>
    <cellStyle name="_Synthetic ABS NOV 4" xfId="4181"/>
    <cellStyle name="_SyntheticABSCDOModel CMBS Tranches 09302005" xfId="4182"/>
    <cellStyle name="_SyntheticABSCDOModel CMBS Tranches 09302005_Sheet1" xfId="4183"/>
    <cellStyle name="_TabExport" xfId="4184"/>
    <cellStyle name="_TabExport_Sheet1" xfId="4185"/>
    <cellStyle name="_Table" xfId="4186"/>
    <cellStyle name="_Table_Report Finance" xfId="4187"/>
    <cellStyle name="_Table_Sheet1" xfId="4188"/>
    <cellStyle name="_TableHead" xfId="4189"/>
    <cellStyle name="_TableHead_Report Finance" xfId="4190"/>
    <cellStyle name="_TableHead_Sheet1" xfId="4191"/>
    <cellStyle name="_TableRowHead" xfId="4192"/>
    <cellStyle name="_Tables" xfId="4193"/>
    <cellStyle name="_Tables_lookup sheet" xfId="4194"/>
    <cellStyle name="_Tables_lookup sheet_Sheet1" xfId="4195"/>
    <cellStyle name="_TableSuperHead" xfId="4196"/>
    <cellStyle name="_Top 10 exposures per industry" xfId="4197"/>
    <cellStyle name="_Top 10 exposures per industry_(19) Loan Feb-11(Feb-11 figures)" xfId="4198"/>
    <cellStyle name="_Top 10 exposures per industry_(32) Mar-10 Breakdown of Credit" xfId="4199"/>
    <cellStyle name="_Top 10 exposures per industry_(32) Mar-10 Loan" xfId="4200"/>
    <cellStyle name="_Top 10 exposures per industry_(33) Apr-10 Breakdown of Credit" xfId="4201"/>
    <cellStyle name="_Top 10 exposures per industry_(33) Apr-10 Loan" xfId="4202"/>
    <cellStyle name="_Top 10 exposures per industry_Book15" xfId="4203"/>
    <cellStyle name="_Top 10 exposures per industry_Book16" xfId="4204"/>
    <cellStyle name="_Top 10 exposures per industry_Book17" xfId="4205"/>
    <cellStyle name="_Top 10 exposures per industry_Book19" xfId="4206"/>
    <cellStyle name="_Top 10 exposures per industry_Book20" xfId="4207"/>
    <cellStyle name="_Top 10 exposures per industry_Book8" xfId="4208"/>
    <cellStyle name="_Top 10 exposures per industry_Book9" xfId="4209"/>
    <cellStyle name="_Trade" xfId="4210"/>
    <cellStyle name="_Trade_Sheet1" xfId="4211"/>
    <cellStyle name="_Trades" xfId="4212"/>
    <cellStyle name="_TRIAL BALANCE - 31.03.08" xfId="4213"/>
    <cellStyle name="_TRIAL BALANCE - 31.03.08_Sheet1" xfId="4214"/>
    <cellStyle name="_TRS" xfId="4215"/>
    <cellStyle name="_TRS_Sheet1" xfId="4216"/>
    <cellStyle name="_Trustee details" xfId="4217"/>
    <cellStyle name="_Trustee details_Report Finance" xfId="4218"/>
    <cellStyle name="_Trustee details_Sheet1" xfId="4219"/>
    <cellStyle name="_TURKEYBALANCESHEET" xfId="4220"/>
    <cellStyle name="_TURKEYBALANCESHEET_Sheet1" xfId="4221"/>
    <cellStyle name="_T-XX Interdiv march final 2008" xfId="4222"/>
    <cellStyle name="_T-XX Interdiv march final 2008_Book1 (4)" xfId="4223"/>
    <cellStyle name="_Vector Output &amp; Default Timing" xfId="4224"/>
    <cellStyle name="_WatchlistBonds" xfId="4225"/>
    <cellStyle name="_WatchlistBonds_Sheet1" xfId="4226"/>
    <cellStyle name="_Workings - Pack 2008" xfId="4227"/>
    <cellStyle name="_Workings - Pack 2008_Sheet1" xfId="4228"/>
    <cellStyle name="_Xx" xfId="4229"/>
    <cellStyle name="_Xx_Sheet1" xfId="4230"/>
    <cellStyle name="_Xy" xfId="4231"/>
    <cellStyle name="_Xy_Sheet1" xfId="4232"/>
    <cellStyle name="_Ya" xfId="4233"/>
    <cellStyle name="_Ya_1" xfId="4234"/>
    <cellStyle name="_Ya_1_Sheet1" xfId="4235"/>
    <cellStyle name="_Ya_Sheet1" xfId="4236"/>
    <cellStyle name="_yc6 aug12" xfId="4237"/>
    <cellStyle name="_yc6 aug12_Sheet1" xfId="4238"/>
    <cellStyle name="_Yn" xfId="4239"/>
    <cellStyle name="_Yn_Sheet1" xfId="4240"/>
    <cellStyle name="_Z_FRONT" xfId="4241"/>
    <cellStyle name="_Z_FRONT_Sheet1" xfId="4242"/>
    <cellStyle name="_Zz" xfId="4243"/>
    <cellStyle name="_Zz_Sheet1" xfId="4244"/>
    <cellStyle name="£ BP" xfId="4245"/>
    <cellStyle name="¥ JY" xfId="4246"/>
    <cellStyle name="=C:\WINNT35\SYSTEM32\COMMAND.COM" xfId="4247"/>
    <cellStyle name="=C:\WINNT35\SYSTEM32\COMMAND.COM 2" xfId="4248"/>
    <cellStyle name="•W€_NewOriginal100" xfId="4249"/>
    <cellStyle name="20% - Accent1 2" xfId="4250"/>
    <cellStyle name="20% - Accent1 3" xfId="4251"/>
    <cellStyle name="20% - Accent2 2" xfId="4252"/>
    <cellStyle name="20% - Accent2 3" xfId="4253"/>
    <cellStyle name="20% - Accent3 2" xfId="4254"/>
    <cellStyle name="20% - Accent3 3" xfId="4255"/>
    <cellStyle name="20% - Accent4 2" xfId="4256"/>
    <cellStyle name="20% - Accent4 3" xfId="4257"/>
    <cellStyle name="20% - Accent5 2" xfId="4258"/>
    <cellStyle name="20% - Accent5 3" xfId="4259"/>
    <cellStyle name="20% - Accent6 2" xfId="4260"/>
    <cellStyle name="20% - Accent6 3" xfId="4261"/>
    <cellStyle name="32s" xfId="4262"/>
    <cellStyle name="40% - Accent1 2" xfId="4263"/>
    <cellStyle name="40% - Accent1 3" xfId="4264"/>
    <cellStyle name="40% - Accent2 2" xfId="4265"/>
    <cellStyle name="40% - Accent2 3" xfId="4266"/>
    <cellStyle name="40% - Accent3 2" xfId="4267"/>
    <cellStyle name="40% - Accent3 3" xfId="4268"/>
    <cellStyle name="40% - Accent4 2" xfId="4269"/>
    <cellStyle name="40% - Accent4 3" xfId="4270"/>
    <cellStyle name="40% - Accent5 2" xfId="4271"/>
    <cellStyle name="40% - Accent5 3" xfId="4272"/>
    <cellStyle name="40% - Accent6 2" xfId="4273"/>
    <cellStyle name="40% - Accent6 3" xfId="4274"/>
    <cellStyle name="60% - Accent1 2" xfId="4275"/>
    <cellStyle name="60% - Accent1 3" xfId="4276"/>
    <cellStyle name="60% - Accent2 2" xfId="4277"/>
    <cellStyle name="60% - Accent2 3" xfId="4278"/>
    <cellStyle name="60% - Accent3 2" xfId="4279"/>
    <cellStyle name="60% - Accent3 3" xfId="4280"/>
    <cellStyle name="60% - Accent4 2" xfId="4281"/>
    <cellStyle name="60% - Accent4 3" xfId="4282"/>
    <cellStyle name="60% - Accent5 2" xfId="4283"/>
    <cellStyle name="60% - Accent5 3" xfId="4284"/>
    <cellStyle name="60% - Accent6 2" xfId="4285"/>
    <cellStyle name="60% - Accent6 3" xfId="4286"/>
    <cellStyle name="Accent1 2" xfId="4287"/>
    <cellStyle name="Accent1 3" xfId="4288"/>
    <cellStyle name="Accent2 2" xfId="4289"/>
    <cellStyle name="Accent2 3" xfId="4290"/>
    <cellStyle name="Accent3 2" xfId="4291"/>
    <cellStyle name="Accent3 3" xfId="4292"/>
    <cellStyle name="Accent4 2" xfId="4293"/>
    <cellStyle name="Accent4 3" xfId="4294"/>
    <cellStyle name="Accent5 2" xfId="4295"/>
    <cellStyle name="Accent5 3" xfId="4296"/>
    <cellStyle name="Accent6 2" xfId="4297"/>
    <cellStyle name="Accent6 3" xfId="4298"/>
    <cellStyle name="adam" xfId="4299"/>
    <cellStyle name="Adjustable" xfId="4300"/>
    <cellStyle name="AFE" xfId="4301"/>
    <cellStyle name="AminPageHeading" xfId="4302"/>
    <cellStyle name="amount" xfId="4303"/>
    <cellStyle name="AskSide" xfId="4304"/>
    <cellStyle name="AttribBox" xfId="4305"/>
    <cellStyle name="Attribute" xfId="4306"/>
    <cellStyle name="AutoFormat Options" xfId="4307"/>
    <cellStyle name="Axis.EffectiveDate" xfId="4308"/>
    <cellStyle name="Axis.Seasoning" xfId="4309"/>
    <cellStyle name="Background" xfId="4310"/>
    <cellStyle name="Bad 2" xfId="4311"/>
    <cellStyle name="Bad 2 2" xfId="4312"/>
    <cellStyle name="Bad 3" xfId="4313"/>
    <cellStyle name="Bid Lables" xfId="4314"/>
    <cellStyle name="BidSide" xfId="4315"/>
    <cellStyle name="Big Money" xfId="4316"/>
    <cellStyle name="black" xfId="4317"/>
    <cellStyle name="BlankedZeros" xfId="4318"/>
    <cellStyle name="Blue" xfId="4319"/>
    <cellStyle name="Body" xfId="4320"/>
    <cellStyle name="Body text" xfId="4321"/>
    <cellStyle name="Bold" xfId="4322"/>
    <cellStyle name="Bold/Border" xfId="4323"/>
    <cellStyle name="Bold_Report Finance" xfId="4324"/>
    <cellStyle name="BoldLineDescription" xfId="4325"/>
    <cellStyle name="BoldUnderline" xfId="4326"/>
    <cellStyle name="Border" xfId="4327"/>
    <cellStyle name="Border Heavy" xfId="4328"/>
    <cellStyle name="Border Thin" xfId="4329"/>
    <cellStyle name="Border, Bottom" xfId="4330"/>
    <cellStyle name="Border, Left" xfId="4331"/>
    <cellStyle name="Border, Right" xfId="4332"/>
    <cellStyle name="Border, Top" xfId="4333"/>
    <cellStyle name="Border_(26) Oct-09 (AL)" xfId="4334"/>
    <cellStyle name="Bullet" xfId="4335"/>
    <cellStyle name="calc" xfId="4336"/>
    <cellStyle name="Calc Currency (0)" xfId="4337"/>
    <cellStyle name="Calc Currency (2)" xfId="4338"/>
    <cellStyle name="Calc Percent (0)" xfId="4339"/>
    <cellStyle name="Calc Percent (1)" xfId="4340"/>
    <cellStyle name="Calc Percent (2)" xfId="4341"/>
    <cellStyle name="Calc Units (0)" xfId="4342"/>
    <cellStyle name="Calc Units (1)" xfId="4343"/>
    <cellStyle name="Calc Units (2)" xfId="4344"/>
    <cellStyle name="Calculation 2" xfId="4345"/>
    <cellStyle name="Calculation 3" xfId="4346"/>
    <cellStyle name="CategoryHeading" xfId="4347"/>
    <cellStyle name="Check Cell 2" xfId="4348"/>
    <cellStyle name="Check Cell 3" xfId="4349"/>
    <cellStyle name="checkExposure" xfId="4350"/>
    <cellStyle name="Co. Names" xfId="4351"/>
    <cellStyle name="Comm? [0]_FOP1&amp;L_PLN0309_NewBrazil3007.xls Chart 2" xfId="4352"/>
    <cellStyle name="Comma" xfId="1" builtinId="3"/>
    <cellStyle name="Comma  - Style1" xfId="4353"/>
    <cellStyle name="Comma  - Style2" xfId="4354"/>
    <cellStyle name="Comma  - Style3" xfId="4355"/>
    <cellStyle name="Comma  - Style4" xfId="4356"/>
    <cellStyle name="Comma  - Style5" xfId="4357"/>
    <cellStyle name="Comma  - Style6" xfId="4358"/>
    <cellStyle name="Comma  - Style7" xfId="4359"/>
    <cellStyle name="Comma  - Style8" xfId="4360"/>
    <cellStyle name="Comma [00]" xfId="4361"/>
    <cellStyle name="Comma 0" xfId="4362"/>
    <cellStyle name="Comma 10" xfId="4363"/>
    <cellStyle name="Comma 10 2" xfId="4364"/>
    <cellStyle name="Comma 10 3" xfId="4365"/>
    <cellStyle name="Comma 10 4" xfId="4366"/>
    <cellStyle name="Comma 100" xfId="4367"/>
    <cellStyle name="Comma 100 2" xfId="4368"/>
    <cellStyle name="Comma 100 3" xfId="4369"/>
    <cellStyle name="Comma 100 4" xfId="4370"/>
    <cellStyle name="Comma 100 4 2" xfId="4371"/>
    <cellStyle name="Comma 101" xfId="4372"/>
    <cellStyle name="Comma 101 2" xfId="4373"/>
    <cellStyle name="Comma 101 3" xfId="4374"/>
    <cellStyle name="Comma 101 4" xfId="4375"/>
    <cellStyle name="Comma 101 5" xfId="4376"/>
    <cellStyle name="Comma 101 5 2" xfId="4377"/>
    <cellStyle name="Comma 101 6" xfId="4378"/>
    <cellStyle name="Comma 101 6 2" xfId="4379"/>
    <cellStyle name="Comma 102" xfId="4380"/>
    <cellStyle name="Comma 102 2" xfId="4381"/>
    <cellStyle name="Comma 102 3" xfId="4382"/>
    <cellStyle name="Comma 102 3 2" xfId="4383"/>
    <cellStyle name="Comma 103" xfId="4384"/>
    <cellStyle name="Comma 103 2" xfId="4385"/>
    <cellStyle name="Comma 103 3" xfId="4386"/>
    <cellStyle name="Comma 103 3 2" xfId="4387"/>
    <cellStyle name="Comma 104" xfId="4388"/>
    <cellStyle name="Comma 104 2" xfId="4389"/>
    <cellStyle name="Comma 104 3" xfId="4390"/>
    <cellStyle name="Comma 104 3 2" xfId="4391"/>
    <cellStyle name="Comma 105" xfId="4392"/>
    <cellStyle name="Comma 105 2" xfId="4393"/>
    <cellStyle name="Comma 105 3" xfId="4394"/>
    <cellStyle name="Comma 105 3 2" xfId="4395"/>
    <cellStyle name="Comma 106" xfId="4396"/>
    <cellStyle name="Comma 106 2" xfId="4397"/>
    <cellStyle name="Comma 106 3" xfId="4398"/>
    <cellStyle name="Comma 106 3 2" xfId="4399"/>
    <cellStyle name="Comma 107" xfId="4400"/>
    <cellStyle name="Comma 107 2" xfId="4401"/>
    <cellStyle name="Comma 107 3" xfId="4402"/>
    <cellStyle name="Comma 107 3 2" xfId="4403"/>
    <cellStyle name="Comma 108" xfId="4404"/>
    <cellStyle name="Comma 108 2" xfId="4405"/>
    <cellStyle name="Comma 108 3" xfId="4406"/>
    <cellStyle name="Comma 108 3 2" xfId="4407"/>
    <cellStyle name="Comma 109" xfId="4408"/>
    <cellStyle name="Comma 109 2" xfId="4409"/>
    <cellStyle name="Comma 109 3" xfId="4410"/>
    <cellStyle name="Comma 109 3 2" xfId="4411"/>
    <cellStyle name="Comma 11" xfId="4412"/>
    <cellStyle name="Comma 11 2" xfId="4413"/>
    <cellStyle name="Comma 11 3" xfId="4414"/>
    <cellStyle name="Comma 11 4" xfId="4415"/>
    <cellStyle name="Comma 110" xfId="4416"/>
    <cellStyle name="Comma 110 2" xfId="4417"/>
    <cellStyle name="Comma 110 3" xfId="4418"/>
    <cellStyle name="Comma 110 3 2" xfId="4419"/>
    <cellStyle name="Comma 111" xfId="4420"/>
    <cellStyle name="Comma 111 2" xfId="4421"/>
    <cellStyle name="Comma 111 3" xfId="4422"/>
    <cellStyle name="Comma 111 3 2" xfId="4423"/>
    <cellStyle name="Comma 112" xfId="4424"/>
    <cellStyle name="Comma 112 2" xfId="4425"/>
    <cellStyle name="Comma 112 3" xfId="4426"/>
    <cellStyle name="Comma 112 3 2" xfId="4427"/>
    <cellStyle name="Comma 113" xfId="4428"/>
    <cellStyle name="Comma 113 2" xfId="4429"/>
    <cellStyle name="Comma 113 3" xfId="4430"/>
    <cellStyle name="Comma 113 3 2" xfId="4431"/>
    <cellStyle name="Comma 114" xfId="4432"/>
    <cellStyle name="Comma 114 2" xfId="4433"/>
    <cellStyle name="Comma 114 3" xfId="4434"/>
    <cellStyle name="Comma 114 3 2" xfId="4435"/>
    <cellStyle name="Comma 115" xfId="4436"/>
    <cellStyle name="Comma 115 2" xfId="4437"/>
    <cellStyle name="Comma 115 3" xfId="4438"/>
    <cellStyle name="Comma 115 3 2" xfId="4439"/>
    <cellStyle name="Comma 116" xfId="4440"/>
    <cellStyle name="Comma 116 2" xfId="4441"/>
    <cellStyle name="Comma 116 3" xfId="4442"/>
    <cellStyle name="Comma 116 3 2" xfId="4443"/>
    <cellStyle name="Comma 117" xfId="4444"/>
    <cellStyle name="Comma 117 2" xfId="4445"/>
    <cellStyle name="Comma 117 3" xfId="4446"/>
    <cellStyle name="Comma 117 3 2" xfId="4447"/>
    <cellStyle name="Comma 118" xfId="4448"/>
    <cellStyle name="Comma 118 2" xfId="4449"/>
    <cellStyle name="Comma 118 3" xfId="4450"/>
    <cellStyle name="Comma 118 3 2" xfId="4451"/>
    <cellStyle name="Comma 119" xfId="4452"/>
    <cellStyle name="Comma 119 2" xfId="4453"/>
    <cellStyle name="Comma 119 3" xfId="4454"/>
    <cellStyle name="Comma 119 3 2" xfId="4455"/>
    <cellStyle name="Comma 12" xfId="4456"/>
    <cellStyle name="Comma 12 2" xfId="4457"/>
    <cellStyle name="Comma 12 3" xfId="4458"/>
    <cellStyle name="Comma 120" xfId="4459"/>
    <cellStyle name="Comma 120 2" xfId="4460"/>
    <cellStyle name="Comma 120 3" xfId="4461"/>
    <cellStyle name="Comma 120 3 2" xfId="4462"/>
    <cellStyle name="Comma 121" xfId="4463"/>
    <cellStyle name="Comma 121 2" xfId="4464"/>
    <cellStyle name="Comma 121 3" xfId="4465"/>
    <cellStyle name="Comma 121 3 2" xfId="4466"/>
    <cellStyle name="Comma 122" xfId="4467"/>
    <cellStyle name="Comma 122 2" xfId="4468"/>
    <cellStyle name="Comma 122 3" xfId="4469"/>
    <cellStyle name="Comma 122 3 2" xfId="4470"/>
    <cellStyle name="Comma 123" xfId="4471"/>
    <cellStyle name="Comma 123 2" xfId="4472"/>
    <cellStyle name="Comma 123 3" xfId="4473"/>
    <cellStyle name="Comma 123 3 2" xfId="4474"/>
    <cellStyle name="Comma 124" xfId="4475"/>
    <cellStyle name="Comma 124 2" xfId="4476"/>
    <cellStyle name="Comma 124 3" xfId="4477"/>
    <cellStyle name="Comma 124 3 2" xfId="4478"/>
    <cellStyle name="Comma 125" xfId="4479"/>
    <cellStyle name="Comma 125 2" xfId="4480"/>
    <cellStyle name="Comma 125 3" xfId="4481"/>
    <cellStyle name="Comma 125 3 2" xfId="4482"/>
    <cellStyle name="Comma 126" xfId="4483"/>
    <cellStyle name="Comma 126 2" xfId="4484"/>
    <cellStyle name="Comma 126 3" xfId="4485"/>
    <cellStyle name="Comma 126 3 2" xfId="4486"/>
    <cellStyle name="Comma 127" xfId="4487"/>
    <cellStyle name="Comma 127 2" xfId="4488"/>
    <cellStyle name="Comma 127 3" xfId="4489"/>
    <cellStyle name="Comma 127 3 2" xfId="4490"/>
    <cellStyle name="Comma 128" xfId="4491"/>
    <cellStyle name="Comma 128 2" xfId="4492"/>
    <cellStyle name="Comma 128 3" xfId="4493"/>
    <cellStyle name="Comma 128 3 2" xfId="4494"/>
    <cellStyle name="Comma 129" xfId="4495"/>
    <cellStyle name="Comma 129 2" xfId="4496"/>
    <cellStyle name="Comma 129 3" xfId="4497"/>
    <cellStyle name="Comma 129 3 2" xfId="4498"/>
    <cellStyle name="Comma 13" xfId="4499"/>
    <cellStyle name="Comma 13 2" xfId="4500"/>
    <cellStyle name="Comma 13 3" xfId="4501"/>
    <cellStyle name="Comma 130" xfId="4502"/>
    <cellStyle name="Comma 130 2" xfId="4503"/>
    <cellStyle name="Comma 130 3" xfId="4504"/>
    <cellStyle name="Comma 130 3 2" xfId="4505"/>
    <cellStyle name="Comma 131" xfId="4506"/>
    <cellStyle name="Comma 131 2" xfId="4507"/>
    <cellStyle name="Comma 131 3" xfId="4508"/>
    <cellStyle name="Comma 131 3 2" xfId="4509"/>
    <cellStyle name="Comma 132" xfId="4510"/>
    <cellStyle name="Comma 132 2" xfId="4511"/>
    <cellStyle name="Comma 132 3" xfId="4512"/>
    <cellStyle name="Comma 132 3 2" xfId="4513"/>
    <cellStyle name="Comma 133" xfId="4514"/>
    <cellStyle name="Comma 133 2" xfId="4515"/>
    <cellStyle name="Comma 133 3" xfId="4516"/>
    <cellStyle name="Comma 133 3 2" xfId="4517"/>
    <cellStyle name="Comma 134" xfId="4518"/>
    <cellStyle name="Comma 134 2" xfId="4519"/>
    <cellStyle name="Comma 134 3" xfId="4520"/>
    <cellStyle name="Comma 134 3 2" xfId="4521"/>
    <cellStyle name="Comma 135" xfId="4522"/>
    <cellStyle name="Comma 135 2" xfId="4523"/>
    <cellStyle name="Comma 135 3" xfId="4524"/>
    <cellStyle name="Comma 135 3 2" xfId="4525"/>
    <cellStyle name="Comma 136" xfId="4526"/>
    <cellStyle name="Comma 136 2" xfId="4527"/>
    <cellStyle name="Comma 136 3" xfId="4528"/>
    <cellStyle name="Comma 136 3 2" xfId="4529"/>
    <cellStyle name="Comma 137" xfId="4530"/>
    <cellStyle name="Comma 137 2" xfId="4531"/>
    <cellStyle name="Comma 137 3" xfId="4532"/>
    <cellStyle name="Comma 137 3 2" xfId="4533"/>
    <cellStyle name="Comma 138" xfId="4534"/>
    <cellStyle name="Comma 138 2" xfId="4535"/>
    <cellStyle name="Comma 138 3" xfId="4536"/>
    <cellStyle name="Comma 138 3 2" xfId="4537"/>
    <cellStyle name="Comma 139" xfId="4538"/>
    <cellStyle name="Comma 139 2" xfId="4539"/>
    <cellStyle name="Comma 139 3" xfId="4540"/>
    <cellStyle name="Comma 139 3 2" xfId="4541"/>
    <cellStyle name="Comma 14" xfId="4542"/>
    <cellStyle name="Comma 14 2" xfId="4543"/>
    <cellStyle name="Comma 140" xfId="4544"/>
    <cellStyle name="Comma 140 2" xfId="4545"/>
    <cellStyle name="Comma 140 3" xfId="4546"/>
    <cellStyle name="Comma 140 3 2" xfId="4547"/>
    <cellStyle name="Comma 141" xfId="4548"/>
    <cellStyle name="Comma 141 2" xfId="4549"/>
    <cellStyle name="Comma 141 3" xfId="4550"/>
    <cellStyle name="Comma 141 3 2" xfId="4551"/>
    <cellStyle name="Comma 142" xfId="4552"/>
    <cellStyle name="Comma 142 2" xfId="4553"/>
    <cellStyle name="Comma 142 3" xfId="4554"/>
    <cellStyle name="Comma 142 3 2" xfId="4555"/>
    <cellStyle name="Comma 143" xfId="4556"/>
    <cellStyle name="Comma 143 2" xfId="4557"/>
    <cellStyle name="Comma 143 3" xfId="4558"/>
    <cellStyle name="Comma 143 3 2" xfId="4559"/>
    <cellStyle name="Comma 144" xfId="4560"/>
    <cellStyle name="Comma 144 2" xfId="4561"/>
    <cellStyle name="Comma 144 3" xfId="4562"/>
    <cellStyle name="Comma 144 3 2" xfId="4563"/>
    <cellStyle name="Comma 145" xfId="4564"/>
    <cellStyle name="Comma 145 2" xfId="4565"/>
    <cellStyle name="Comma 145 2 2" xfId="4566"/>
    <cellStyle name="Comma 146" xfId="4567"/>
    <cellStyle name="Comma 146 2" xfId="4568"/>
    <cellStyle name="Comma 146 2 2" xfId="4569"/>
    <cellStyle name="Comma 146 2 3" xfId="4570"/>
    <cellStyle name="Comma 146 3" xfId="4571"/>
    <cellStyle name="Comma 146 4" xfId="4572"/>
    <cellStyle name="Comma 147" xfId="4573"/>
    <cellStyle name="Comma 147 2" xfId="4574"/>
    <cellStyle name="Comma 148" xfId="4575"/>
    <cellStyle name="Comma 148 2" xfId="4576"/>
    <cellStyle name="Comma 149" xfId="4577"/>
    <cellStyle name="Comma 149 2" xfId="4578"/>
    <cellStyle name="Comma 15" xfId="4579"/>
    <cellStyle name="Comma 15 2" xfId="4580"/>
    <cellStyle name="Comma 15 3" xfId="4581"/>
    <cellStyle name="Comma 150" xfId="4582"/>
    <cellStyle name="Comma 150 2" xfId="4583"/>
    <cellStyle name="Comma 151" xfId="4584"/>
    <cellStyle name="Comma 151 2" xfId="4585"/>
    <cellStyle name="Comma 152" xfId="4586"/>
    <cellStyle name="Comma 152 2" xfId="4587"/>
    <cellStyle name="Comma 153" xfId="4588"/>
    <cellStyle name="Comma 153 2" xfId="4589"/>
    <cellStyle name="Comma 154" xfId="4590"/>
    <cellStyle name="Comma 154 2" xfId="4591"/>
    <cellStyle name="Comma 155" xfId="4592"/>
    <cellStyle name="Comma 155 2" xfId="4593"/>
    <cellStyle name="Comma 156" xfId="4594"/>
    <cellStyle name="Comma 156 2" xfId="4595"/>
    <cellStyle name="Comma 157" xfId="4596"/>
    <cellStyle name="Comma 157 2" xfId="4597"/>
    <cellStyle name="Comma 158" xfId="4598"/>
    <cellStyle name="Comma 158 2" xfId="4599"/>
    <cellStyle name="Comma 159" xfId="4600"/>
    <cellStyle name="Comma 159 2" xfId="4601"/>
    <cellStyle name="Comma 16" xfId="4602"/>
    <cellStyle name="Comma 16 2" xfId="4603"/>
    <cellStyle name="Comma 16 3" xfId="4604"/>
    <cellStyle name="Comma 160" xfId="4605"/>
    <cellStyle name="Comma 160 2" xfId="4606"/>
    <cellStyle name="Comma 161" xfId="4607"/>
    <cellStyle name="Comma 161 2" xfId="4608"/>
    <cellStyle name="Comma 162" xfId="4609"/>
    <cellStyle name="Comma 162 2" xfId="4610"/>
    <cellStyle name="Comma 163" xfId="4611"/>
    <cellStyle name="Comma 163 2" xfId="4612"/>
    <cellStyle name="Comma 164" xfId="4613"/>
    <cellStyle name="Comma 164 2" xfId="4614"/>
    <cellStyle name="Comma 165" xfId="4615"/>
    <cellStyle name="Comma 165 2" xfId="4616"/>
    <cellStyle name="Comma 166" xfId="4617"/>
    <cellStyle name="Comma 166 2" xfId="4618"/>
    <cellStyle name="Comma 167" xfId="4619"/>
    <cellStyle name="Comma 167 2" xfId="4620"/>
    <cellStyle name="Comma 168" xfId="4621"/>
    <cellStyle name="Comma 168 2" xfId="4622"/>
    <cellStyle name="Comma 169" xfId="4623"/>
    <cellStyle name="Comma 169 2" xfId="4624"/>
    <cellStyle name="Comma 17" xfId="4625"/>
    <cellStyle name="Comma 17 2" xfId="4626"/>
    <cellStyle name="Comma 17 2 2" xfId="4627"/>
    <cellStyle name="Comma 17 2 2 2" xfId="4628"/>
    <cellStyle name="Comma 17 2 3" xfId="4629"/>
    <cellStyle name="Comma 17 3" xfId="4630"/>
    <cellStyle name="Comma 170" xfId="4631"/>
    <cellStyle name="Comma 170 2" xfId="4632"/>
    <cellStyle name="Comma 171" xfId="4633"/>
    <cellStyle name="Comma 171 2" xfId="4634"/>
    <cellStyle name="Comma 172" xfId="4635"/>
    <cellStyle name="Comma 172 2" xfId="4636"/>
    <cellStyle name="Comma 173" xfId="4637"/>
    <cellStyle name="Comma 173 2" xfId="4638"/>
    <cellStyle name="Comma 174" xfId="4639"/>
    <cellStyle name="Comma 174 2" xfId="4640"/>
    <cellStyle name="Comma 175" xfId="4641"/>
    <cellStyle name="Comma 175 2" xfId="4642"/>
    <cellStyle name="Comma 176" xfId="4643"/>
    <cellStyle name="Comma 176 2" xfId="4644"/>
    <cellStyle name="Comma 177" xfId="4645"/>
    <cellStyle name="Comma 177 2" xfId="4646"/>
    <cellStyle name="Comma 178" xfId="4647"/>
    <cellStyle name="Comma 178 2" xfId="4648"/>
    <cellStyle name="Comma 179" xfId="4649"/>
    <cellStyle name="Comma 179 2" xfId="4650"/>
    <cellStyle name="Comma 18" xfId="4651"/>
    <cellStyle name="Comma 18 2" xfId="4652"/>
    <cellStyle name="Comma 18 3" xfId="4653"/>
    <cellStyle name="Comma 180" xfId="4654"/>
    <cellStyle name="Comma 180 2" xfId="4655"/>
    <cellStyle name="Comma 181" xfId="4656"/>
    <cellStyle name="Comma 181 2" xfId="4657"/>
    <cellStyle name="Comma 182" xfId="4658"/>
    <cellStyle name="Comma 182 2" xfId="4659"/>
    <cellStyle name="Comma 183" xfId="4660"/>
    <cellStyle name="Comma 183 2" xfId="4661"/>
    <cellStyle name="Comma 184" xfId="4662"/>
    <cellStyle name="Comma 185" xfId="4663"/>
    <cellStyle name="Comma 186" xfId="4664"/>
    <cellStyle name="Comma 187" xfId="4665"/>
    <cellStyle name="Comma 188" xfId="4666"/>
    <cellStyle name="Comma 189" xfId="4667"/>
    <cellStyle name="Comma 19" xfId="4668"/>
    <cellStyle name="Comma 19 2" xfId="4669"/>
    <cellStyle name="Comma 19 3" xfId="4670"/>
    <cellStyle name="Comma 19 4" xfId="4671"/>
    <cellStyle name="Comma 190" xfId="4672"/>
    <cellStyle name="Comma 191" xfId="4673"/>
    <cellStyle name="Comma 192" xfId="4674"/>
    <cellStyle name="Comma 193" xfId="4675"/>
    <cellStyle name="Comma 194" xfId="4676"/>
    <cellStyle name="Comma 195" xfId="4677"/>
    <cellStyle name="Comma 195 2" xfId="4678"/>
    <cellStyle name="Comma 195 3" xfId="4679"/>
    <cellStyle name="Comma 195 4" xfId="4680"/>
    <cellStyle name="Comma 195 4 2" xfId="4681"/>
    <cellStyle name="Comma 196" xfId="4682"/>
    <cellStyle name="Comma 196 2" xfId="4683"/>
    <cellStyle name="Comma 196 3" xfId="4684"/>
    <cellStyle name="Comma 196 3 2" xfId="4685"/>
    <cellStyle name="Comma 197" xfId="4686"/>
    <cellStyle name="Comma 198" xfId="4687"/>
    <cellStyle name="Comma 199" xfId="4688"/>
    <cellStyle name="Comma 2" xfId="3"/>
    <cellStyle name="Comma 2 10" xfId="4689"/>
    <cellStyle name="Comma 2 19" xfId="4690"/>
    <cellStyle name="Comma 2 2" xfId="6"/>
    <cellStyle name="Comma 2 2 2" xfId="4691"/>
    <cellStyle name="Comma 2 2 2 2" xfId="4692"/>
    <cellStyle name="Comma 2 2 2 3" xfId="4693"/>
    <cellStyle name="Comma 2 2 3" xfId="4694"/>
    <cellStyle name="Comma 2 2 4" xfId="6394"/>
    <cellStyle name="Comma 2 3" xfId="4695"/>
    <cellStyle name="Comma 2 3 2" xfId="4696"/>
    <cellStyle name="Comma 2 3 3" xfId="4697"/>
    <cellStyle name="Comma 2 3 4" xfId="4698"/>
    <cellStyle name="Comma 2 3 5" xfId="4699"/>
    <cellStyle name="Comma 2 4" xfId="4700"/>
    <cellStyle name="Comma 2 4 2" xfId="4701"/>
    <cellStyle name="Comma 2 4 3" xfId="4702"/>
    <cellStyle name="Comma 2 4 4" xfId="4703"/>
    <cellStyle name="Comma 2 5" xfId="4704"/>
    <cellStyle name="Comma 2 5 2" xfId="4705"/>
    <cellStyle name="Comma 2 5 3" xfId="4706"/>
    <cellStyle name="Comma 2 6" xfId="4707"/>
    <cellStyle name="Comma 2 6 2" xfId="4708"/>
    <cellStyle name="Comma 2 6 3" xfId="4709"/>
    <cellStyle name="Comma 2 7" xfId="4710"/>
    <cellStyle name="Comma 2 7 2" xfId="4711"/>
    <cellStyle name="Comma 2 7 3" xfId="4712"/>
    <cellStyle name="Comma 2 8" xfId="4713"/>
    <cellStyle name="Comma 2 9" xfId="4714"/>
    <cellStyle name="Comma 2 9 2" xfId="4715"/>
    <cellStyle name="Comma 2_GTO recharge" xfId="4716"/>
    <cellStyle name="Comma 20" xfId="4717"/>
    <cellStyle name="Comma 20 2" xfId="4718"/>
    <cellStyle name="Comma 20 3" xfId="4719"/>
    <cellStyle name="Comma 200" xfId="4720"/>
    <cellStyle name="Comma 201" xfId="4721"/>
    <cellStyle name="Comma 202" xfId="4722"/>
    <cellStyle name="Comma 203" xfId="4723"/>
    <cellStyle name="Comma 204" xfId="4724"/>
    <cellStyle name="Comma 204 2" xfId="4725"/>
    <cellStyle name="Comma 204 3" xfId="4726"/>
    <cellStyle name="Comma 204 3 2" xfId="4727"/>
    <cellStyle name="Comma 205" xfId="4728"/>
    <cellStyle name="Comma 205 2" xfId="4729"/>
    <cellStyle name="Comma 205 3" xfId="4730"/>
    <cellStyle name="Comma 206" xfId="4731"/>
    <cellStyle name="Comma 206 2" xfId="4732"/>
    <cellStyle name="Comma 207" xfId="4733"/>
    <cellStyle name="Comma 207 2" xfId="4734"/>
    <cellStyle name="Comma 208" xfId="4735"/>
    <cellStyle name="Comma 208 2" xfId="4736"/>
    <cellStyle name="Comma 209" xfId="4737"/>
    <cellStyle name="Comma 209 2" xfId="4738"/>
    <cellStyle name="Comma 21" xfId="4739"/>
    <cellStyle name="Comma 21 2" xfId="4740"/>
    <cellStyle name="Comma 21 3" xfId="4741"/>
    <cellStyle name="Comma 210" xfId="4742"/>
    <cellStyle name="Comma 210 2" xfId="4743"/>
    <cellStyle name="Comma 211" xfId="4744"/>
    <cellStyle name="Comma 211 2" xfId="4745"/>
    <cellStyle name="Comma 212" xfId="4746"/>
    <cellStyle name="Comma 212 2" xfId="4747"/>
    <cellStyle name="Comma 213" xfId="4748"/>
    <cellStyle name="Comma 213 2" xfId="4749"/>
    <cellStyle name="Comma 214" xfId="4750"/>
    <cellStyle name="Comma 214 2" xfId="4751"/>
    <cellStyle name="Comma 215" xfId="4752"/>
    <cellStyle name="Comma 215 2" xfId="4753"/>
    <cellStyle name="Comma 216" xfId="4754"/>
    <cellStyle name="Comma 217" xfId="4755"/>
    <cellStyle name="Comma 218" xfId="4756"/>
    <cellStyle name="Comma 219" xfId="4757"/>
    <cellStyle name="Comma 22" xfId="4758"/>
    <cellStyle name="Comma 22 2" xfId="4759"/>
    <cellStyle name="Comma 22 3" xfId="4760"/>
    <cellStyle name="Comma 220" xfId="4761"/>
    <cellStyle name="Comma 221" xfId="4762"/>
    <cellStyle name="Comma 222" xfId="4763"/>
    <cellStyle name="Comma 223" xfId="4764"/>
    <cellStyle name="Comma 224" xfId="4765"/>
    <cellStyle name="Comma 225" xfId="4766"/>
    <cellStyle name="Comma 226" xfId="4767"/>
    <cellStyle name="Comma 227" xfId="4768"/>
    <cellStyle name="Comma 228" xfId="4769"/>
    <cellStyle name="Comma 229" xfId="4770"/>
    <cellStyle name="Comma 23" xfId="4771"/>
    <cellStyle name="Comma 23 2" xfId="4772"/>
    <cellStyle name="Comma 23 3" xfId="4773"/>
    <cellStyle name="Comma 230" xfId="4774"/>
    <cellStyle name="Comma 231" xfId="4775"/>
    <cellStyle name="Comma 232" xfId="4776"/>
    <cellStyle name="Comma 233" xfId="4777"/>
    <cellStyle name="Comma 234" xfId="4778"/>
    <cellStyle name="Comma 235" xfId="4779"/>
    <cellStyle name="Comma 236" xfId="4780"/>
    <cellStyle name="Comma 237" xfId="4781"/>
    <cellStyle name="Comma 237 2" xfId="4782"/>
    <cellStyle name="Comma 238" xfId="4783"/>
    <cellStyle name="Comma 239" xfId="4784"/>
    <cellStyle name="Comma 24" xfId="4785"/>
    <cellStyle name="Comma 24 2" xfId="4786"/>
    <cellStyle name="Comma 24 3" xfId="4787"/>
    <cellStyle name="Comma 240" xfId="4788"/>
    <cellStyle name="Comma 241" xfId="4789"/>
    <cellStyle name="Comma 242" xfId="4790"/>
    <cellStyle name="Comma 243" xfId="4791"/>
    <cellStyle name="Comma 244" xfId="4792"/>
    <cellStyle name="Comma 245" xfId="4793"/>
    <cellStyle name="Comma 246" xfId="4794"/>
    <cellStyle name="Comma 247" xfId="4795"/>
    <cellStyle name="Comma 248" xfId="4796"/>
    <cellStyle name="Comma 249" xfId="4797"/>
    <cellStyle name="Comma 25" xfId="4798"/>
    <cellStyle name="Comma 25 2" xfId="4799"/>
    <cellStyle name="Comma 25 3" xfId="4800"/>
    <cellStyle name="Comma 250" xfId="4801"/>
    <cellStyle name="Comma 251" xfId="4802"/>
    <cellStyle name="Comma 252" xfId="4803"/>
    <cellStyle name="Comma 253" xfId="4804"/>
    <cellStyle name="Comma 254" xfId="4805"/>
    <cellStyle name="Comma 255" xfId="4806"/>
    <cellStyle name="Comma 256" xfId="4807"/>
    <cellStyle name="Comma 257" xfId="4808"/>
    <cellStyle name="Comma 258" xfId="4809"/>
    <cellStyle name="Comma 259" xfId="4810"/>
    <cellStyle name="Comma 26" xfId="4811"/>
    <cellStyle name="Comma 26 2" xfId="4812"/>
    <cellStyle name="Comma 26 3" xfId="4813"/>
    <cellStyle name="Comma 260" xfId="4814"/>
    <cellStyle name="Comma 261" xfId="4815"/>
    <cellStyle name="Comma 262" xfId="4816"/>
    <cellStyle name="Comma 263" xfId="4817"/>
    <cellStyle name="Comma 264" xfId="4818"/>
    <cellStyle name="Comma 265" xfId="4819"/>
    <cellStyle name="Comma 266" xfId="4820"/>
    <cellStyle name="Comma 267" xfId="4821"/>
    <cellStyle name="Comma 268" xfId="4822"/>
    <cellStyle name="Comma 269" xfId="4823"/>
    <cellStyle name="Comma 27" xfId="4824"/>
    <cellStyle name="Comma 27 2" xfId="4825"/>
    <cellStyle name="Comma 27 3" xfId="4826"/>
    <cellStyle name="Comma 270" xfId="4827"/>
    <cellStyle name="Comma 271" xfId="4828"/>
    <cellStyle name="Comma 272" xfId="4829"/>
    <cellStyle name="Comma 273" xfId="4830"/>
    <cellStyle name="Comma 274" xfId="4831"/>
    <cellStyle name="Comma 275" xfId="4832"/>
    <cellStyle name="Comma 276" xfId="4833"/>
    <cellStyle name="Comma 277" xfId="4834"/>
    <cellStyle name="Comma 278" xfId="4835"/>
    <cellStyle name="Comma 279" xfId="4836"/>
    <cellStyle name="Comma 28" xfId="4837"/>
    <cellStyle name="Comma 28 2" xfId="4838"/>
    <cellStyle name="Comma 28 3" xfId="4839"/>
    <cellStyle name="Comma 280" xfId="4840"/>
    <cellStyle name="Comma 281" xfId="4841"/>
    <cellStyle name="Comma 282" xfId="4842"/>
    <cellStyle name="Comma 282 2" xfId="6402"/>
    <cellStyle name="Comma 283" xfId="4843"/>
    <cellStyle name="Comma 284" xfId="6387"/>
    <cellStyle name="Comma 29" xfId="4844"/>
    <cellStyle name="Comma 29 2" xfId="4845"/>
    <cellStyle name="Comma 29 3" xfId="4846"/>
    <cellStyle name="Comma 3" xfId="4847"/>
    <cellStyle name="Comma 3 10" xfId="4848"/>
    <cellStyle name="Comma 3 11" xfId="4849"/>
    <cellStyle name="Comma 3 12" xfId="4850"/>
    <cellStyle name="Comma 3 12 2" xfId="4851"/>
    <cellStyle name="Comma 3 2" xfId="4852"/>
    <cellStyle name="Comma 3 2 2" xfId="4853"/>
    <cellStyle name="Comma 3 2 2 2" xfId="4854"/>
    <cellStyle name="Comma 3 2 3" xfId="4855"/>
    <cellStyle name="Comma 3 3" xfId="4856"/>
    <cellStyle name="Comma 3 3 2" xfId="4857"/>
    <cellStyle name="Comma 3 3 2 2" xfId="4858"/>
    <cellStyle name="Comma 3 3 2 3" xfId="4859"/>
    <cellStyle name="Comma 3 3 3" xfId="4860"/>
    <cellStyle name="Comma 3 3 4" xfId="4861"/>
    <cellStyle name="Comma 3 4" xfId="4862"/>
    <cellStyle name="Comma 3 4 2" xfId="4863"/>
    <cellStyle name="Comma 3 4 3" xfId="4864"/>
    <cellStyle name="Comma 3 5" xfId="4865"/>
    <cellStyle name="Comma 3 6" xfId="4866"/>
    <cellStyle name="Comma 3 7" xfId="4867"/>
    <cellStyle name="Comma 3 8" xfId="4868"/>
    <cellStyle name="Comma 3 9" xfId="4869"/>
    <cellStyle name="Comma 30" xfId="4870"/>
    <cellStyle name="Comma 30 2" xfId="4871"/>
    <cellStyle name="Comma 30 3" xfId="4872"/>
    <cellStyle name="Comma 31" xfId="4873"/>
    <cellStyle name="Comma 31 2" xfId="4874"/>
    <cellStyle name="Comma 31 3" xfId="4875"/>
    <cellStyle name="Comma 32" xfId="4876"/>
    <cellStyle name="Comma 32 2" xfId="4877"/>
    <cellStyle name="Comma 32 3" xfId="4878"/>
    <cellStyle name="Comma 33" xfId="4879"/>
    <cellStyle name="Comma 33 2" xfId="4880"/>
    <cellStyle name="Comma 33 3" xfId="4881"/>
    <cellStyle name="Comma 34" xfId="4882"/>
    <cellStyle name="Comma 34 2" xfId="4883"/>
    <cellStyle name="Comma 34 3" xfId="4884"/>
    <cellStyle name="Comma 35" xfId="4885"/>
    <cellStyle name="Comma 35 2" xfId="4886"/>
    <cellStyle name="Comma 35 3" xfId="4887"/>
    <cellStyle name="Comma 36" xfId="4888"/>
    <cellStyle name="Comma 36 2" xfId="4889"/>
    <cellStyle name="Comma 36 3" xfId="4890"/>
    <cellStyle name="Comma 37" xfId="4891"/>
    <cellStyle name="Comma 37 2" xfId="4892"/>
    <cellStyle name="Comma 37 3" xfId="4893"/>
    <cellStyle name="Comma 38" xfId="4894"/>
    <cellStyle name="Comma 38 2" xfId="4895"/>
    <cellStyle name="Comma 38 3" xfId="4896"/>
    <cellStyle name="Comma 39" xfId="4897"/>
    <cellStyle name="Comma 39 2" xfId="4898"/>
    <cellStyle name="Comma 39 3" xfId="4899"/>
    <cellStyle name="Comma 4" xfId="4900"/>
    <cellStyle name="Comma 4 2" xfId="4901"/>
    <cellStyle name="Comma 4 2 2" xfId="4902"/>
    <cellStyle name="Comma 4 2 2 2" xfId="4903"/>
    <cellStyle name="Comma 4 2 2 3" xfId="4904"/>
    <cellStyle name="Comma 4 2 3" xfId="4905"/>
    <cellStyle name="Comma 4 2_20SDM" xfId="4906"/>
    <cellStyle name="Comma 4 3" xfId="4907"/>
    <cellStyle name="Comma 4 3 2" xfId="4908"/>
    <cellStyle name="Comma 4 4" xfId="4909"/>
    <cellStyle name="Comma 4 4 2" xfId="4910"/>
    <cellStyle name="Comma 4 4 3" xfId="4911"/>
    <cellStyle name="Comma 4 5" xfId="4912"/>
    <cellStyle name="Comma 4_20SDM" xfId="4913"/>
    <cellStyle name="Comma 40" xfId="4914"/>
    <cellStyle name="Comma 40 2" xfId="4915"/>
    <cellStyle name="Comma 40 3" xfId="4916"/>
    <cellStyle name="Comma 41" xfId="4917"/>
    <cellStyle name="Comma 41 2" xfId="4918"/>
    <cellStyle name="Comma 41 3" xfId="4919"/>
    <cellStyle name="Comma 41 4" xfId="4920"/>
    <cellStyle name="Comma 42" xfId="4921"/>
    <cellStyle name="Comma 42 2" xfId="4922"/>
    <cellStyle name="Comma 42 3" xfId="4923"/>
    <cellStyle name="Comma 42 4" xfId="4924"/>
    <cellStyle name="Comma 43" xfId="4925"/>
    <cellStyle name="Comma 43 2" xfId="4926"/>
    <cellStyle name="Comma 44" xfId="4927"/>
    <cellStyle name="Comma 44 2" xfId="4928"/>
    <cellStyle name="Comma 45" xfId="4929"/>
    <cellStyle name="Comma 45 2" xfId="4930"/>
    <cellStyle name="Comma 46" xfId="4931"/>
    <cellStyle name="Comma 46 2" xfId="4932"/>
    <cellStyle name="Comma 47" xfId="4933"/>
    <cellStyle name="Comma 47 2" xfId="4934"/>
    <cellStyle name="Comma 48" xfId="4935"/>
    <cellStyle name="Comma 48 2" xfId="4936"/>
    <cellStyle name="Comma 48 3" xfId="4937"/>
    <cellStyle name="Comma 48 4" xfId="4938"/>
    <cellStyle name="Comma 48 5" xfId="4939"/>
    <cellStyle name="Comma 49" xfId="4940"/>
    <cellStyle name="Comma 49 2" xfId="4941"/>
    <cellStyle name="Comma 49 3" xfId="4942"/>
    <cellStyle name="Comma 49_20SDM" xfId="4943"/>
    <cellStyle name="Comma 5" xfId="4944"/>
    <cellStyle name="Comma 5 10" xfId="4945"/>
    <cellStyle name="Comma 5 10 2" xfId="4946"/>
    <cellStyle name="Comma 5 11" xfId="4947"/>
    <cellStyle name="Comma 5 12" xfId="4948"/>
    <cellStyle name="Comma 5 12 2" xfId="4949"/>
    <cellStyle name="Comma 5 13" xfId="4950"/>
    <cellStyle name="Comma 5 2" xfId="4951"/>
    <cellStyle name="Comma 5 2 2" xfId="4952"/>
    <cellStyle name="Comma 5 2 2 2" xfId="4953"/>
    <cellStyle name="Comma 5 2 2 3" xfId="4954"/>
    <cellStyle name="Comma 5 2 3" xfId="4955"/>
    <cellStyle name="Comma 5 2 4" xfId="4956"/>
    <cellStyle name="Comma 5 3" xfId="4957"/>
    <cellStyle name="Comma 5 3 2" xfId="4958"/>
    <cellStyle name="Comma 5 3 3" xfId="4959"/>
    <cellStyle name="Comma 5 3 4" xfId="4960"/>
    <cellStyle name="Comma 5 4" xfId="4961"/>
    <cellStyle name="Comma 5 4 2" xfId="4962"/>
    <cellStyle name="Comma 5 4 3" xfId="4963"/>
    <cellStyle name="Comma 5 4 4" xfId="4964"/>
    <cellStyle name="Comma 5 5" xfId="4965"/>
    <cellStyle name="Comma 5 5 2" xfId="4966"/>
    <cellStyle name="Comma 5 6" xfId="4967"/>
    <cellStyle name="Comma 5 6 2" xfId="4968"/>
    <cellStyle name="Comma 5 7" xfId="4969"/>
    <cellStyle name="Comma 5 7 2" xfId="4970"/>
    <cellStyle name="Comma 5 8" xfId="4971"/>
    <cellStyle name="Comma 5 8 2" xfId="4972"/>
    <cellStyle name="Comma 5 9" xfId="4973"/>
    <cellStyle name="Comma 5 9 2" xfId="4974"/>
    <cellStyle name="Comma 5_20SDM" xfId="4975"/>
    <cellStyle name="Comma 50" xfId="4976"/>
    <cellStyle name="Comma 50 2" xfId="4977"/>
    <cellStyle name="Comma 50 3" xfId="4978"/>
    <cellStyle name="Comma 50_20SDM" xfId="4979"/>
    <cellStyle name="Comma 51" xfId="4980"/>
    <cellStyle name="Comma 51 2" xfId="4981"/>
    <cellStyle name="Comma 51 3" xfId="4982"/>
    <cellStyle name="Comma 51 4" xfId="4983"/>
    <cellStyle name="Comma 51_20SDM" xfId="4984"/>
    <cellStyle name="Comma 52" xfId="4985"/>
    <cellStyle name="Comma 52 2" xfId="4986"/>
    <cellStyle name="Comma 52 3" xfId="4987"/>
    <cellStyle name="Comma 52 4" xfId="4988"/>
    <cellStyle name="Comma 52_20SDM" xfId="4989"/>
    <cellStyle name="Comma 53" xfId="4990"/>
    <cellStyle name="Comma 53 2" xfId="4991"/>
    <cellStyle name="Comma 53 3" xfId="4992"/>
    <cellStyle name="Comma 53 4" xfId="4993"/>
    <cellStyle name="Comma 53_20SDM" xfId="4994"/>
    <cellStyle name="Comma 54" xfId="4995"/>
    <cellStyle name="Comma 54 2" xfId="4996"/>
    <cellStyle name="Comma 54 3" xfId="4997"/>
    <cellStyle name="Comma 54 4" xfId="4998"/>
    <cellStyle name="Comma 54_20SDM" xfId="4999"/>
    <cellStyle name="Comma 55" xfId="5000"/>
    <cellStyle name="Comma 55 2" xfId="5001"/>
    <cellStyle name="Comma 55 3" xfId="5002"/>
    <cellStyle name="Comma 55 4" xfId="5003"/>
    <cellStyle name="Comma 55_20SDM" xfId="5004"/>
    <cellStyle name="Comma 56" xfId="5005"/>
    <cellStyle name="Comma 56 2" xfId="5006"/>
    <cellStyle name="Comma 56 3" xfId="5007"/>
    <cellStyle name="Comma 56 4" xfId="5008"/>
    <cellStyle name="Comma 56_20SDM" xfId="5009"/>
    <cellStyle name="Comma 57" xfId="5010"/>
    <cellStyle name="Comma 57 2" xfId="5011"/>
    <cellStyle name="Comma 57 3" xfId="5012"/>
    <cellStyle name="Comma 57_20SDM" xfId="5013"/>
    <cellStyle name="Comma 58" xfId="5014"/>
    <cellStyle name="Comma 58 2" xfId="5015"/>
    <cellStyle name="Comma 58 3" xfId="5016"/>
    <cellStyle name="Comma 59" xfId="5017"/>
    <cellStyle name="Comma 59 2" xfId="5018"/>
    <cellStyle name="Comma 6" xfId="5019"/>
    <cellStyle name="Comma 6 2" xfId="5020"/>
    <cellStyle name="Comma 6 3" xfId="5021"/>
    <cellStyle name="Comma 6 3 2" xfId="5022"/>
    <cellStyle name="Comma 6 3 3" xfId="5023"/>
    <cellStyle name="Comma 6 3 4" xfId="5024"/>
    <cellStyle name="Comma 6 4" xfId="5025"/>
    <cellStyle name="Comma 6 5" xfId="5026"/>
    <cellStyle name="Comma 60" xfId="5027"/>
    <cellStyle name="Comma 60 2" xfId="5028"/>
    <cellStyle name="Comma 61" xfId="5029"/>
    <cellStyle name="Comma 61 2" xfId="5030"/>
    <cellStyle name="Comma 62" xfId="5031"/>
    <cellStyle name="Comma 62 2" xfId="5032"/>
    <cellStyle name="Comma 63" xfId="5033"/>
    <cellStyle name="Comma 63 2" xfId="5034"/>
    <cellStyle name="Comma 64" xfId="5035"/>
    <cellStyle name="Comma 64 2" xfId="5036"/>
    <cellStyle name="Comma 65" xfId="5037"/>
    <cellStyle name="Comma 65 2" xfId="5038"/>
    <cellStyle name="Comma 66" xfId="5039"/>
    <cellStyle name="Comma 66 2" xfId="5040"/>
    <cellStyle name="Comma 67" xfId="5041"/>
    <cellStyle name="Comma 67 2" xfId="5042"/>
    <cellStyle name="Comma 68" xfId="5043"/>
    <cellStyle name="Comma 68 2" xfId="5044"/>
    <cellStyle name="Comma 69" xfId="5045"/>
    <cellStyle name="Comma 69 2" xfId="5046"/>
    <cellStyle name="Comma 7" xfId="5047"/>
    <cellStyle name="Comma 7 10" xfId="6350"/>
    <cellStyle name="Comma 7 10 2" xfId="6351"/>
    <cellStyle name="Comma 7 11" xfId="6352"/>
    <cellStyle name="Comma 7 2" xfId="5048"/>
    <cellStyle name="Comma 7 2 2" xfId="5049"/>
    <cellStyle name="Comma 7 2 3" xfId="5050"/>
    <cellStyle name="Comma 7 3" xfId="5051"/>
    <cellStyle name="Comma 7 3 2" xfId="6353"/>
    <cellStyle name="Comma 7 4" xfId="6354"/>
    <cellStyle name="Comma 7 4 2" xfId="6355"/>
    <cellStyle name="Comma 7 5" xfId="6356"/>
    <cellStyle name="Comma 7 5 2" xfId="6357"/>
    <cellStyle name="Comma 7 6" xfId="6358"/>
    <cellStyle name="Comma 7 6 2" xfId="6359"/>
    <cellStyle name="Comma 7 7" xfId="6360"/>
    <cellStyle name="Comma 7 7 2" xfId="6361"/>
    <cellStyle name="Comma 7 8" xfId="6362"/>
    <cellStyle name="Comma 7 8 2" xfId="6363"/>
    <cellStyle name="Comma 7 9" xfId="6364"/>
    <cellStyle name="Comma 7 9 2" xfId="6365"/>
    <cellStyle name="Comma 70" xfId="5052"/>
    <cellStyle name="Comma 70 2" xfId="5053"/>
    <cellStyle name="Comma 71" xfId="5054"/>
    <cellStyle name="Comma 71 2" xfId="5055"/>
    <cellStyle name="Comma 72" xfId="5056"/>
    <cellStyle name="Comma 72 2" xfId="5057"/>
    <cellStyle name="Comma 73" xfId="5058"/>
    <cellStyle name="Comma 73 2" xfId="5059"/>
    <cellStyle name="Comma 74" xfId="5060"/>
    <cellStyle name="Comma 74 2" xfId="5061"/>
    <cellStyle name="Comma 75" xfId="5062"/>
    <cellStyle name="Comma 75 2" xfId="5063"/>
    <cellStyle name="Comma 76" xfId="5064"/>
    <cellStyle name="Comma 76 2" xfId="5065"/>
    <cellStyle name="Comma 77" xfId="5066"/>
    <cellStyle name="Comma 77 2" xfId="5067"/>
    <cellStyle name="Comma 78" xfId="5068"/>
    <cellStyle name="Comma 78 2" xfId="5069"/>
    <cellStyle name="Comma 79" xfId="5070"/>
    <cellStyle name="Comma 79 2" xfId="5071"/>
    <cellStyle name="Comma 8" xfId="5072"/>
    <cellStyle name="Comma 8 2" xfId="5073"/>
    <cellStyle name="Comma 8 2 2" xfId="5074"/>
    <cellStyle name="Comma 8 2 3" xfId="5075"/>
    <cellStyle name="Comma 8 3" xfId="5076"/>
    <cellStyle name="Comma 80" xfId="5077"/>
    <cellStyle name="Comma 80 2" xfId="5078"/>
    <cellStyle name="Comma 81" xfId="5079"/>
    <cellStyle name="Comma 81 2" xfId="5080"/>
    <cellStyle name="Comma 82" xfId="5081"/>
    <cellStyle name="Comma 82 2" xfId="5082"/>
    <cellStyle name="Comma 83" xfId="5083"/>
    <cellStyle name="Comma 83 2" xfId="5084"/>
    <cellStyle name="Comma 84" xfId="5085"/>
    <cellStyle name="Comma 84 2" xfId="5086"/>
    <cellStyle name="Comma 85" xfId="5087"/>
    <cellStyle name="Comma 85 2" xfId="5088"/>
    <cellStyle name="Comma 86" xfId="5089"/>
    <cellStyle name="Comma 86 2" xfId="5090"/>
    <cellStyle name="Comma 87" xfId="5091"/>
    <cellStyle name="Comma 87 2" xfId="5092"/>
    <cellStyle name="Comma 88" xfId="5093"/>
    <cellStyle name="Comma 88 2" xfId="5094"/>
    <cellStyle name="Comma 89" xfId="5095"/>
    <cellStyle name="Comma 89 2" xfId="5096"/>
    <cellStyle name="Comma 9" xfId="5097"/>
    <cellStyle name="Comma 9 2" xfId="5098"/>
    <cellStyle name="Comma 9 2 2" xfId="5099"/>
    <cellStyle name="Comma 9 2 2 2" xfId="5100"/>
    <cellStyle name="Comma 9 2 3" xfId="5101"/>
    <cellStyle name="Comma 9 2 4" xfId="5102"/>
    <cellStyle name="Comma 9 3" xfId="5103"/>
    <cellStyle name="Comma 9 3 2" xfId="5104"/>
    <cellStyle name="Comma 9 3 3" xfId="5105"/>
    <cellStyle name="Comma 9 3 3 2" xfId="5106"/>
    <cellStyle name="Comma 9 4" xfId="5107"/>
    <cellStyle name="Comma 90" xfId="5108"/>
    <cellStyle name="Comma 90 2" xfId="5109"/>
    <cellStyle name="Comma 91" xfId="5110"/>
    <cellStyle name="Comma 91 2" xfId="5111"/>
    <cellStyle name="Comma 92" xfId="5112"/>
    <cellStyle name="Comma 92 2" xfId="5113"/>
    <cellStyle name="Comma 93" xfId="5114"/>
    <cellStyle name="Comma 93 2" xfId="5115"/>
    <cellStyle name="Comma 94" xfId="5116"/>
    <cellStyle name="Comma 94 2" xfId="5117"/>
    <cellStyle name="Comma 95" xfId="5118"/>
    <cellStyle name="Comma 95 2" xfId="5119"/>
    <cellStyle name="Comma 96" xfId="5120"/>
    <cellStyle name="Comma 96 2" xfId="5121"/>
    <cellStyle name="Comma 97" xfId="5122"/>
    <cellStyle name="Comma 97 2" xfId="5123"/>
    <cellStyle name="Comma 98" xfId="5124"/>
    <cellStyle name="Comma 98 2" xfId="5125"/>
    <cellStyle name="Comma 98 3" xfId="5126"/>
    <cellStyle name="Comma 98 4" xfId="5127"/>
    <cellStyle name="Comma 98 4 2" xfId="5128"/>
    <cellStyle name="Comma 99" xfId="5129"/>
    <cellStyle name="Comma 99 2" xfId="5130"/>
    <cellStyle name="Comma 99 3" xfId="5131"/>
    <cellStyle name="Comma 99 4" xfId="5132"/>
    <cellStyle name="Comma 99 5" xfId="5133"/>
    <cellStyle name="Comma 99 5 2" xfId="5134"/>
    <cellStyle name="Comma_Table 1 2" xfId="6401"/>
    <cellStyle name="Comma_Table 1 2 2" xfId="6404"/>
    <cellStyle name="Comma_Table 20-21" xfId="6383"/>
    <cellStyle name="Comma_Table 41a-41b" xfId="6392"/>
    <cellStyle name="Comma0" xfId="5135"/>
    <cellStyle name="Comma0 - Modelo1" xfId="5136"/>
    <cellStyle name="Comma0 - Style1" xfId="5137"/>
    <cellStyle name="Comma0_(26) Oct-09 (AL)" xfId="5138"/>
    <cellStyle name="Comma1 - Modelo2" xfId="5139"/>
    <cellStyle name="Comma1 - Style1" xfId="5140"/>
    <cellStyle name="Comma1 - Style2" xfId="5141"/>
    <cellStyle name="comment" xfId="5142"/>
    <cellStyle name="comment2" xfId="5143"/>
    <cellStyle name="Commg [0]_FOP1&amp;L_PLN0309_NewBrazil3007.xls Chart 2" xfId="5144"/>
    <cellStyle name="Commɡ [0]_FOP1&amp;L_PLN0309_NewBrazil3007.xls Chart 2" xfId="5145"/>
    <cellStyle name="CompanyName" xfId="5146"/>
    <cellStyle name="ContentsHyperlink" xfId="5147"/>
    <cellStyle name="Contract" xfId="5148"/>
    <cellStyle name="Convergence" xfId="5149"/>
    <cellStyle name="Copied" xfId="5150"/>
    <cellStyle name="Crosspull" xfId="5151"/>
    <cellStyle name="Curren - Style2" xfId="5152"/>
    <cellStyle name="Currency [£]" xfId="5153"/>
    <cellStyle name="Currency [00]" xfId="5154"/>
    <cellStyle name="Currency [2]" xfId="5155"/>
    <cellStyle name="Currency 0" xfId="5156"/>
    <cellStyle name="Currency 2" xfId="5157"/>
    <cellStyle name="Currency 2 2" xfId="5158"/>
    <cellStyle name="Currency 2 3" xfId="5159"/>
    <cellStyle name="Currency 2 4" xfId="5160"/>
    <cellStyle name="Currency 3" xfId="5161"/>
    <cellStyle name="Currency 4" xfId="5162"/>
    <cellStyle name="Currency 4 2" xfId="5163"/>
    <cellStyle name="Currency 5" xfId="5164"/>
    <cellStyle name="Currency 5 2" xfId="5165"/>
    <cellStyle name="Currency 6" xfId="5166"/>
    <cellStyle name="Currency 6 2" xfId="5167"/>
    <cellStyle name="Currency 6 3" xfId="5168"/>
    <cellStyle name="Currency 6 3 2" xfId="5169"/>
    <cellStyle name="Currency 7" xfId="5170"/>
    <cellStyle name="Currency 7 2" xfId="5171"/>
    <cellStyle name="Currency 7 3" xfId="5172"/>
    <cellStyle name="Currency 7 3 2" xfId="5173"/>
    <cellStyle name="Currency 8" xfId="6366"/>
    <cellStyle name="Currency0" xfId="5174"/>
    <cellStyle name="Dash" xfId="5175"/>
    <cellStyle name="Data" xfId="5176"/>
    <cellStyle name="Data.LongPercent" xfId="5177"/>
    <cellStyle name="Data.NumPercent" xfId="5178"/>
    <cellStyle name="Data.NumShortPercent" xfId="5179"/>
    <cellStyle name="data_entry" xfId="4"/>
    <cellStyle name="Data1" xfId="5180"/>
    <cellStyle name="Data2" xfId="5181"/>
    <cellStyle name="Data3" xfId="5182"/>
    <cellStyle name="Data4" xfId="5183"/>
    <cellStyle name="dataentry" xfId="5184"/>
    <cellStyle name="dataentry4" xfId="5185"/>
    <cellStyle name="Date" xfId="5186"/>
    <cellStyle name="Date - Style3" xfId="5187"/>
    <cellStyle name="Date Aligned" xfId="5188"/>
    <cellStyle name="Date Short" xfId="5189"/>
    <cellStyle name="Date_(26) Oct-09 (AL)" xfId="5190"/>
    <cellStyle name="Date1" xfId="5191"/>
    <cellStyle name="DateFormat" xfId="5192"/>
    <cellStyle name="DELTA" xfId="5193"/>
    <cellStyle name="Dezimal [0]_Country" xfId="5194"/>
    <cellStyle name="Dezimal_Country" xfId="5195"/>
    <cellStyle name="Dia" xfId="5196"/>
    <cellStyle name="Dollar" xfId="5197"/>
    <cellStyle name="Dotted Line" xfId="5198"/>
    <cellStyle name="DS 0" xfId="5199"/>
    <cellStyle name="DS 4" xfId="5200"/>
    <cellStyle name="E&amp;Y House" xfId="5201"/>
    <cellStyle name="Encabez1" xfId="5202"/>
    <cellStyle name="Encabez2" xfId="5203"/>
    <cellStyle name="Enter Currency (0)" xfId="5204"/>
    <cellStyle name="Enter Currency (2)" xfId="5205"/>
    <cellStyle name="Enter Units (0)" xfId="5206"/>
    <cellStyle name="Enter Units (1)" xfId="5207"/>
    <cellStyle name="Enter Units (2)" xfId="5208"/>
    <cellStyle name="Entered" xfId="5209"/>
    <cellStyle name="Error Detection" xfId="5210"/>
    <cellStyle name="Euro" xfId="5211"/>
    <cellStyle name="Euro 2" xfId="5212"/>
    <cellStyle name="excrate" xfId="5213"/>
    <cellStyle name="Explanatory Text 2" xfId="5214"/>
    <cellStyle name="EY House" xfId="5215"/>
    <cellStyle name="F2" xfId="5216"/>
    <cellStyle name="F3" xfId="5217"/>
    <cellStyle name="F4" xfId="5218"/>
    <cellStyle name="F5" xfId="5219"/>
    <cellStyle name="F6" xfId="5220"/>
    <cellStyle name="F7" xfId="5221"/>
    <cellStyle name="F8" xfId="5222"/>
    <cellStyle name="fcsCurrency" xfId="5223"/>
    <cellStyle name="fcsDate" xfId="5224"/>
    <cellStyle name="fcsStandard" xfId="5225"/>
    <cellStyle name="Feed" xfId="5226"/>
    <cellStyle name="Fijo" xfId="5227"/>
    <cellStyle name="Financiero" xfId="5228"/>
    <cellStyle name="first line" xfId="5229"/>
    <cellStyle name="FirstNumbers" xfId="5230"/>
    <cellStyle name="Fixed" xfId="5231"/>
    <cellStyle name="Footnote" xfId="5232"/>
    <cellStyle name="-Footnote_&amp;_Source" xfId="5233"/>
    <cellStyle name="Footnote_AnalysisTemplate" xfId="5234"/>
    <cellStyle name="Foreground_tcslctpk" xfId="5235"/>
    <cellStyle name="FullTime" xfId="5236"/>
    <cellStyle name="FullTimeBrief" xfId="5237"/>
    <cellStyle name="FX Rate" xfId="5238"/>
    <cellStyle name="Gallons" xfId="5239"/>
    <cellStyle name="General" xfId="5240"/>
    <cellStyle name="Gentia To Excel" xfId="5241"/>
    <cellStyle name="Good 2" xfId="5242"/>
    <cellStyle name="Good 2 2" xfId="5243"/>
    <cellStyle name="Good 3" xfId="5244"/>
    <cellStyle name="Good Group" xfId="5245"/>
    <cellStyle name="Grey" xfId="5246"/>
    <cellStyle name="GreybarHeader" xfId="5247"/>
    <cellStyle name="greyed" xfId="5248"/>
    <cellStyle name="GroupTitles" xfId="5249"/>
    <cellStyle name="gunz" xfId="5250"/>
    <cellStyle name="handle" xfId="5251"/>
    <cellStyle name="Hard Percent" xfId="5252"/>
    <cellStyle name="Header" xfId="5253"/>
    <cellStyle name="Header Total" xfId="5254"/>
    <cellStyle name="header_CollateralSummary (2)" xfId="5255"/>
    <cellStyle name="Header1" xfId="5256"/>
    <cellStyle name="Header2" xfId="5257"/>
    <cellStyle name="Header3" xfId="5258"/>
    <cellStyle name="Header4" xfId="5259"/>
    <cellStyle name="Heading" xfId="5260"/>
    <cellStyle name="Heading 1 2" xfId="5261"/>
    <cellStyle name="Heading 2 2" xfId="5262"/>
    <cellStyle name="Heading 3 2" xfId="5263"/>
    <cellStyle name="Heading 4 2" xfId="5264"/>
    <cellStyle name="hidden" xfId="5265"/>
    <cellStyle name="highlightExposure" xfId="5266"/>
    <cellStyle name="highlightPD" xfId="5267"/>
    <cellStyle name="highlightText" xfId="5268"/>
    <cellStyle name="hotlinks" xfId="5269"/>
    <cellStyle name="Hyperlink 2" xfId="5270"/>
    <cellStyle name="HyperlinkIndex" xfId="5271"/>
    <cellStyle name="Input [yellow]" xfId="5272"/>
    <cellStyle name="Input 2" xfId="5273"/>
    <cellStyle name="Input 3" xfId="5274"/>
    <cellStyle name="inputExposure" xfId="5275"/>
    <cellStyle name="Integer" xfId="5276"/>
    <cellStyle name="ItalicHeader" xfId="5277"/>
    <cellStyle name="Item" xfId="5278"/>
    <cellStyle name="Komma [0]_Fees &amp; Expenses" xfId="5279"/>
    <cellStyle name="Komma_Fees &amp; Expenses" xfId="5280"/>
    <cellStyle name="KPMG Heading 1" xfId="5281"/>
    <cellStyle name="KPMG Heading 2" xfId="5282"/>
    <cellStyle name="KPMG Heading 3" xfId="5283"/>
    <cellStyle name="KPMG Heading 4" xfId="5284"/>
    <cellStyle name="KPMG Normal" xfId="5285"/>
    <cellStyle name="KPMG Normal Text" xfId="5286"/>
    <cellStyle name="label" xfId="5287"/>
    <cellStyle name="Labels 8p Bold" xfId="5288"/>
    <cellStyle name="Labels 8p Bold 2" xfId="5289"/>
    <cellStyle name="last line" xfId="5290"/>
    <cellStyle name="Lien hypertexte_LPTD format" xfId="5291"/>
    <cellStyle name="LineNum w/ Border" xfId="5292"/>
    <cellStyle name="LineNumbers" xfId="5293"/>
    <cellStyle name="LineNumbersFirstColumn" xfId="5294"/>
    <cellStyle name="Link Currency (0)" xfId="5295"/>
    <cellStyle name="Link Currency (2)" xfId="5296"/>
    <cellStyle name="Link Units (0)" xfId="5297"/>
    <cellStyle name="Link Units (1)" xfId="5298"/>
    <cellStyle name="Link Units (2)" xfId="5299"/>
    <cellStyle name="Linked Cell 2" xfId="5300"/>
    <cellStyle name="Locked" xfId="5301"/>
    <cellStyle name="Lookup" xfId="5302"/>
    <cellStyle name="MajorHeading" xfId="5303"/>
    <cellStyle name="Map Labels" xfId="5304"/>
    <cellStyle name="Map Legend" xfId="5305"/>
    <cellStyle name="Map Title" xfId="5306"/>
    <cellStyle name="McForm" xfId="5307"/>
    <cellStyle name="McFormBody" xfId="5308"/>
    <cellStyle name="MCNewReport" xfId="5309"/>
    <cellStyle name="MCReport" xfId="5310"/>
    <cellStyle name="Menu" xfId="5311"/>
    <cellStyle name="Middle" xfId="5312"/>
    <cellStyle name="Migliaia (0)_LINEA GLOBALE" xfId="5313"/>
    <cellStyle name="Migliaia_LINEA GLOBALE" xfId="5314"/>
    <cellStyle name="Millares [0]_10 AVERIAS MASIVAS + ANT" xfId="5315"/>
    <cellStyle name="Millares_10 AVERIAS MASIVAS + ANT" xfId="5316"/>
    <cellStyle name="Milliers [0]_3A_NumeratorReport_Option1_040611" xfId="5317"/>
    <cellStyle name="Milliers_3A_NumeratorReport_Option1_040611" xfId="5318"/>
    <cellStyle name="mir" xfId="5319"/>
    <cellStyle name="mm/dd/yy" xfId="5320"/>
    <cellStyle name="MMBTU's" xfId="5321"/>
    <cellStyle name="Modifiable" xfId="5322"/>
    <cellStyle name="Moneda [0]_10 AVERIAS MASIVAS + ANT" xfId="5323"/>
    <cellStyle name="Moneda_10 AVERIAS MASIVAS + ANT" xfId="5324"/>
    <cellStyle name="Monétaire [0]_3A_NumeratorReport_Option1_040611" xfId="5325"/>
    <cellStyle name="Monétaire_3A_NumeratorReport_Option1_040611" xfId="5326"/>
    <cellStyle name="Monetario" xfId="5327"/>
    <cellStyle name="Money" xfId="5328"/>
    <cellStyle name="Multiple" xfId="5329"/>
    <cellStyle name="NACC" xfId="5330"/>
    <cellStyle name="Negative" xfId="5331"/>
    <cellStyle name="Neutral 2" xfId="5332"/>
    <cellStyle name="Neutral 2 2" xfId="5333"/>
    <cellStyle name="Neutral 3" xfId="5334"/>
    <cellStyle name="NEW" xfId="5335"/>
    <cellStyle name="no dec" xfId="5336"/>
    <cellStyle name="NoChange" xfId="5337"/>
    <cellStyle name="Non Zero" xfId="5338"/>
    <cellStyle name="Non_$_PL" xfId="5339"/>
    <cellStyle name="NonPrint_copyright" xfId="5340"/>
    <cellStyle name="Normal" xfId="0" builtinId="0"/>
    <cellStyle name="Normal - Style1" xfId="5341"/>
    <cellStyle name="Normal - Style1 2" xfId="5342"/>
    <cellStyle name="Normal - Style1 3" xfId="5343"/>
    <cellStyle name="Normal - Style2" xfId="5344"/>
    <cellStyle name="Normal 10" xfId="5345"/>
    <cellStyle name="Normal 10 10" xfId="5346"/>
    <cellStyle name="Normal 10 10 2" xfId="5347"/>
    <cellStyle name="Normal 10 10 3" xfId="6378"/>
    <cellStyle name="Normal 10 10 3 2" xfId="6395"/>
    <cellStyle name="Normal 10 10 4" xfId="6379"/>
    <cellStyle name="Normal 10 10 5" xfId="6380"/>
    <cellStyle name="Normal 10 10 6" xfId="6381"/>
    <cellStyle name="Normal 10 11" xfId="5348"/>
    <cellStyle name="Normal 10 2" xfId="5349"/>
    <cellStyle name="Normal 10 3" xfId="5350"/>
    <cellStyle name="Normal 10 4" xfId="5351"/>
    <cellStyle name="Normal 10 5" xfId="5352"/>
    <cellStyle name="Normal 10 6" xfId="5353"/>
    <cellStyle name="Normal 10 7" xfId="5354"/>
    <cellStyle name="Normal 10 8" xfId="5355"/>
    <cellStyle name="Normal 10 9" xfId="5356"/>
    <cellStyle name="Normal 100" xfId="5357"/>
    <cellStyle name="Normal 101" xfId="5358"/>
    <cellStyle name="Normal 102" xfId="5359"/>
    <cellStyle name="Normal 103" xfId="5360"/>
    <cellStyle name="Normal 104" xfId="5361"/>
    <cellStyle name="Normal 105" xfId="5362"/>
    <cellStyle name="Normal 106" xfId="5363"/>
    <cellStyle name="Normal 107" xfId="5364"/>
    <cellStyle name="Normal 108" xfId="5365"/>
    <cellStyle name="Normal 109" xfId="5366"/>
    <cellStyle name="Normal 11" xfId="5367"/>
    <cellStyle name="Normal 11 2" xfId="5368"/>
    <cellStyle name="Normal 11 2 2" xfId="5369"/>
    <cellStyle name="Normal 11 2_(19) Loan Feb-11(Feb-11 figures)" xfId="5370"/>
    <cellStyle name="Normal 11 3" xfId="5371"/>
    <cellStyle name="Normal 11 3 2" xfId="5372"/>
    <cellStyle name="Normal 11 3_(19) Loan Feb-11(Feb-11 figures)" xfId="5373"/>
    <cellStyle name="Normal 11 4" xfId="5374"/>
    <cellStyle name="Normal 11 4 2" xfId="5375"/>
    <cellStyle name="Normal 11 4_(19) Loan Feb-11(Feb-11 figures)" xfId="5376"/>
    <cellStyle name="Normal 11 5" xfId="5377"/>
    <cellStyle name="Normal 11 5 2" xfId="5378"/>
    <cellStyle name="Normal 11 5_(19) Loan Feb-11(Feb-11 figures)" xfId="5379"/>
    <cellStyle name="Normal 11 6" xfId="5380"/>
    <cellStyle name="Normal 11 6 2" xfId="5381"/>
    <cellStyle name="Normal 11 6_(19) Loan Feb-11(Feb-11 figures)" xfId="5382"/>
    <cellStyle name="Normal 11 7" xfId="5383"/>
    <cellStyle name="Normal 110" xfId="5384"/>
    <cellStyle name="Normal 111" xfId="5385"/>
    <cellStyle name="Normal 112" xfId="5386"/>
    <cellStyle name="Normal 113" xfId="5387"/>
    <cellStyle name="Normal 114" xfId="5388"/>
    <cellStyle name="Normal 115" xfId="5389"/>
    <cellStyle name="Normal 116" xfId="5390"/>
    <cellStyle name="Normal 117" xfId="5391"/>
    <cellStyle name="Normal 118" xfId="5392"/>
    <cellStyle name="Normal 119" xfId="5393"/>
    <cellStyle name="Normal 12" xfId="5394"/>
    <cellStyle name="Normal 120" xfId="5395"/>
    <cellStyle name="Normal 121" xfId="5396"/>
    <cellStyle name="Normal 122" xfId="5397"/>
    <cellStyle name="Normal 123" xfId="5398"/>
    <cellStyle name="Normal 124" xfId="5399"/>
    <cellStyle name="Normal 125" xfId="5400"/>
    <cellStyle name="Normal 126" xfId="5401"/>
    <cellStyle name="Normal 127" xfId="5402"/>
    <cellStyle name="Normal 128" xfId="5403"/>
    <cellStyle name="Normal 129" xfId="5404"/>
    <cellStyle name="Normal 13" xfId="5405"/>
    <cellStyle name="Normal 13 10" xfId="5406"/>
    <cellStyle name="Normal 13 10 2" xfId="5407"/>
    <cellStyle name="Normal 13 10 2 2" xfId="5408"/>
    <cellStyle name="Normal 13 10 3" xfId="5409"/>
    <cellStyle name="Normal 13 2" xfId="5410"/>
    <cellStyle name="Normal 13 2 2" xfId="5411"/>
    <cellStyle name="Normal 13 2 2 2" xfId="5412"/>
    <cellStyle name="Normal 13 2 3" xfId="5413"/>
    <cellStyle name="Normal 13 3" xfId="5414"/>
    <cellStyle name="Normal 13 3 2" xfId="5415"/>
    <cellStyle name="Normal 13 3 2 2" xfId="5416"/>
    <cellStyle name="Normal 13 3 3" xfId="5417"/>
    <cellStyle name="Normal 13 4" xfId="5418"/>
    <cellStyle name="Normal 13 4 2" xfId="5419"/>
    <cellStyle name="Normal 13 4 2 2" xfId="5420"/>
    <cellStyle name="Normal 13 4 3" xfId="5421"/>
    <cellStyle name="Normal 13 5" xfId="5422"/>
    <cellStyle name="Normal 13 5 2" xfId="5423"/>
    <cellStyle name="Normal 13 5 2 2" xfId="5424"/>
    <cellStyle name="Normal 13 5 3" xfId="5425"/>
    <cellStyle name="Normal 13 6" xfId="5426"/>
    <cellStyle name="Normal 13 6 2" xfId="5427"/>
    <cellStyle name="Normal 13 6 2 2" xfId="5428"/>
    <cellStyle name="Normal 13 6 3" xfId="5429"/>
    <cellStyle name="Normal 13 7" xfId="5430"/>
    <cellStyle name="Normal 13 7 2" xfId="5431"/>
    <cellStyle name="Normal 13 7 2 2" xfId="5432"/>
    <cellStyle name="Normal 13 7 3" xfId="5433"/>
    <cellStyle name="Normal 13 8" xfId="5434"/>
    <cellStyle name="Normal 13 8 2" xfId="5435"/>
    <cellStyle name="Normal 13 8 2 2" xfId="5436"/>
    <cellStyle name="Normal 13 8 3" xfId="5437"/>
    <cellStyle name="Normal 13 9" xfId="5438"/>
    <cellStyle name="Normal 13 9 2" xfId="5439"/>
    <cellStyle name="Normal 13 9 2 2" xfId="5440"/>
    <cellStyle name="Normal 13 9 3" xfId="5441"/>
    <cellStyle name="Normal 130" xfId="5442"/>
    <cellStyle name="Normal 131" xfId="5443"/>
    <cellStyle name="Normal 132" xfId="5444"/>
    <cellStyle name="Normal 133" xfId="5445"/>
    <cellStyle name="Normal 134" xfId="5446"/>
    <cellStyle name="Normal 135" xfId="5447"/>
    <cellStyle name="Normal 136" xfId="5448"/>
    <cellStyle name="Normal 137" xfId="5449"/>
    <cellStyle name="Normal 138" xfId="5450"/>
    <cellStyle name="Normal 139" xfId="5451"/>
    <cellStyle name="Normal 139 2" xfId="6396"/>
    <cellStyle name="Normal 139 3" xfId="6397"/>
    <cellStyle name="Normal 14" xfId="5452"/>
    <cellStyle name="Normal 140" xfId="5453"/>
    <cellStyle name="Normal 141" xfId="5454"/>
    <cellStyle name="Normal 142" xfId="5455"/>
    <cellStyle name="Normal 143" xfId="5456"/>
    <cellStyle name="Normal 143 2" xfId="6407"/>
    <cellStyle name="Normal 144" xfId="5457"/>
    <cellStyle name="Normal 144 2" xfId="6398"/>
    <cellStyle name="Normal 145" xfId="6388"/>
    <cellStyle name="Normal 146" xfId="6399"/>
    <cellStyle name="Normal 147" xfId="6400"/>
    <cellStyle name="Normal 148" xfId="6406"/>
    <cellStyle name="Normal 15" xfId="5458"/>
    <cellStyle name="Normal 16" xfId="5459"/>
    <cellStyle name="Normal 16 2" xfId="6367"/>
    <cellStyle name="Normal 17" xfId="5460"/>
    <cellStyle name="Normal 18" xfId="5461"/>
    <cellStyle name="Normal 19" xfId="5462"/>
    <cellStyle name="Normal 2" xfId="2"/>
    <cellStyle name="Normal 2 10" xfId="5463"/>
    <cellStyle name="Normal 2 10 2" xfId="6368"/>
    <cellStyle name="Normal 2 11" xfId="5464"/>
    <cellStyle name="Normal 2 11 2" xfId="6369"/>
    <cellStyle name="Normal 2 11 2 2" xfId="6370"/>
    <cellStyle name="Normal 2 11 3" xfId="6371"/>
    <cellStyle name="Normal 2 12" xfId="5465"/>
    <cellStyle name="Normal 2 13" xfId="5466"/>
    <cellStyle name="Normal 2 13 2" xfId="5467"/>
    <cellStyle name="Normal 2 14" xfId="5468"/>
    <cellStyle name="Normal 2 15" xfId="5469"/>
    <cellStyle name="Normal 2 16" xfId="5470"/>
    <cellStyle name="Normal 2 17" xfId="5471"/>
    <cellStyle name="Normal 2 19" xfId="5472"/>
    <cellStyle name="Normal 2 2" xfId="5"/>
    <cellStyle name="Normal 2 2 10" xfId="5473"/>
    <cellStyle name="Normal 2 2 2" xfId="5474"/>
    <cellStyle name="Normal 2 2 2 2" xfId="5475"/>
    <cellStyle name="Normal 2 2 2 2 2" xfId="5476"/>
    <cellStyle name="Normal 2 2 2 2_(19) Loan Feb-11(Feb-11 figures)" xfId="5477"/>
    <cellStyle name="Normal 2 2 2 3" xfId="5478"/>
    <cellStyle name="Normal 2 2 2 4" xfId="5479"/>
    <cellStyle name="Normal 2 2 2_(19) Loan Feb-11(Feb-11 figures)" xfId="5480"/>
    <cellStyle name="Normal 2 2 3" xfId="5481"/>
    <cellStyle name="Normal 2 2 3 2" xfId="5482"/>
    <cellStyle name="Normal 2 2 3 2 2" xfId="5483"/>
    <cellStyle name="Normal 2 2 3 2 2 2" xfId="5484"/>
    <cellStyle name="Normal 2 2 3 2 3" xfId="5485"/>
    <cellStyle name="Normal 2 2 4" xfId="5486"/>
    <cellStyle name="Normal 2 2 5" xfId="5487"/>
    <cellStyle name="Normal 2 2 6" xfId="5488"/>
    <cellStyle name="Normal 2 2 7" xfId="5489"/>
    <cellStyle name="Normal 2 2 8" xfId="5490"/>
    <cellStyle name="Normal 2 2 9" xfId="5491"/>
    <cellStyle name="Normal 2 2_(19) Loan Feb-11(Feb-11 figures)" xfId="5492"/>
    <cellStyle name="Normal 2 3" xfId="5493"/>
    <cellStyle name="Normal 2 3 2" xfId="5494"/>
    <cellStyle name="Normal 2 3 3" xfId="5495"/>
    <cellStyle name="Normal 2 3 4" xfId="5496"/>
    <cellStyle name="Normal 2 3 5" xfId="6349"/>
    <cellStyle name="Normal 2 4" xfId="5497"/>
    <cellStyle name="Normal 2 4 2" xfId="5498"/>
    <cellStyle name="Normal 2 4_(19) Loan Feb-11(Feb-11 figures)" xfId="5499"/>
    <cellStyle name="Normal 2 5" xfId="5500"/>
    <cellStyle name="Normal 2 5 2" xfId="5501"/>
    <cellStyle name="Normal 2 5 3" xfId="5502"/>
    <cellStyle name="Normal 2 5 4" xfId="5503"/>
    <cellStyle name="Normal 2 5_(19) Loan Feb-11(Feb-11 figures)" xfId="5504"/>
    <cellStyle name="Normal 2 6" xfId="5505"/>
    <cellStyle name="Normal 2 6 2" xfId="5506"/>
    <cellStyle name="Normal 2 6_(19) Loan Feb-11(Feb-11 figures)" xfId="5507"/>
    <cellStyle name="Normal 2 7" xfId="5508"/>
    <cellStyle name="Normal 2 7 2" xfId="5509"/>
    <cellStyle name="Normal 2 7_(19) Loan Feb-11(Feb-11 figures)" xfId="5510"/>
    <cellStyle name="Normal 2 8" xfId="5511"/>
    <cellStyle name="Normal 2 8 2" xfId="6372"/>
    <cellStyle name="Normal 2 9" xfId="5512"/>
    <cellStyle name="Normal 2 9 2" xfId="6373"/>
    <cellStyle name="Normal 2_(19) Loan Feb-11(Feb-11 figures)" xfId="5513"/>
    <cellStyle name="Normal 20" xfId="5514"/>
    <cellStyle name="Normal 21" xfId="5515"/>
    <cellStyle name="Normal 22" xfId="5516"/>
    <cellStyle name="Normal 23" xfId="5517"/>
    <cellStyle name="Normal 23 2" xfId="5518"/>
    <cellStyle name="Normal 23 2 2" xfId="5519"/>
    <cellStyle name="Normal 23 2 2 2" xfId="5520"/>
    <cellStyle name="Normal 23 2 3" xfId="5521"/>
    <cellStyle name="Normal 23 3" xfId="5522"/>
    <cellStyle name="Normal 23 4" xfId="5523"/>
    <cellStyle name="Normal 23 4 2" xfId="5524"/>
    <cellStyle name="Normal 23 5" xfId="5525"/>
    <cellStyle name="Normal 24" xfId="5526"/>
    <cellStyle name="Normal 24 2" xfId="5527"/>
    <cellStyle name="Normal 24 3" xfId="5528"/>
    <cellStyle name="Normal 24 3 2" xfId="5529"/>
    <cellStyle name="Normal 24 4" xfId="5530"/>
    <cellStyle name="Normal 25" xfId="5531"/>
    <cellStyle name="Normal 26" xfId="5532"/>
    <cellStyle name="Normal 27" xfId="5533"/>
    <cellStyle name="Normal 28" xfId="5534"/>
    <cellStyle name="Normal 29" xfId="5535"/>
    <cellStyle name="Normal 3" xfId="5536"/>
    <cellStyle name="Normal 3 10" xfId="5537"/>
    <cellStyle name="Normal 3 10 2" xfId="6405"/>
    <cellStyle name="Normal 3 11" xfId="5538"/>
    <cellStyle name="Normal 3 12" xfId="5539"/>
    <cellStyle name="Normal 3 12 2" xfId="5540"/>
    <cellStyle name="Normal 3 13" xfId="5541"/>
    <cellStyle name="Normal 3 2" xfId="5542"/>
    <cellStyle name="Normal 3 2 2" xfId="5543"/>
    <cellStyle name="Normal 3 2 3" xfId="5544"/>
    <cellStyle name="Normal 3 3" xfId="5545"/>
    <cellStyle name="Normal 3 3 2" xfId="5546"/>
    <cellStyle name="Normal 3 4" xfId="5547"/>
    <cellStyle name="Normal 3 4 2" xfId="5548"/>
    <cellStyle name="Normal 3 5" xfId="5549"/>
    <cellStyle name="Normal 3 5 2" xfId="5550"/>
    <cellStyle name="Normal 3 6" xfId="5551"/>
    <cellStyle name="Normal 3 6 2" xfId="5552"/>
    <cellStyle name="Normal 3 7" xfId="5553"/>
    <cellStyle name="Normal 3 7 2" xfId="5554"/>
    <cellStyle name="Normal 3 8" xfId="5555"/>
    <cellStyle name="Normal 3 8 2" xfId="5556"/>
    <cellStyle name="Normal 3 9" xfId="5557"/>
    <cellStyle name="Normal 3 9 2" xfId="5558"/>
    <cellStyle name="Normal 3_20SDM" xfId="5559"/>
    <cellStyle name="Normal 30" xfId="5560"/>
    <cellStyle name="Normal 30 2" xfId="5561"/>
    <cellStyle name="Normal 31" xfId="5562"/>
    <cellStyle name="Normal 32" xfId="5563"/>
    <cellStyle name="Normal 33" xfId="5564"/>
    <cellStyle name="Normal 33 2" xfId="5565"/>
    <cellStyle name="Normal 33 2 2" xfId="5566"/>
    <cellStyle name="Normal 33 2 2 2" xfId="5567"/>
    <cellStyle name="Normal 33 2 3" xfId="5568"/>
    <cellStyle name="Normal 34" xfId="5569"/>
    <cellStyle name="Normal 35" xfId="5570"/>
    <cellStyle name="Normal 36" xfId="5571"/>
    <cellStyle name="Normal 37" xfId="5572"/>
    <cellStyle name="Normal 38" xfId="5573"/>
    <cellStyle name="Normal 39" xfId="5574"/>
    <cellStyle name="Normal 4" xfId="5575"/>
    <cellStyle name="Normal 4 10" xfId="5576"/>
    <cellStyle name="Normal 4 10 2" xfId="5577"/>
    <cellStyle name="Normal 4 10 2 2" xfId="5578"/>
    <cellStyle name="Normal 4 10 3" xfId="5579"/>
    <cellStyle name="Normal 4 11" xfId="5580"/>
    <cellStyle name="Normal 4 12" xfId="5581"/>
    <cellStyle name="Normal 4 12 2" xfId="5582"/>
    <cellStyle name="Normal 4 13" xfId="5583"/>
    <cellStyle name="Normal 4 14" xfId="5584"/>
    <cellStyle name="Normal 4 2" xfId="5585"/>
    <cellStyle name="Normal 4 2 2" xfId="5586"/>
    <cellStyle name="Normal 4 2 3" xfId="5587"/>
    <cellStyle name="Normal 4 3" xfId="5588"/>
    <cellStyle name="Normal 4 3 2" xfId="5589"/>
    <cellStyle name="Normal 4 3 3" xfId="5590"/>
    <cellStyle name="Normal 4 3 4" xfId="5591"/>
    <cellStyle name="Normal 4 4" xfId="5592"/>
    <cellStyle name="Normal 4 5" xfId="5593"/>
    <cellStyle name="Normal 4 6" xfId="5594"/>
    <cellStyle name="Normal 4 7" xfId="5595"/>
    <cellStyle name="Normal 4 8" xfId="5596"/>
    <cellStyle name="Normal 4 9" xfId="5597"/>
    <cellStyle name="Normal 40" xfId="5598"/>
    <cellStyle name="Normal 40 2" xfId="5599"/>
    <cellStyle name="Normal 41" xfId="5600"/>
    <cellStyle name="Normal 41 2" xfId="5601"/>
    <cellStyle name="Normal 42" xfId="5602"/>
    <cellStyle name="Normal 43" xfId="5603"/>
    <cellStyle name="Normal 44" xfId="5604"/>
    <cellStyle name="Normal 45" xfId="5605"/>
    <cellStyle name="Normal 46" xfId="5606"/>
    <cellStyle name="Normal 47" xfId="5607"/>
    <cellStyle name="Normal 48" xfId="5608"/>
    <cellStyle name="Normal 49" xfId="5609"/>
    <cellStyle name="Normal 5" xfId="5610"/>
    <cellStyle name="Normal 5 10" xfId="5611"/>
    <cellStyle name="Normal 5 11" xfId="5612"/>
    <cellStyle name="Normal 5 12" xfId="5613"/>
    <cellStyle name="Normal 5 13" xfId="5614"/>
    <cellStyle name="Normal 5 2" xfId="5615"/>
    <cellStyle name="Normal 5 2 2" xfId="6374"/>
    <cellStyle name="Normal 5 3" xfId="5616"/>
    <cellStyle name="Normal 5 4" xfId="5617"/>
    <cellStyle name="Normal 5 5" xfId="5618"/>
    <cellStyle name="Normal 5 6" xfId="5619"/>
    <cellStyle name="Normal 5 7" xfId="5620"/>
    <cellStyle name="Normal 5 8" xfId="5621"/>
    <cellStyle name="Normal 5 9" xfId="5622"/>
    <cellStyle name="Normal 50" xfId="5623"/>
    <cellStyle name="Normal 51" xfId="5624"/>
    <cellStyle name="Normal 52" xfId="5625"/>
    <cellStyle name="Normal 53" xfId="5626"/>
    <cellStyle name="Normal 54" xfId="5627"/>
    <cellStyle name="Normal 54 2" xfId="5628"/>
    <cellStyle name="Normal 54 2 2" xfId="5629"/>
    <cellStyle name="Normal 54 3" xfId="5630"/>
    <cellStyle name="Normal 55" xfId="5631"/>
    <cellStyle name="Normal 55 2" xfId="5632"/>
    <cellStyle name="Normal 55 2 2" xfId="5633"/>
    <cellStyle name="Normal 55 3" xfId="5634"/>
    <cellStyle name="Normal 56" xfId="5635"/>
    <cellStyle name="Normal 56 2" xfId="5636"/>
    <cellStyle name="Normal 56 2 2" xfId="5637"/>
    <cellStyle name="Normal 56 3" xfId="5638"/>
    <cellStyle name="Normal 57" xfId="5639"/>
    <cellStyle name="Normal 57 2" xfId="5640"/>
    <cellStyle name="Normal 57 2 2" xfId="5641"/>
    <cellStyle name="Normal 57 3" xfId="5642"/>
    <cellStyle name="Normal 58" xfId="5643"/>
    <cellStyle name="Normal 58 2" xfId="5644"/>
    <cellStyle name="Normal 58 2 2" xfId="5645"/>
    <cellStyle name="Normal 58 3" xfId="5646"/>
    <cellStyle name="Normal 59" xfId="5647"/>
    <cellStyle name="Normal 59 2" xfId="5648"/>
    <cellStyle name="Normal 59 2 2" xfId="5649"/>
    <cellStyle name="Normal 59 3" xfId="5650"/>
    <cellStyle name="Normal 6" xfId="5651"/>
    <cellStyle name="Normal 6 2" xfId="5652"/>
    <cellStyle name="Normal 6 3" xfId="5653"/>
    <cellStyle name="Normal 6 4" xfId="5654"/>
    <cellStyle name="Normal 6 5" xfId="5655"/>
    <cellStyle name="Normal 6 6" xfId="5656"/>
    <cellStyle name="Normal 6 7" xfId="5657"/>
    <cellStyle name="Normal 6 8" xfId="5658"/>
    <cellStyle name="Normal 6 9" xfId="5659"/>
    <cellStyle name="Normal 60" xfId="5660"/>
    <cellStyle name="Normal 60 2" xfId="5661"/>
    <cellStyle name="Normal 60 2 2" xfId="5662"/>
    <cellStyle name="Normal 60 3" xfId="5663"/>
    <cellStyle name="Normal 61" xfId="5664"/>
    <cellStyle name="Normal 61 2" xfId="5665"/>
    <cellStyle name="Normal 61 2 2" xfId="5666"/>
    <cellStyle name="Normal 61 3" xfId="5667"/>
    <cellStyle name="Normal 62" xfId="5668"/>
    <cellStyle name="Normal 62 2" xfId="5669"/>
    <cellStyle name="Normal 62 2 2" xfId="5670"/>
    <cellStyle name="Normal 62 3" xfId="5671"/>
    <cellStyle name="Normal 63" xfId="5672"/>
    <cellStyle name="Normal 63 2" xfId="5673"/>
    <cellStyle name="Normal 63 2 2" xfId="5674"/>
    <cellStyle name="Normal 63 3" xfId="5675"/>
    <cellStyle name="Normal 64" xfId="5676"/>
    <cellStyle name="Normal 64 2" xfId="5677"/>
    <cellStyle name="Normal 64 2 2" xfId="5678"/>
    <cellStyle name="Normal 64 3" xfId="5679"/>
    <cellStyle name="Normal 65" xfId="5680"/>
    <cellStyle name="Normal 66" xfId="5681"/>
    <cellStyle name="Normal 67" xfId="5682"/>
    <cellStyle name="Normal 67 2" xfId="5683"/>
    <cellStyle name="Normal 68" xfId="5684"/>
    <cellStyle name="Normal 68 2" xfId="5685"/>
    <cellStyle name="Normal 69" xfId="5686"/>
    <cellStyle name="Normal 69 2" xfId="5687"/>
    <cellStyle name="Normal 7" xfId="5688"/>
    <cellStyle name="Normal 7 10" xfId="5689"/>
    <cellStyle name="Normal 7 11" xfId="5690"/>
    <cellStyle name="Normal 7 11 2" xfId="5691"/>
    <cellStyle name="Normal 7 12" xfId="5692"/>
    <cellStyle name="Normal 7 2" xfId="5693"/>
    <cellStyle name="Normal 7 2 2" xfId="5694"/>
    <cellStyle name="Normal 7 3" xfId="5695"/>
    <cellStyle name="Normal 7 4" xfId="5696"/>
    <cellStyle name="Normal 7 5" xfId="5697"/>
    <cellStyle name="Normal 7 6" xfId="5698"/>
    <cellStyle name="Normal 7 7" xfId="5699"/>
    <cellStyle name="Normal 7 8" xfId="5700"/>
    <cellStyle name="Normal 7 9" xfId="5701"/>
    <cellStyle name="Normal 70" xfId="5702"/>
    <cellStyle name="Normal 70 2" xfId="5703"/>
    <cellStyle name="Normal 71" xfId="5704"/>
    <cellStyle name="Normal 71 2" xfId="5705"/>
    <cellStyle name="Normal 72" xfId="5706"/>
    <cellStyle name="Normal 72 2" xfId="5707"/>
    <cellStyle name="Normal 73" xfId="5708"/>
    <cellStyle name="Normal 73 2" xfId="5709"/>
    <cellStyle name="Normal 74" xfId="5710"/>
    <cellStyle name="Normal 74 2" xfId="5711"/>
    <cellStyle name="Normal 75" xfId="5712"/>
    <cellStyle name="Normal 75 2" xfId="5713"/>
    <cellStyle name="Normal 76" xfId="5714"/>
    <cellStyle name="Normal 76 2" xfId="5715"/>
    <cellStyle name="Normal 77" xfId="5716"/>
    <cellStyle name="Normal 77 2" xfId="5717"/>
    <cellStyle name="Normal 78" xfId="5718"/>
    <cellStyle name="Normal 78 2" xfId="5719"/>
    <cellStyle name="Normal 79" xfId="5720"/>
    <cellStyle name="Normal 79 2" xfId="5721"/>
    <cellStyle name="Normal 8" xfId="5722"/>
    <cellStyle name="Normal 8 10" xfId="5723"/>
    <cellStyle name="Normal 8 2" xfId="5724"/>
    <cellStyle name="Normal 8 3" xfId="5725"/>
    <cellStyle name="Normal 8 4" xfId="5726"/>
    <cellStyle name="Normal 8 5" xfId="5727"/>
    <cellStyle name="Normal 8 6" xfId="5728"/>
    <cellStyle name="Normal 8 7" xfId="5729"/>
    <cellStyle name="Normal 8 8" xfId="5730"/>
    <cellStyle name="Normal 8 9" xfId="5731"/>
    <cellStyle name="Normal 8 9 2" xfId="5732"/>
    <cellStyle name="Normal 8 9 2 2" xfId="5733"/>
    <cellStyle name="Normal 8 9 3" xfId="5734"/>
    <cellStyle name="Normal 8_(19) Loan Feb-11(Feb-11 figures)" xfId="5735"/>
    <cellStyle name="Normal 80" xfId="5736"/>
    <cellStyle name="Normal 80 2" xfId="5737"/>
    <cellStyle name="Normal 81" xfId="5738"/>
    <cellStyle name="Normal 81 2" xfId="5739"/>
    <cellStyle name="Normal 82" xfId="5740"/>
    <cellStyle name="Normal 82 2" xfId="5741"/>
    <cellStyle name="Normal 83" xfId="5742"/>
    <cellStyle name="Normal 83 2" xfId="5743"/>
    <cellStyle name="Normal 83 2 2" xfId="5744"/>
    <cellStyle name="Normal 83 3" xfId="5745"/>
    <cellStyle name="Normal 84" xfId="5746"/>
    <cellStyle name="Normal 84 2" xfId="5747"/>
    <cellStyle name="Normal 85" xfId="5748"/>
    <cellStyle name="Normal 85 2" xfId="5749"/>
    <cellStyle name="Normal 86" xfId="5750"/>
    <cellStyle name="Normal 86 2" xfId="5751"/>
    <cellStyle name="Normal 87" xfId="5752"/>
    <cellStyle name="Normal 87 2" xfId="5753"/>
    <cellStyle name="Normal 88" xfId="5754"/>
    <cellStyle name="Normal 88 2" xfId="5755"/>
    <cellStyle name="Normal 89" xfId="5756"/>
    <cellStyle name="Normal 89 2" xfId="5757"/>
    <cellStyle name="Normal 9" xfId="5758"/>
    <cellStyle name="Normal 9 10" xfId="5759"/>
    <cellStyle name="Normal 9 10 2" xfId="5760"/>
    <cellStyle name="Normal 9 11" xfId="5761"/>
    <cellStyle name="Normal 9 2" xfId="5762"/>
    <cellStyle name="Normal 9 3" xfId="5763"/>
    <cellStyle name="Normal 9 4" xfId="5764"/>
    <cellStyle name="Normal 9 5" xfId="5765"/>
    <cellStyle name="Normal 9 6" xfId="5766"/>
    <cellStyle name="Normal 9 7" xfId="5767"/>
    <cellStyle name="Normal 9 8" xfId="5768"/>
    <cellStyle name="Normal 9 9" xfId="5769"/>
    <cellStyle name="Normal 9_(19) Loan Feb-11(Feb-11 figures)" xfId="5770"/>
    <cellStyle name="Normal 90" xfId="5771"/>
    <cellStyle name="Normal 90 2" xfId="5772"/>
    <cellStyle name="Normal 91" xfId="5773"/>
    <cellStyle name="Normal 92" xfId="5774"/>
    <cellStyle name="Normal 93" xfId="5775"/>
    <cellStyle name="Normal 94" xfId="5776"/>
    <cellStyle name="Normal 95" xfId="5777"/>
    <cellStyle name="Normal 96" xfId="5778"/>
    <cellStyle name="Normal 97" xfId="5779"/>
    <cellStyle name="Normal 98" xfId="5780"/>
    <cellStyle name="Normal 99" xfId="5781"/>
    <cellStyle name="Normal_ODCS" xfId="6347"/>
    <cellStyle name="Normal_Quarterly BOP 2001" xfId="6393"/>
    <cellStyle name="Normal_RHABMCPC010731" xfId="6345"/>
    <cellStyle name="Normal_Sheet1" xfId="6389"/>
    <cellStyle name="Normal_Sheet1 2" xfId="6390"/>
    <cellStyle name="Normal_TAB2.11" xfId="6385"/>
    <cellStyle name="Normal_Tab2.3" xfId="6377"/>
    <cellStyle name="Normal_Table 1 2" xfId="6391"/>
    <cellStyle name="Normal_Table 1 2 2" xfId="6403"/>
    <cellStyle name="Normal_Table 20-21" xfId="6382"/>
    <cellStyle name="Normal_Table 25f" xfId="6346"/>
    <cellStyle name="Normal_Table 25f 2" xfId="6348"/>
    <cellStyle name="Normal_Table 30" xfId="6386"/>
    <cellStyle name="Normale_DB LOTTI CM Torino (PPMM)" xfId="5782"/>
    <cellStyle name="Note 10 10" xfId="5783"/>
    <cellStyle name="Note 10 2" xfId="5784"/>
    <cellStyle name="Note 10 3" xfId="5785"/>
    <cellStyle name="Note 10 4" xfId="5786"/>
    <cellStyle name="Note 10 5" xfId="5787"/>
    <cellStyle name="Note 10 6" xfId="5788"/>
    <cellStyle name="Note 10 7" xfId="5789"/>
    <cellStyle name="Note 10 8" xfId="5790"/>
    <cellStyle name="Note 10 9" xfId="5791"/>
    <cellStyle name="Note 11 10" xfId="5792"/>
    <cellStyle name="Note 11 2" xfId="5793"/>
    <cellStyle name="Note 11 3" xfId="5794"/>
    <cellStyle name="Note 11 4" xfId="5795"/>
    <cellStyle name="Note 11 5" xfId="5796"/>
    <cellStyle name="Note 11 6" xfId="5797"/>
    <cellStyle name="Note 11 7" xfId="5798"/>
    <cellStyle name="Note 11 8" xfId="5799"/>
    <cellStyle name="Note 11 9" xfId="5800"/>
    <cellStyle name="Note 12 10" xfId="5801"/>
    <cellStyle name="Note 12 2" xfId="5802"/>
    <cellStyle name="Note 12 3" xfId="5803"/>
    <cellStyle name="Note 12 4" xfId="5804"/>
    <cellStyle name="Note 12 5" xfId="5805"/>
    <cellStyle name="Note 12 6" xfId="5806"/>
    <cellStyle name="Note 12 7" xfId="5807"/>
    <cellStyle name="Note 12 8" xfId="5808"/>
    <cellStyle name="Note 12 9" xfId="5809"/>
    <cellStyle name="Note 13 10" xfId="5810"/>
    <cellStyle name="Note 13 2" xfId="5811"/>
    <cellStyle name="Note 13 3" xfId="5812"/>
    <cellStyle name="Note 13 4" xfId="5813"/>
    <cellStyle name="Note 13 5" xfId="5814"/>
    <cellStyle name="Note 13 6" xfId="5815"/>
    <cellStyle name="Note 13 7" xfId="5816"/>
    <cellStyle name="Note 13 8" xfId="5817"/>
    <cellStyle name="Note 13 9" xfId="5818"/>
    <cellStyle name="Note 14 10" xfId="5819"/>
    <cellStyle name="Note 14 2" xfId="5820"/>
    <cellStyle name="Note 14 3" xfId="5821"/>
    <cellStyle name="Note 14 4" xfId="5822"/>
    <cellStyle name="Note 14 5" xfId="5823"/>
    <cellStyle name="Note 14 6" xfId="5824"/>
    <cellStyle name="Note 14 7" xfId="5825"/>
    <cellStyle name="Note 14 8" xfId="5826"/>
    <cellStyle name="Note 14 9" xfId="5827"/>
    <cellStyle name="Note 15 10" xfId="5828"/>
    <cellStyle name="Note 15 2" xfId="5829"/>
    <cellStyle name="Note 15 3" xfId="5830"/>
    <cellStyle name="Note 15 4" xfId="5831"/>
    <cellStyle name="Note 15 5" xfId="5832"/>
    <cellStyle name="Note 15 6" xfId="5833"/>
    <cellStyle name="Note 15 7" xfId="5834"/>
    <cellStyle name="Note 15 8" xfId="5835"/>
    <cellStyle name="Note 15 9" xfId="5836"/>
    <cellStyle name="Note 16 2" xfId="5837"/>
    <cellStyle name="Note 16 3" xfId="5838"/>
    <cellStyle name="Note 17 2" xfId="5839"/>
    <cellStyle name="Note 17 3" xfId="5840"/>
    <cellStyle name="Note 18 2" xfId="5841"/>
    <cellStyle name="Note 18 3" xfId="5842"/>
    <cellStyle name="Note 19 2" xfId="5843"/>
    <cellStyle name="Note 19 3" xfId="5844"/>
    <cellStyle name="Note 2" xfId="5845"/>
    <cellStyle name="Note 2 10" xfId="5846"/>
    <cellStyle name="Note 2 11" xfId="5847"/>
    <cellStyle name="Note 2 12" xfId="5848"/>
    <cellStyle name="Note 2 13" xfId="5849"/>
    <cellStyle name="Note 2 2" xfId="5850"/>
    <cellStyle name="Note 2 2 2" xfId="5851"/>
    <cellStyle name="Note 2 2 3" xfId="5852"/>
    <cellStyle name="Note 2 2 3 2" xfId="5853"/>
    <cellStyle name="Note 2 2 4" xfId="5854"/>
    <cellStyle name="Note 2 3" xfId="5855"/>
    <cellStyle name="Note 2 3 2" xfId="5856"/>
    <cellStyle name="Note 2 3 3" xfId="5857"/>
    <cellStyle name="Note 2 3 3 2" xfId="5858"/>
    <cellStyle name="Note 2 3 4" xfId="5859"/>
    <cellStyle name="Note 2 4" xfId="5860"/>
    <cellStyle name="Note 2 5" xfId="5861"/>
    <cellStyle name="Note 2 6" xfId="5862"/>
    <cellStyle name="Note 2 7" xfId="5863"/>
    <cellStyle name="Note 2 8" xfId="5864"/>
    <cellStyle name="Note 2 9" xfId="5865"/>
    <cellStyle name="Note 3" xfId="5866"/>
    <cellStyle name="Note 3 10" xfId="5867"/>
    <cellStyle name="Note 3 2" xfId="5868"/>
    <cellStyle name="Note 3 3" xfId="5869"/>
    <cellStyle name="Note 3 4" xfId="5870"/>
    <cellStyle name="Note 3 5" xfId="5871"/>
    <cellStyle name="Note 3 6" xfId="5872"/>
    <cellStyle name="Note 3 7" xfId="5873"/>
    <cellStyle name="Note 3 8" xfId="5874"/>
    <cellStyle name="Note 3 9" xfId="5875"/>
    <cellStyle name="Note 4" xfId="6375"/>
    <cellStyle name="Note 4 10" xfId="5876"/>
    <cellStyle name="Note 4 2" xfId="5877"/>
    <cellStyle name="Note 4 3" xfId="5878"/>
    <cellStyle name="Note 4 4" xfId="5879"/>
    <cellStyle name="Note 4 5" xfId="5880"/>
    <cellStyle name="Note 4 6" xfId="5881"/>
    <cellStyle name="Note 4 7" xfId="5882"/>
    <cellStyle name="Note 4 8" xfId="5883"/>
    <cellStyle name="Note 4 9" xfId="5884"/>
    <cellStyle name="Note 5" xfId="6376"/>
    <cellStyle name="Note 5 10" xfId="5885"/>
    <cellStyle name="Note 5 2" xfId="5886"/>
    <cellStyle name="Note 5 3" xfId="5887"/>
    <cellStyle name="Note 5 4" xfId="5888"/>
    <cellStyle name="Note 5 5" xfId="5889"/>
    <cellStyle name="Note 5 6" xfId="5890"/>
    <cellStyle name="Note 5 7" xfId="5891"/>
    <cellStyle name="Note 5 8" xfId="5892"/>
    <cellStyle name="Note 5 9" xfId="5893"/>
    <cellStyle name="Note 6 10" xfId="5894"/>
    <cellStyle name="Note 6 2" xfId="5895"/>
    <cellStyle name="Note 6 3" xfId="5896"/>
    <cellStyle name="Note 6 4" xfId="5897"/>
    <cellStyle name="Note 6 5" xfId="5898"/>
    <cellStyle name="Note 6 6" xfId="5899"/>
    <cellStyle name="Note 6 7" xfId="5900"/>
    <cellStyle name="Note 6 8" xfId="5901"/>
    <cellStyle name="Note 6 9" xfId="5902"/>
    <cellStyle name="Note 7 10" xfId="5903"/>
    <cellStyle name="Note 7 2" xfId="5904"/>
    <cellStyle name="Note 7 3" xfId="5905"/>
    <cellStyle name="Note 7 4" xfId="5906"/>
    <cellStyle name="Note 7 5" xfId="5907"/>
    <cellStyle name="Note 7 6" xfId="5908"/>
    <cellStyle name="Note 7 7" xfId="5909"/>
    <cellStyle name="Note 7 8" xfId="5910"/>
    <cellStyle name="Note 7 9" xfId="5911"/>
    <cellStyle name="Note 8 10" xfId="5912"/>
    <cellStyle name="Note 8 2" xfId="5913"/>
    <cellStyle name="Note 8 3" xfId="5914"/>
    <cellStyle name="Note 8 4" xfId="5915"/>
    <cellStyle name="Note 8 5" xfId="5916"/>
    <cellStyle name="Note 8 6" xfId="5917"/>
    <cellStyle name="Note 8 7" xfId="5918"/>
    <cellStyle name="Note 8 8" xfId="5919"/>
    <cellStyle name="Note 8 9" xfId="5920"/>
    <cellStyle name="Note 9 10" xfId="5921"/>
    <cellStyle name="Note 9 2" xfId="5922"/>
    <cellStyle name="Note 9 3" xfId="5923"/>
    <cellStyle name="Note 9 4" xfId="5924"/>
    <cellStyle name="Note 9 5" xfId="5925"/>
    <cellStyle name="Note 9 6" xfId="5926"/>
    <cellStyle name="Note 9 7" xfId="5927"/>
    <cellStyle name="Note 9 8" xfId="5928"/>
    <cellStyle name="Note 9 9" xfId="5929"/>
    <cellStyle name="Notes" xfId="5930"/>
    <cellStyle name="NumberFormat" xfId="5931"/>
    <cellStyle name="Numbers" xfId="5932"/>
    <cellStyle name="Numbers - Bold" xfId="5933"/>
    <cellStyle name="Numbers_increm pf" xfId="5934"/>
    <cellStyle name="Œ…‹æØ‚è [0.00]_Industry" xfId="5935"/>
    <cellStyle name="Œ…‹æØ‚è_Industry" xfId="5936"/>
    <cellStyle name="OfWhich" xfId="5937"/>
    <cellStyle name="Option" xfId="5938"/>
    <cellStyle name="optionalExposure" xfId="5939"/>
    <cellStyle name="Output 2" xfId="5940"/>
    <cellStyle name="Output 3" xfId="5941"/>
    <cellStyle name="Output Amounts" xfId="5942"/>
    <cellStyle name="Output Column Headings" xfId="5943"/>
    <cellStyle name="Output Column Headings 2" xfId="5944"/>
    <cellStyle name="Output Line Items" xfId="5945"/>
    <cellStyle name="Output Report Heading" xfId="5946"/>
    <cellStyle name="Output Report Heading 2" xfId="5947"/>
    <cellStyle name="Output Report Title" xfId="5948"/>
    <cellStyle name="Output Report Title 2" xfId="5949"/>
    <cellStyle name="Page Heading Large" xfId="5950"/>
    <cellStyle name="Page Heading Small" xfId="5951"/>
    <cellStyle name="Page Number" xfId="5952"/>
    <cellStyle name="pager" xfId="5953"/>
    <cellStyle name="Percent (0.00)" xfId="5954"/>
    <cellStyle name="Percent [0%]" xfId="5955"/>
    <cellStyle name="Percent [0.00%]" xfId="5956"/>
    <cellStyle name="Percent [0]" xfId="5957"/>
    <cellStyle name="Percent [00]" xfId="5958"/>
    <cellStyle name="Percent [2]" xfId="5959"/>
    <cellStyle name="Percent 10" xfId="5960"/>
    <cellStyle name="Percent 10 2" xfId="5961"/>
    <cellStyle name="Percent 11" xfId="5962"/>
    <cellStyle name="Percent 11 2" xfId="5963"/>
    <cellStyle name="Percent 12" xfId="5964"/>
    <cellStyle name="Percent 12 2" xfId="5965"/>
    <cellStyle name="Percent 13" xfId="5966"/>
    <cellStyle name="Percent 13 2" xfId="5967"/>
    <cellStyle name="Percent 14" xfId="5968"/>
    <cellStyle name="Percent 15" xfId="5969"/>
    <cellStyle name="Percent 16" xfId="5970"/>
    <cellStyle name="Percent 17" xfId="5971"/>
    <cellStyle name="Percent 17 2" xfId="5972"/>
    <cellStyle name="Percent 18" xfId="5973"/>
    <cellStyle name="Percent 18 2" xfId="5974"/>
    <cellStyle name="Percent 19" xfId="5975"/>
    <cellStyle name="Percent 19 2" xfId="5976"/>
    <cellStyle name="Percent 2" xfId="5977"/>
    <cellStyle name="Percent 2 2" xfId="5978"/>
    <cellStyle name="Percent 2 3" xfId="5979"/>
    <cellStyle name="Percent 2 4" xfId="5980"/>
    <cellStyle name="Percent 2 5" xfId="5981"/>
    <cellStyle name="Percent 2 5 2" xfId="5982"/>
    <cellStyle name="Percent 20" xfId="5983"/>
    <cellStyle name="Percent 20 2" xfId="5984"/>
    <cellStyle name="Percent 21" xfId="5985"/>
    <cellStyle name="Percent 22" xfId="5986"/>
    <cellStyle name="Percent 23" xfId="5987"/>
    <cellStyle name="Percent 24" xfId="5988"/>
    <cellStyle name="Percent 25" xfId="5989"/>
    <cellStyle name="Percent 26" xfId="6384"/>
    <cellStyle name="Percent 3" xfId="5990"/>
    <cellStyle name="Percent 3 2" xfId="5991"/>
    <cellStyle name="Percent 3 3" xfId="5992"/>
    <cellStyle name="Percent 3 4" xfId="5993"/>
    <cellStyle name="Percent 4" xfId="5994"/>
    <cellStyle name="Percent 4 2" xfId="5995"/>
    <cellStyle name="Percent 4 2 2" xfId="5996"/>
    <cellStyle name="Percent 4 2 3" xfId="5997"/>
    <cellStyle name="Percent 5" xfId="5998"/>
    <cellStyle name="Percent 5 2" xfId="5999"/>
    <cellStyle name="Percent 5 2 2" xfId="6000"/>
    <cellStyle name="Percent 5 2 3" xfId="6001"/>
    <cellStyle name="Percent 6" xfId="6002"/>
    <cellStyle name="Percent 6 2" xfId="6003"/>
    <cellStyle name="Percent 6 3" xfId="6004"/>
    <cellStyle name="Percent 6 3 2" xfId="6005"/>
    <cellStyle name="Percent 7" xfId="6006"/>
    <cellStyle name="Percent 7 2" xfId="6007"/>
    <cellStyle name="Percent 7 2 2" xfId="6008"/>
    <cellStyle name="Percent 7 2 2 2" xfId="6009"/>
    <cellStyle name="Percent 7 2 3" xfId="6010"/>
    <cellStyle name="Percent 7 2 4" xfId="6011"/>
    <cellStyle name="Percent 7 3" xfId="6012"/>
    <cellStyle name="Percent 7 3 2" xfId="6013"/>
    <cellStyle name="Percent 7 4" xfId="6014"/>
    <cellStyle name="Percent 7 5" xfId="6015"/>
    <cellStyle name="Percent 8" xfId="6016"/>
    <cellStyle name="Percent 8 2" xfId="6017"/>
    <cellStyle name="Percent 8 3" xfId="6018"/>
    <cellStyle name="Percent 8 3 2" xfId="6019"/>
    <cellStyle name="Percent 8 4" xfId="6020"/>
    <cellStyle name="Percent 8 5" xfId="6021"/>
    <cellStyle name="Percent 9" xfId="6022"/>
    <cellStyle name="Percent 9 2" xfId="6023"/>
    <cellStyle name="Percent 9 3" xfId="6024"/>
    <cellStyle name="Percent 9 4" xfId="6025"/>
    <cellStyle name="Percent Hard" xfId="6026"/>
    <cellStyle name="percent2" xfId="6027"/>
    <cellStyle name="percentage" xfId="6028"/>
    <cellStyle name="Percentage 2" xfId="6029"/>
    <cellStyle name="PERCENTAGE_additions- Sandhya" xfId="6030"/>
    <cellStyle name="Porcentaje" xfId="6031"/>
    <cellStyle name="PrePop Currency (0)" xfId="6032"/>
    <cellStyle name="PrePop Currency (2)" xfId="6033"/>
    <cellStyle name="PrePop Units (0)" xfId="6034"/>
    <cellStyle name="PrePop Units (1)" xfId="6035"/>
    <cellStyle name="PrePop Units (2)" xfId="6036"/>
    <cellStyle name="Price" xfId="6037"/>
    <cellStyle name="Product Header" xfId="6038"/>
    <cellStyle name="Product Title" xfId="6039"/>
    <cellStyle name="Protected_tcslctpk" xfId="6040"/>
    <cellStyle name="PSChar" xfId="6041"/>
    <cellStyle name="PSDec" xfId="6042"/>
    <cellStyle name="PSHeading" xfId="6043"/>
    <cellStyle name="r" xfId="6044"/>
    <cellStyle name="r_pldt" xfId="6045"/>
    <cellStyle name="r_pldt_Report Finance" xfId="6046"/>
    <cellStyle name="r_pldt_Sheet1" xfId="6047"/>
    <cellStyle name="r_Report Finance" xfId="6048"/>
    <cellStyle name="r_Sheet1" xfId="6049"/>
    <cellStyle name="RED_DEBITS" xfId="6050"/>
    <cellStyle name="ReserveStyle" xfId="6051"/>
    <cellStyle name="reset" xfId="6052"/>
    <cellStyle name="Reval_Bond" xfId="6053"/>
    <cellStyle name="RevList" xfId="6054"/>
    <cellStyle name="ri" xfId="6055"/>
    <cellStyle name="RISKbigPercent" xfId="6056"/>
    <cellStyle name="RISKblandrEdge" xfId="6057"/>
    <cellStyle name="RISKblCorner" xfId="6058"/>
    <cellStyle name="RISKbottomEdge" xfId="6059"/>
    <cellStyle name="RISKbrCorner" xfId="6060"/>
    <cellStyle name="RISKdarkBoxed" xfId="6061"/>
    <cellStyle name="RISKdarkShade" xfId="6062"/>
    <cellStyle name="RISKdbottomEdge" xfId="6063"/>
    <cellStyle name="RISKdrightEdge" xfId="6064"/>
    <cellStyle name="RISKdurationTime" xfId="6065"/>
    <cellStyle name="RISKinNumber" xfId="6066"/>
    <cellStyle name="RISKlandrEdge" xfId="6067"/>
    <cellStyle name="RISKleftEdge" xfId="6068"/>
    <cellStyle name="RISKlightBoxed" xfId="6069"/>
    <cellStyle name="RISKltandbEdge" xfId="6070"/>
    <cellStyle name="RISKnormBoxed" xfId="6071"/>
    <cellStyle name="RISKnormCenter" xfId="6072"/>
    <cellStyle name="RISKnormHeading" xfId="6073"/>
    <cellStyle name="RISKnormItal" xfId="6074"/>
    <cellStyle name="RISKnormLabel" xfId="6075"/>
    <cellStyle name="RISKnormShade" xfId="6076"/>
    <cellStyle name="RISKnormTitle" xfId="6077"/>
    <cellStyle name="RISKoutNumber" xfId="6078"/>
    <cellStyle name="RISKrightEdge" xfId="6079"/>
    <cellStyle name="RISKrtandbEdge" xfId="6080"/>
    <cellStyle name="RISKssTime" xfId="6081"/>
    <cellStyle name="RISKtandbEdge" xfId="6082"/>
    <cellStyle name="RISKtlandrEdge" xfId="6083"/>
    <cellStyle name="RISKtlCorner" xfId="6084"/>
    <cellStyle name="RISKtopEdge" xfId="6085"/>
    <cellStyle name="RISKtrCorner" xfId="6086"/>
    <cellStyle name="RM" xfId="6087"/>
    <cellStyle name="RoundingPrecision" xfId="6088"/>
    <cellStyle name="Rubrique" xfId="6089"/>
    <cellStyle name="SAPBEXaggData" xfId="6090"/>
    <cellStyle name="SAPBEXaggData 2" xfId="6091"/>
    <cellStyle name="SAPBEXaggDataEmph" xfId="6092"/>
    <cellStyle name="SAPBEXaggDataEmph 2" xfId="6093"/>
    <cellStyle name="SAPBEXaggItem" xfId="6094"/>
    <cellStyle name="SAPBEXaggItem 2" xfId="6095"/>
    <cellStyle name="SAPBEXaggItemX" xfId="6096"/>
    <cellStyle name="SAPBEXchaText" xfId="6097"/>
    <cellStyle name="SAPBEXchaText 2" xfId="6098"/>
    <cellStyle name="SAPBEXexcBad7" xfId="6099"/>
    <cellStyle name="SAPBEXexcBad7 2" xfId="6100"/>
    <cellStyle name="SAPBEXexcBad8" xfId="6101"/>
    <cellStyle name="SAPBEXexcBad8 2" xfId="6102"/>
    <cellStyle name="SAPBEXexcBad9" xfId="6103"/>
    <cellStyle name="SAPBEXexcBad9 2" xfId="6104"/>
    <cellStyle name="SAPBEXexcCritical4" xfId="6105"/>
    <cellStyle name="SAPBEXexcCritical4 2" xfId="6106"/>
    <cellStyle name="SAPBEXexcCritical5" xfId="6107"/>
    <cellStyle name="SAPBEXexcCritical5 2" xfId="6108"/>
    <cellStyle name="SAPBEXexcCritical6" xfId="6109"/>
    <cellStyle name="SAPBEXexcCritical6 2" xfId="6110"/>
    <cellStyle name="SAPBEXexcGood1" xfId="6111"/>
    <cellStyle name="SAPBEXexcGood1 2" xfId="6112"/>
    <cellStyle name="SAPBEXexcGood2" xfId="6113"/>
    <cellStyle name="SAPBEXexcGood2 2" xfId="6114"/>
    <cellStyle name="SAPBEXexcGood3" xfId="6115"/>
    <cellStyle name="SAPBEXexcGood3 2" xfId="6116"/>
    <cellStyle name="SAPBEXfilterDrill" xfId="6117"/>
    <cellStyle name="SAPBEXfilterDrill 2" xfId="6118"/>
    <cellStyle name="SAPBEXfilterItem" xfId="6119"/>
    <cellStyle name="SAPBEXfilterItem 2" xfId="6120"/>
    <cellStyle name="SAPBEXfilterText" xfId="6121"/>
    <cellStyle name="SAPBEXfilterText 2" xfId="6122"/>
    <cellStyle name="SAPBEXformats" xfId="6123"/>
    <cellStyle name="SAPBEXformats 2" xfId="6124"/>
    <cellStyle name="SAPBEXheaderItem" xfId="6125"/>
    <cellStyle name="SAPBEXheaderItem 2" xfId="6126"/>
    <cellStyle name="SAPBEXheaderText" xfId="6127"/>
    <cellStyle name="SAPBEXheaderText 2" xfId="6128"/>
    <cellStyle name="SAPBEXHLevel0" xfId="6129"/>
    <cellStyle name="SAPBEXHLevel0 2" xfId="6130"/>
    <cellStyle name="SAPBEXHLevel0X" xfId="6131"/>
    <cellStyle name="SAPBEXHLevel0X 2" xfId="6132"/>
    <cellStyle name="SAPBEXHLevel1" xfId="6133"/>
    <cellStyle name="SAPBEXHLevel1 2" xfId="6134"/>
    <cellStyle name="SAPBEXHLevel1X" xfId="6135"/>
    <cellStyle name="SAPBEXHLevel1X 2" xfId="6136"/>
    <cellStyle name="SAPBEXHLevel2" xfId="6137"/>
    <cellStyle name="SAPBEXHLevel2 2" xfId="6138"/>
    <cellStyle name="SAPBEXHLevel2X" xfId="6139"/>
    <cellStyle name="SAPBEXHLevel2X 2" xfId="6140"/>
    <cellStyle name="SAPBEXHLevel3" xfId="6141"/>
    <cellStyle name="SAPBEXHLevel3 2" xfId="6142"/>
    <cellStyle name="SAPBEXHLevel3X" xfId="6143"/>
    <cellStyle name="SAPBEXHLevel3X 2" xfId="6144"/>
    <cellStyle name="SAPBEXresData" xfId="6145"/>
    <cellStyle name="SAPBEXresData 2" xfId="6146"/>
    <cellStyle name="SAPBEXresDataEmph" xfId="6147"/>
    <cellStyle name="SAPBEXresDataEmph 2" xfId="6148"/>
    <cellStyle name="SAPBEXresItem" xfId="6149"/>
    <cellStyle name="SAPBEXresItem 2" xfId="6150"/>
    <cellStyle name="SAPBEXresItemX" xfId="6151"/>
    <cellStyle name="SAPBEXstdData" xfId="6152"/>
    <cellStyle name="SAPBEXstdData 2" xfId="6153"/>
    <cellStyle name="SAPBEXstdDataEmph" xfId="6154"/>
    <cellStyle name="SAPBEXstdDataEmph 2" xfId="6155"/>
    <cellStyle name="SAPBEXstdItem" xfId="6156"/>
    <cellStyle name="SAPBEXstdItem 2" xfId="6157"/>
    <cellStyle name="SAPBEXstdItemX" xfId="6158"/>
    <cellStyle name="SAPBEXtitle" xfId="6159"/>
    <cellStyle name="SAPBEXtitle 2" xfId="6160"/>
    <cellStyle name="SAPBEXundefined" xfId="6161"/>
    <cellStyle name="SAPBEXundefined 2" xfId="6162"/>
    <cellStyle name="ScotchRule" xfId="6163"/>
    <cellStyle name="SdapsDate" xfId="6164"/>
    <cellStyle name="Section" xfId="6165"/>
    <cellStyle name="SEM-BPS-head" xfId="6166"/>
    <cellStyle name="SEM-BPS-key" xfId="6167"/>
    <cellStyle name="Shaded" xfId="6168"/>
    <cellStyle name="Short $" xfId="6169"/>
    <cellStyle name="showExposure" xfId="6170"/>
    <cellStyle name="showPD" xfId="6171"/>
    <cellStyle name="showPercentage" xfId="6172"/>
    <cellStyle name="SMALL_NUMBERS" xfId="6173"/>
    <cellStyle name="SMALLER_NUMBERS" xfId="6174"/>
    <cellStyle name="Standaard_laroux" xfId="6175"/>
    <cellStyle name="Standard 2" xfId="6176"/>
    <cellStyle name="Standard_AFS Debt sec" xfId="6177"/>
    <cellStyle name="StandardDate" xfId="6178"/>
    <cellStyle name="standardnumber" xfId="6179"/>
    <cellStyle name="static" xfId="6180"/>
    <cellStyle name="Sterling [0]" xfId="6181"/>
    <cellStyle name="Stil 1" xfId="6182"/>
    <cellStyle name="styDisplay" xfId="6183"/>
    <cellStyle name="Style 1" xfId="6184"/>
    <cellStyle name="Style 1 2" xfId="6185"/>
    <cellStyle name="Style 1 3" xfId="6186"/>
    <cellStyle name="Style 1 4" xfId="6187"/>
    <cellStyle name="Style 1 5" xfId="6188"/>
    <cellStyle name="Style 1 6" xfId="6189"/>
    <cellStyle name="Style 10" xfId="6190"/>
    <cellStyle name="Style 11" xfId="6191"/>
    <cellStyle name="Style 12" xfId="6192"/>
    <cellStyle name="Style 13" xfId="6193"/>
    <cellStyle name="Style 14" xfId="6194"/>
    <cellStyle name="Style 15" xfId="6195"/>
    <cellStyle name="Style 16" xfId="6196"/>
    <cellStyle name="Style 17" xfId="6197"/>
    <cellStyle name="Style 18" xfId="6198"/>
    <cellStyle name="Style 19" xfId="6199"/>
    <cellStyle name="Style 2" xfId="6200"/>
    <cellStyle name="Style 20" xfId="6201"/>
    <cellStyle name="Style 21" xfId="6202"/>
    <cellStyle name="Style 22" xfId="6203"/>
    <cellStyle name="Style 23" xfId="6204"/>
    <cellStyle name="Style 24" xfId="6205"/>
    <cellStyle name="Style 24 2" xfId="6206"/>
    <cellStyle name="Style 24 3" xfId="6207"/>
    <cellStyle name="Style 25" xfId="6208"/>
    <cellStyle name="Style 26" xfId="6209"/>
    <cellStyle name="Style 27" xfId="6210"/>
    <cellStyle name="Style 27 2" xfId="6211"/>
    <cellStyle name="Style 27 3" xfId="6212"/>
    <cellStyle name="Style 28" xfId="6213"/>
    <cellStyle name="Style 28 2" xfId="6214"/>
    <cellStyle name="Style 28 3" xfId="6215"/>
    <cellStyle name="Style 29" xfId="6216"/>
    <cellStyle name="Style 3" xfId="6217"/>
    <cellStyle name="Style 30" xfId="6218"/>
    <cellStyle name="Style 31" xfId="6219"/>
    <cellStyle name="Style 32" xfId="6220"/>
    <cellStyle name="Style 33" xfId="6221"/>
    <cellStyle name="Style 34" xfId="6222"/>
    <cellStyle name="Style 35" xfId="6223"/>
    <cellStyle name="Style 36" xfId="6224"/>
    <cellStyle name="Style 37" xfId="6225"/>
    <cellStyle name="Style 38" xfId="6226"/>
    <cellStyle name="Style 39" xfId="6227"/>
    <cellStyle name="Style 4" xfId="6228"/>
    <cellStyle name="Style 40" xfId="6229"/>
    <cellStyle name="Style 41" xfId="6230"/>
    <cellStyle name="Style 42" xfId="6231"/>
    <cellStyle name="Style 43" xfId="6232"/>
    <cellStyle name="Style 44" xfId="6233"/>
    <cellStyle name="Style 45" xfId="6234"/>
    <cellStyle name="Style 46" xfId="6235"/>
    <cellStyle name="Style 47" xfId="6236"/>
    <cellStyle name="Style 48" xfId="6237"/>
    <cellStyle name="Style 49" xfId="6238"/>
    <cellStyle name="Style 5" xfId="6239"/>
    <cellStyle name="Style 50" xfId="6240"/>
    <cellStyle name="Style 51" xfId="6241"/>
    <cellStyle name="Style 52" xfId="6242"/>
    <cellStyle name="Style 53" xfId="6243"/>
    <cellStyle name="Style 54" xfId="6244"/>
    <cellStyle name="Style 55" xfId="6245"/>
    <cellStyle name="Style 56" xfId="6246"/>
    <cellStyle name="Style 57" xfId="6247"/>
    <cellStyle name="Style 58" xfId="6248"/>
    <cellStyle name="Style 59" xfId="6249"/>
    <cellStyle name="Style 6" xfId="6250"/>
    <cellStyle name="Style 60" xfId="6251"/>
    <cellStyle name="Style 61" xfId="6252"/>
    <cellStyle name="Style 62" xfId="6253"/>
    <cellStyle name="Style 7" xfId="6254"/>
    <cellStyle name="Style 8" xfId="6255"/>
    <cellStyle name="Style 9" xfId="6256"/>
    <cellStyle name="Style1 - Style1" xfId="6257"/>
    <cellStyle name="styMcList" xfId="6258"/>
    <cellStyle name="Subtitle" xfId="6259"/>
    <cellStyle name="-Subtitle_chart" xfId="6260"/>
    <cellStyle name="Subtitle_Report Finance" xfId="6261"/>
    <cellStyle name="Subtotal" xfId="6262"/>
    <cellStyle name="Subtotal 2" xfId="6263"/>
    <cellStyle name="Subtotal2" xfId="6264"/>
    <cellStyle name="subtotals" xfId="6265"/>
    <cellStyle name="supPercentage" xfId="6266"/>
    <cellStyle name="supText" xfId="6267"/>
    <cellStyle name="Table Col Head" xfId="6268"/>
    <cellStyle name="Table Head" xfId="6269"/>
    <cellStyle name="Table Head Aligned" xfId="6270"/>
    <cellStyle name="Table Head Blue" xfId="6271"/>
    <cellStyle name="Table Head Green" xfId="6272"/>
    <cellStyle name="Table Heading" xfId="6273"/>
    <cellStyle name="Table Sub Head" xfId="6274"/>
    <cellStyle name="Table Title" xfId="6275"/>
    <cellStyle name="Table Units" xfId="6276"/>
    <cellStyle name="Tablebody" xfId="6277"/>
    <cellStyle name="TablebodyDate" xfId="6278"/>
    <cellStyle name="TablebodyOutstandingAmount" xfId="6279"/>
    <cellStyle name="TablebodyPrice" xfId="6280"/>
    <cellStyle name="Tableheading" xfId="6281"/>
    <cellStyle name="Test" xfId="6282"/>
    <cellStyle name="TEXT" xfId="6283"/>
    <cellStyle name="Text Indent A" xfId="6284"/>
    <cellStyle name="Text Indent B" xfId="6285"/>
    <cellStyle name="Text Indent C" xfId="6286"/>
    <cellStyle name="Text Wrap" xfId="6287"/>
    <cellStyle name="TEXT_(19) Loan Feb-11(Feb-11 figures)" xfId="6288"/>
    <cellStyle name="TextStyle" xfId="6289"/>
    <cellStyle name="Title - Underline" xfId="6290"/>
    <cellStyle name="Title 2" xfId="6291"/>
    <cellStyle name="-Title_01" xfId="6292"/>
    <cellStyle name="Titles" xfId="6293"/>
    <cellStyle name="Titles - Other" xfId="6294"/>
    <cellStyle name="Titles_Avg_BS " xfId="6295"/>
    <cellStyle name="TitreRub" xfId="6296"/>
    <cellStyle name="TitreTab" xfId="6297"/>
    <cellStyle name="TOALS" xfId="6298"/>
    <cellStyle name="Total 2" xfId="6299"/>
    <cellStyle name="TotalNumbers" xfId="6300"/>
    <cellStyle name="TOTALS" xfId="6301"/>
    <cellStyle name="toto" xfId="6302"/>
    <cellStyle name="Trade_Title" xfId="6303"/>
    <cellStyle name="TradeScheduleColHdrStyle" xfId="6304"/>
    <cellStyle name="TradeScheduleDataStyle" xfId="6305"/>
    <cellStyle name="TradeScheduleHdrStyle" xfId="6306"/>
    <cellStyle name="TradeSchedulePercentStyle" xfId="6307"/>
    <cellStyle name="TypeIn" xfId="6308"/>
    <cellStyle name="UBOLD" xfId="6309"/>
    <cellStyle name="underlineHeading" xfId="6310"/>
    <cellStyle name="UnitValuation" xfId="6311"/>
    <cellStyle name="Unlocked" xfId="6312"/>
    <cellStyle name="unpro" xfId="6313"/>
    <cellStyle name="UNPROBLD" xfId="6314"/>
    <cellStyle name="unprobold" xfId="6315"/>
    <cellStyle name="unprotected" xfId="6316"/>
    <cellStyle name="us" xfId="6317"/>
    <cellStyle name="V" xfId="6318"/>
    <cellStyle name="v_~8200732" xfId="6319"/>
    <cellStyle name="v_~8200732_Sheet1" xfId="6320"/>
    <cellStyle name="v_10 BIG Old Spds" xfId="6321"/>
    <cellStyle name="v_10 BIG Pete Spds" xfId="6322"/>
    <cellStyle name="v_10 BIG Rocky Spds" xfId="6323"/>
    <cellStyle name="v_Collateral Summary 051106" xfId="6324"/>
    <cellStyle name="v_Collateral Summary 051106_Sheet1" xfId="6325"/>
    <cellStyle name="v_Pine Mountain 2_Omnicron Request_10.15.06" xfId="6326"/>
    <cellStyle name="v_PM II_Modeling Summary_v12b PJ Sprds 052506_Portfolio 7" xfId="6327"/>
    <cellStyle name="v_PM II_Modeling Summary_v12b PJ Sprds 052506_Portfolio 7_Sheet1" xfId="6328"/>
    <cellStyle name="V_Report Finance" xfId="6329"/>
    <cellStyle name="V_Sheet1" xfId="6330"/>
    <cellStyle name="Valuta (0)_LINEA GLOBALE" xfId="6331"/>
    <cellStyle name="Valuta [0]_Fees &amp; Expenses" xfId="6332"/>
    <cellStyle name="Valuta_Fees &amp; Expenses" xfId="6333"/>
    <cellStyle name="Währung [0]_Country" xfId="6334"/>
    <cellStyle name="Währung_Country" xfId="6335"/>
    <cellStyle name="Warning" xfId="6336"/>
    <cellStyle name="Warning Text 2" xfId="6337"/>
    <cellStyle name="WorksheetForm" xfId="6338"/>
    <cellStyle name="xy" xfId="6339"/>
    <cellStyle name="Y2K Compliant Date Fmt" xfId="6340"/>
    <cellStyle name="Year" xfId="6341"/>
    <cellStyle name="Years" xfId="6342"/>
    <cellStyle name="日付" xfId="6343"/>
    <cellStyle name="標準_Book3" xfId="63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upervision/Off%20Site/NON-BANKS/Cons-Balance%20Sheet-BOMwebsite%20and%20Bulletin/Table/Table%20%2014%20-%20as%20from%20May%20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2014"/>
      <sheetName val="April 2014"/>
      <sheetName val="March 2014"/>
      <sheetName val="Feb 2014"/>
      <sheetName val="Jan 2014"/>
      <sheetName val="Dec 13"/>
      <sheetName val="Nov 13"/>
      <sheetName val="Oct 13"/>
      <sheetName val="Sep 13"/>
      <sheetName val="June 2013"/>
      <sheetName val="14"/>
    </sheetNames>
    <sheetDataSet>
      <sheetData sheetId="0">
        <row r="11">
          <cell r="L11">
            <v>1325000000.04</v>
          </cell>
        </row>
        <row r="16">
          <cell r="L16">
            <v>748327692.54350281</v>
          </cell>
        </row>
        <row r="25">
          <cell r="L25">
            <v>25000000</v>
          </cell>
        </row>
        <row r="29">
          <cell r="L29">
            <v>0</v>
          </cell>
        </row>
        <row r="31">
          <cell r="L31">
            <v>87727087.099999994</v>
          </cell>
        </row>
        <row r="33">
          <cell r="L33">
            <v>0</v>
          </cell>
        </row>
        <row r="35">
          <cell r="L35">
            <v>12506284809.149994</v>
          </cell>
        </row>
        <row r="37">
          <cell r="L37">
            <v>2960830349.9099994</v>
          </cell>
        </row>
        <row r="42">
          <cell r="L42">
            <v>2090884648.876832</v>
          </cell>
        </row>
        <row r="43">
          <cell r="L43">
            <v>204004089.66017157</v>
          </cell>
        </row>
        <row r="54">
          <cell r="L54">
            <v>216269.91000000003</v>
          </cell>
        </row>
        <row r="56">
          <cell r="L56">
            <v>14950</v>
          </cell>
        </row>
        <row r="58">
          <cell r="L58">
            <v>3117055948.908288</v>
          </cell>
        </row>
        <row r="60">
          <cell r="L60">
            <v>0</v>
          </cell>
        </row>
        <row r="63">
          <cell r="L63">
            <v>0</v>
          </cell>
        </row>
        <row r="64">
          <cell r="L64">
            <v>144906000</v>
          </cell>
        </row>
        <row r="67">
          <cell r="L67">
            <v>9443918204.9919415</v>
          </cell>
        </row>
        <row r="68">
          <cell r="L68">
            <v>925584679.52999496</v>
          </cell>
        </row>
        <row r="69">
          <cell r="L69">
            <v>1168524000</v>
          </cell>
        </row>
        <row r="74">
          <cell r="L74">
            <v>1610931972.9000001</v>
          </cell>
        </row>
        <row r="78">
          <cell r="L78">
            <v>3332902685.2346559</v>
          </cell>
        </row>
        <row r="79">
          <cell r="L7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3"/>
  <sheetViews>
    <sheetView showGridLines="0" tabSelected="1" zoomScaleNormal="100" workbookViewId="0">
      <pane xSplit="1" ySplit="3" topLeftCell="M4" activePane="bottomRight" state="frozen"/>
      <selection pane="topRight" activeCell="B1" sqref="B1"/>
      <selection pane="bottomLeft" activeCell="A4" sqref="A4"/>
      <selection pane="bottomRight" activeCell="U13" sqref="U13"/>
    </sheetView>
  </sheetViews>
  <sheetFormatPr defaultRowHeight="15"/>
  <cols>
    <col min="1" max="1" width="78.5703125" style="3076" customWidth="1"/>
    <col min="2" max="2" width="16" style="3076" customWidth="1"/>
    <col min="3" max="3" width="11.7109375" style="3076" customWidth="1"/>
    <col min="4" max="4" width="8.5703125" style="3076" hidden="1" customWidth="1"/>
    <col min="5" max="5" width="9.28515625" style="3076" hidden="1" customWidth="1"/>
    <col min="6" max="6" width="12.28515625" style="3076" hidden="1" customWidth="1"/>
    <col min="7" max="7" width="10.42578125" style="3076" hidden="1" customWidth="1"/>
    <col min="8" max="9" width="12.140625" style="3076" hidden="1" customWidth="1"/>
    <col min="10" max="10" width="11.5703125" style="3077" customWidth="1"/>
    <col min="11" max="11" width="11.7109375" style="3077" customWidth="1"/>
    <col min="12" max="12" width="11.85546875" style="3077" customWidth="1"/>
    <col min="13" max="13" width="11.5703125" style="3077" customWidth="1"/>
    <col min="14" max="14" width="11.7109375" style="3077" customWidth="1"/>
    <col min="15" max="15" width="11.5703125" style="3077" customWidth="1"/>
    <col min="16" max="16" width="11.7109375" style="3077" customWidth="1"/>
    <col min="17" max="17" width="11.85546875" style="3077" customWidth="1"/>
    <col min="18" max="18" width="11.7109375" style="3077" customWidth="1"/>
    <col min="19" max="20" width="11.28515625" style="3077" customWidth="1"/>
    <col min="21" max="21" width="10.140625" style="3077" bestFit="1" customWidth="1"/>
    <col min="22" max="61" width="9.140625" style="3077"/>
    <col min="62" max="16384" width="9.140625" style="3076"/>
  </cols>
  <sheetData>
    <row r="1" spans="1:19" ht="18" customHeight="1">
      <c r="A1" s="3075" t="s">
        <v>4074</v>
      </c>
    </row>
    <row r="2" spans="1:19" ht="13.5" customHeight="1" thickBot="1"/>
    <row r="3" spans="1:19" ht="28.5" customHeight="1" thickBot="1">
      <c r="A3" s="3078"/>
      <c r="B3" s="3079" t="s">
        <v>212</v>
      </c>
      <c r="C3" s="3080" t="s">
        <v>4075</v>
      </c>
      <c r="D3" s="3080">
        <v>1999</v>
      </c>
      <c r="E3" s="3079">
        <v>2000</v>
      </c>
      <c r="F3" s="3080">
        <v>2001</v>
      </c>
      <c r="G3" s="3079">
        <v>2002</v>
      </c>
      <c r="H3" s="3080">
        <v>2003</v>
      </c>
      <c r="I3" s="3080">
        <v>2004</v>
      </c>
      <c r="J3" s="3080">
        <v>2005</v>
      </c>
      <c r="K3" s="3079">
        <v>2006</v>
      </c>
      <c r="L3" s="3080">
        <v>2007</v>
      </c>
      <c r="M3" s="3080">
        <v>2008</v>
      </c>
      <c r="N3" s="3080">
        <v>2009</v>
      </c>
      <c r="O3" s="3079">
        <v>2010</v>
      </c>
      <c r="P3" s="3081">
        <v>2011</v>
      </c>
      <c r="Q3" s="3081">
        <v>2012</v>
      </c>
      <c r="R3" s="3081">
        <v>2013</v>
      </c>
      <c r="S3" s="3082">
        <v>2014</v>
      </c>
    </row>
    <row r="4" spans="1:19" ht="18" customHeight="1">
      <c r="A4" s="3083" t="s">
        <v>4076</v>
      </c>
      <c r="B4" s="3084" t="s">
        <v>4077</v>
      </c>
      <c r="C4" s="3085"/>
      <c r="D4" s="3086">
        <v>1175267</v>
      </c>
      <c r="E4" s="3087">
        <v>1186873</v>
      </c>
      <c r="F4" s="3087">
        <v>1199881</v>
      </c>
      <c r="G4" s="3088">
        <v>1210196</v>
      </c>
      <c r="H4" s="3089">
        <v>1222811</v>
      </c>
      <c r="I4" s="3089">
        <v>1233386</v>
      </c>
      <c r="J4" s="3087">
        <v>1243253</v>
      </c>
      <c r="K4" s="3090">
        <v>1252698</v>
      </c>
      <c r="L4" s="3091">
        <v>1260403</v>
      </c>
      <c r="M4" s="3091">
        <v>1268565</v>
      </c>
      <c r="N4" s="3092">
        <v>1275032</v>
      </c>
      <c r="O4" s="3092">
        <v>1280924</v>
      </c>
      <c r="P4" s="3092">
        <v>1286051</v>
      </c>
      <c r="Q4" s="3093" t="s">
        <v>4078</v>
      </c>
      <c r="R4" s="3093" t="s">
        <v>4079</v>
      </c>
      <c r="S4" s="3094" t="s">
        <v>4080</v>
      </c>
    </row>
    <row r="5" spans="1:19" ht="18" customHeight="1">
      <c r="A5" s="3083" t="s">
        <v>4081</v>
      </c>
      <c r="B5" s="3095" t="s">
        <v>4082</v>
      </c>
      <c r="C5" s="3096"/>
      <c r="D5" s="3097"/>
      <c r="E5" s="3098">
        <v>620030</v>
      </c>
      <c r="F5" s="3099">
        <v>660318</v>
      </c>
      <c r="G5" s="3091">
        <v>681648</v>
      </c>
      <c r="H5" s="3089">
        <v>702018</v>
      </c>
      <c r="I5" s="3091">
        <v>718861</v>
      </c>
      <c r="J5" s="3091">
        <v>761063</v>
      </c>
      <c r="K5" s="3086">
        <v>788276</v>
      </c>
      <c r="L5" s="3091">
        <v>906971</v>
      </c>
      <c r="M5" s="3091">
        <v>930456</v>
      </c>
      <c r="N5" s="3100">
        <v>871356</v>
      </c>
      <c r="O5" s="3100">
        <v>934827</v>
      </c>
      <c r="P5" s="3101" t="s">
        <v>4083</v>
      </c>
      <c r="Q5" s="3102" t="s">
        <v>4084</v>
      </c>
      <c r="R5" s="3102" t="s">
        <v>4085</v>
      </c>
      <c r="S5" s="3103" t="s">
        <v>4086</v>
      </c>
    </row>
    <row r="6" spans="1:19" ht="18" customHeight="1">
      <c r="A6" s="3083" t="s">
        <v>4087</v>
      </c>
      <c r="B6" s="3095" t="s">
        <v>4082</v>
      </c>
      <c r="C6" s="3096" t="s">
        <v>74</v>
      </c>
      <c r="D6" s="3097"/>
      <c r="E6" s="3097">
        <v>14344</v>
      </c>
      <c r="F6" s="3099">
        <v>18166</v>
      </c>
      <c r="G6" s="3091">
        <v>18328</v>
      </c>
      <c r="H6" s="3086">
        <v>19415</v>
      </c>
      <c r="I6" s="3091">
        <v>23448</v>
      </c>
      <c r="J6" s="3091">
        <v>25704</v>
      </c>
      <c r="K6" s="3086">
        <v>31942</v>
      </c>
      <c r="L6" s="3091">
        <v>40687</v>
      </c>
      <c r="M6" s="3091">
        <v>41213</v>
      </c>
      <c r="N6" s="3091">
        <v>35693</v>
      </c>
      <c r="O6" s="3091">
        <v>39457</v>
      </c>
      <c r="P6" s="3104" t="s">
        <v>4088</v>
      </c>
      <c r="Q6" s="3105" t="s">
        <v>4089</v>
      </c>
      <c r="R6" s="3105" t="s">
        <v>4090</v>
      </c>
      <c r="S6" s="3106" t="s">
        <v>4091</v>
      </c>
    </row>
    <row r="7" spans="1:19" ht="18" customHeight="1">
      <c r="A7" s="3083" t="s">
        <v>4092</v>
      </c>
      <c r="B7" s="3107" t="s">
        <v>4082</v>
      </c>
      <c r="C7" s="3108" t="s">
        <v>1301</v>
      </c>
      <c r="D7" s="3109">
        <v>2.1</v>
      </c>
      <c r="E7" s="3109">
        <v>10.199999999999999</v>
      </c>
      <c r="F7" s="3110">
        <v>4.5999999999999996</v>
      </c>
      <c r="G7" s="3111">
        <v>1.6</v>
      </c>
      <c r="H7" s="3111">
        <v>6.3</v>
      </c>
      <c r="I7" s="3110">
        <v>4.3</v>
      </c>
      <c r="J7" s="3110">
        <v>2.7</v>
      </c>
      <c r="K7" s="3112">
        <v>5.6</v>
      </c>
      <c r="L7" s="3110">
        <v>5.7</v>
      </c>
      <c r="M7" s="3110">
        <v>5.5</v>
      </c>
      <c r="N7" s="3110">
        <v>3.1</v>
      </c>
      <c r="O7" s="3110">
        <v>4.2</v>
      </c>
      <c r="P7" s="3110">
        <v>3.6</v>
      </c>
      <c r="Q7" s="3111">
        <v>3.4</v>
      </c>
      <c r="R7" s="3113" t="s">
        <v>4093</v>
      </c>
      <c r="S7" s="3114" t="s">
        <v>4094</v>
      </c>
    </row>
    <row r="8" spans="1:19" ht="18" customHeight="1">
      <c r="A8" s="3083" t="s">
        <v>4095</v>
      </c>
      <c r="B8" s="3107" t="s">
        <v>4082</v>
      </c>
      <c r="C8" s="3108" t="s">
        <v>74</v>
      </c>
      <c r="D8" s="3115">
        <v>108075</v>
      </c>
      <c r="E8" s="3115">
        <v>122410</v>
      </c>
      <c r="F8" s="3115">
        <v>134392</v>
      </c>
      <c r="G8" s="3116">
        <v>145055</v>
      </c>
      <c r="H8" s="3116">
        <v>162291</v>
      </c>
      <c r="I8" s="3115">
        <v>180908</v>
      </c>
      <c r="J8" s="3115">
        <v>191393</v>
      </c>
      <c r="K8" s="3117">
        <v>213444</v>
      </c>
      <c r="L8" s="3115">
        <v>243998</v>
      </c>
      <c r="M8" s="3118">
        <v>274316</v>
      </c>
      <c r="N8" s="3115">
        <v>282354</v>
      </c>
      <c r="O8" s="3115">
        <v>299173</v>
      </c>
      <c r="P8" s="3118" t="s">
        <v>4096</v>
      </c>
      <c r="Q8" s="3116">
        <v>343835</v>
      </c>
      <c r="R8" s="3119" t="s">
        <v>4097</v>
      </c>
      <c r="S8" s="3120" t="s">
        <v>4098</v>
      </c>
    </row>
    <row r="9" spans="1:19" ht="18" customHeight="1">
      <c r="A9" s="3083" t="s">
        <v>4099</v>
      </c>
      <c r="B9" s="3107" t="s">
        <v>4082</v>
      </c>
      <c r="C9" s="3108" t="s">
        <v>74</v>
      </c>
      <c r="D9" s="3115">
        <v>107482</v>
      </c>
      <c r="E9" s="3115">
        <v>121890</v>
      </c>
      <c r="F9" s="3121">
        <v>133893</v>
      </c>
      <c r="G9" s="3116">
        <v>144468</v>
      </c>
      <c r="H9" s="3116">
        <v>160451</v>
      </c>
      <c r="I9" s="3115">
        <v>180041</v>
      </c>
      <c r="J9" s="3115">
        <v>190214</v>
      </c>
      <c r="K9" s="3117">
        <v>212583</v>
      </c>
      <c r="L9" s="3115">
        <v>249577</v>
      </c>
      <c r="M9" s="3115">
        <v>276389</v>
      </c>
      <c r="N9" s="3115">
        <v>281021</v>
      </c>
      <c r="O9" s="3115">
        <v>302775</v>
      </c>
      <c r="P9" s="3122" t="s">
        <v>4100</v>
      </c>
      <c r="Q9" s="3116" t="s">
        <v>4101</v>
      </c>
      <c r="R9" s="3119" t="s">
        <v>4102</v>
      </c>
      <c r="S9" s="3120" t="s">
        <v>4103</v>
      </c>
    </row>
    <row r="10" spans="1:19" ht="18" customHeight="1">
      <c r="A10" s="3123" t="s">
        <v>4104</v>
      </c>
      <c r="B10" s="3107" t="s">
        <v>4105</v>
      </c>
      <c r="C10" s="3108" t="s">
        <v>3025</v>
      </c>
      <c r="D10" s="3115">
        <v>91440</v>
      </c>
      <c r="E10" s="3115">
        <v>102673</v>
      </c>
      <c r="F10" s="3121">
        <v>111561</v>
      </c>
      <c r="G10" s="3116">
        <v>119348</v>
      </c>
      <c r="H10" s="3116">
        <v>131183</v>
      </c>
      <c r="I10" s="3115">
        <v>145938</v>
      </c>
      <c r="J10" s="3115">
        <v>152961</v>
      </c>
      <c r="K10" s="3117">
        <v>169661</v>
      </c>
      <c r="L10" s="3115">
        <v>197967</v>
      </c>
      <c r="M10" s="3115">
        <v>217826</v>
      </c>
      <c r="N10" s="3115">
        <v>220354</v>
      </c>
      <c r="O10" s="3115">
        <v>236319</v>
      </c>
      <c r="P10" s="3118" t="s">
        <v>4106</v>
      </c>
      <c r="Q10" s="3116" t="s">
        <v>4107</v>
      </c>
      <c r="R10" s="3119" t="s">
        <v>4108</v>
      </c>
      <c r="S10" s="3120" t="s">
        <v>4109</v>
      </c>
    </row>
    <row r="11" spans="1:19" ht="18" customHeight="1">
      <c r="A11" s="3083" t="s">
        <v>4110</v>
      </c>
      <c r="B11" s="3095" t="s">
        <v>4111</v>
      </c>
      <c r="C11" s="3096" t="s">
        <v>1301</v>
      </c>
      <c r="D11" s="3124">
        <v>7.9</v>
      </c>
      <c r="E11" s="3125">
        <v>5.3</v>
      </c>
      <c r="F11" s="3126">
        <v>4.4000000000000004</v>
      </c>
      <c r="G11" s="3124">
        <v>6.3</v>
      </c>
      <c r="H11" s="3127">
        <v>5.0999999999999996</v>
      </c>
      <c r="I11" s="3127">
        <v>3.9</v>
      </c>
      <c r="J11" s="3125">
        <v>5.6</v>
      </c>
      <c r="K11" s="3124">
        <v>5.0999999999999996</v>
      </c>
      <c r="L11" s="3128">
        <v>10.7</v>
      </c>
      <c r="M11" s="3128">
        <v>8.8000000000000007</v>
      </c>
      <c r="N11" s="3128">
        <v>6.9</v>
      </c>
      <c r="O11" s="3128">
        <v>1.7</v>
      </c>
      <c r="P11" s="3128">
        <v>5.0999999999999996</v>
      </c>
      <c r="Q11" s="3129">
        <v>5.0999999999999996</v>
      </c>
      <c r="R11" s="3130">
        <v>3.6</v>
      </c>
      <c r="S11" s="3131" t="s">
        <v>4080</v>
      </c>
    </row>
    <row r="12" spans="1:19" ht="18" customHeight="1">
      <c r="A12" s="3083" t="s">
        <v>4112</v>
      </c>
      <c r="B12" s="3095" t="s">
        <v>4105</v>
      </c>
      <c r="C12" s="3096" t="s">
        <v>1301</v>
      </c>
      <c r="D12" s="3125">
        <v>6.9</v>
      </c>
      <c r="E12" s="3125">
        <v>4.2</v>
      </c>
      <c r="F12" s="3125">
        <v>5.4</v>
      </c>
      <c r="G12" s="3125">
        <v>6.4</v>
      </c>
      <c r="H12" s="3132">
        <v>3.9</v>
      </c>
      <c r="I12" s="3132">
        <v>4.7</v>
      </c>
      <c r="J12" s="3125">
        <v>4.9000000000000004</v>
      </c>
      <c r="K12" s="3129">
        <v>8.9</v>
      </c>
      <c r="L12" s="3128">
        <v>8.8000000000000007</v>
      </c>
      <c r="M12" s="3128">
        <v>9.6999999999999993</v>
      </c>
      <c r="N12" s="3128">
        <v>2.5</v>
      </c>
      <c r="O12" s="3128">
        <v>2.9</v>
      </c>
      <c r="P12" s="3128">
        <v>6.5</v>
      </c>
      <c r="Q12" s="3129">
        <v>3.9</v>
      </c>
      <c r="R12" s="3133">
        <v>3.5</v>
      </c>
      <c r="S12" s="3134" t="s">
        <v>4080</v>
      </c>
    </row>
    <row r="13" spans="1:19" ht="18" customHeight="1">
      <c r="A13" s="3083" t="s">
        <v>4113</v>
      </c>
      <c r="B13" s="3095" t="s">
        <v>4105</v>
      </c>
      <c r="C13" s="3096" t="s">
        <v>1301</v>
      </c>
      <c r="D13" s="3124">
        <v>7.7</v>
      </c>
      <c r="E13" s="3128">
        <v>6.5</v>
      </c>
      <c r="F13" s="3126">
        <v>6.8</v>
      </c>
      <c r="G13" s="3125">
        <v>7.2</v>
      </c>
      <c r="H13" s="3124">
        <v>7.7</v>
      </c>
      <c r="I13" s="3128">
        <v>8.4</v>
      </c>
      <c r="J13" s="3128">
        <v>9.6</v>
      </c>
      <c r="K13" s="3135">
        <v>9.1</v>
      </c>
      <c r="L13" s="3128">
        <v>8.5</v>
      </c>
      <c r="M13" s="3128">
        <v>7.2</v>
      </c>
      <c r="N13" s="3128">
        <v>7.3</v>
      </c>
      <c r="O13" s="3128">
        <v>7.8</v>
      </c>
      <c r="P13" s="3110">
        <v>7.8</v>
      </c>
      <c r="Q13" s="3111">
        <v>8</v>
      </c>
      <c r="R13" s="3119" t="s">
        <v>4114</v>
      </c>
      <c r="S13" s="3120" t="s">
        <v>4115</v>
      </c>
    </row>
    <row r="14" spans="1:19" ht="18" customHeight="1">
      <c r="A14" s="3083" t="s">
        <v>4116</v>
      </c>
      <c r="B14" s="3095" t="s">
        <v>4111</v>
      </c>
      <c r="C14" s="3096" t="s">
        <v>74</v>
      </c>
      <c r="D14" s="3136">
        <v>-1622</v>
      </c>
      <c r="E14" s="3098">
        <v>-1451</v>
      </c>
      <c r="F14" s="3137">
        <v>4255</v>
      </c>
      <c r="G14" s="3138" t="s">
        <v>4117</v>
      </c>
      <c r="H14" s="3138" t="s">
        <v>4118</v>
      </c>
      <c r="I14" s="3138" t="s">
        <v>4119</v>
      </c>
      <c r="J14" s="3139" t="s">
        <v>4120</v>
      </c>
      <c r="K14" s="3140" t="s">
        <v>4121</v>
      </c>
      <c r="L14" s="3139" t="s">
        <v>4122</v>
      </c>
      <c r="M14" s="3139" t="s">
        <v>4123</v>
      </c>
      <c r="N14" s="3139" t="s">
        <v>4124</v>
      </c>
      <c r="O14" s="3139" t="s">
        <v>4125</v>
      </c>
      <c r="P14" s="3141" t="s">
        <v>4126</v>
      </c>
      <c r="Q14" s="3142" t="s">
        <v>4127</v>
      </c>
      <c r="R14" s="3142" t="s">
        <v>4128</v>
      </c>
      <c r="S14" s="3143" t="s">
        <v>4080</v>
      </c>
    </row>
    <row r="15" spans="1:19" ht="18" customHeight="1">
      <c r="A15" s="3083" t="s">
        <v>4129</v>
      </c>
      <c r="B15" s="3095" t="s">
        <v>4105</v>
      </c>
      <c r="C15" s="3096" t="s">
        <v>74</v>
      </c>
      <c r="D15" s="3136">
        <v>-3128</v>
      </c>
      <c r="E15" s="3098">
        <v>-899</v>
      </c>
      <c r="F15" s="3137">
        <v>8038</v>
      </c>
      <c r="G15" s="3138" t="s">
        <v>4130</v>
      </c>
      <c r="H15" s="3138" t="s">
        <v>4131</v>
      </c>
      <c r="I15" s="3138" t="s">
        <v>4132</v>
      </c>
      <c r="J15" s="3139" t="s">
        <v>4133</v>
      </c>
      <c r="K15" s="3140" t="s">
        <v>4134</v>
      </c>
      <c r="L15" s="3104" t="s">
        <v>4135</v>
      </c>
      <c r="M15" s="3144">
        <v>-27633</v>
      </c>
      <c r="N15" s="3104">
        <v>-20836</v>
      </c>
      <c r="O15" s="3104" t="s">
        <v>4136</v>
      </c>
      <c r="P15" s="3144" t="s">
        <v>4137</v>
      </c>
      <c r="Q15" s="3145" t="s">
        <v>4138</v>
      </c>
      <c r="R15" s="3142" t="s">
        <v>4139</v>
      </c>
      <c r="S15" s="3143" t="s">
        <v>4080</v>
      </c>
    </row>
    <row r="16" spans="1:19" ht="18" customHeight="1">
      <c r="A16" s="3083" t="s">
        <v>4140</v>
      </c>
      <c r="B16" s="3095" t="s">
        <v>4141</v>
      </c>
      <c r="C16" s="3096" t="s">
        <v>74</v>
      </c>
      <c r="D16" s="3146">
        <v>690</v>
      </c>
      <c r="E16" s="3147">
        <v>2141</v>
      </c>
      <c r="F16" s="3137">
        <v>4482</v>
      </c>
      <c r="G16" s="3147">
        <v>5908</v>
      </c>
      <c r="H16" s="3147">
        <v>9099</v>
      </c>
      <c r="I16" s="3147">
        <v>3225</v>
      </c>
      <c r="J16" s="3139" t="s">
        <v>4142</v>
      </c>
      <c r="K16" s="3140" t="s">
        <v>4143</v>
      </c>
      <c r="L16" s="3147">
        <v>6603</v>
      </c>
      <c r="M16" s="3147">
        <v>9110</v>
      </c>
      <c r="N16" s="3147">
        <v>2484</v>
      </c>
      <c r="O16" s="3138" t="s">
        <v>4144</v>
      </c>
      <c r="P16" s="3138" t="s">
        <v>4145</v>
      </c>
      <c r="Q16" s="3148" t="s">
        <v>4146</v>
      </c>
      <c r="R16" s="3148" t="s">
        <v>4147</v>
      </c>
      <c r="S16" s="3143" t="s">
        <v>4080</v>
      </c>
    </row>
    <row r="17" spans="1:21" ht="18" customHeight="1">
      <c r="A17" s="3083" t="s">
        <v>4148</v>
      </c>
      <c r="B17" s="3095" t="s">
        <v>4105</v>
      </c>
      <c r="C17" s="3096" t="s">
        <v>74</v>
      </c>
      <c r="D17" s="3146">
        <v>4803</v>
      </c>
      <c r="E17" s="3147">
        <v>6415</v>
      </c>
      <c r="F17" s="3136">
        <v>-1314</v>
      </c>
      <c r="G17" s="3147">
        <v>10198</v>
      </c>
      <c r="H17" s="3147">
        <v>6205</v>
      </c>
      <c r="I17" s="3147" t="s">
        <v>4149</v>
      </c>
      <c r="J17" s="3139" t="s">
        <v>4150</v>
      </c>
      <c r="K17" s="3089">
        <v>-4573</v>
      </c>
      <c r="L17" s="3147">
        <v>13880</v>
      </c>
      <c r="M17" s="3147">
        <v>4624</v>
      </c>
      <c r="N17" s="3147">
        <v>12103</v>
      </c>
      <c r="O17" s="3138" t="s">
        <v>4151</v>
      </c>
      <c r="P17" s="3138" t="s">
        <v>4152</v>
      </c>
      <c r="Q17" s="3148" t="s">
        <v>4153</v>
      </c>
      <c r="R17" s="3148" t="s">
        <v>4154</v>
      </c>
      <c r="S17" s="3143" t="s">
        <v>4080</v>
      </c>
    </row>
    <row r="18" spans="1:21" ht="18" customHeight="1">
      <c r="A18" s="3083" t="s">
        <v>4155</v>
      </c>
      <c r="B18" s="3095" t="s">
        <v>4156</v>
      </c>
      <c r="C18" s="3096" t="s">
        <v>74</v>
      </c>
      <c r="D18" s="3149">
        <v>26051</v>
      </c>
      <c r="E18" s="3150">
        <v>25214</v>
      </c>
      <c r="F18" s="3151">
        <v>31760</v>
      </c>
      <c r="G18" s="3091"/>
      <c r="H18" s="3091">
        <v>40430</v>
      </c>
      <c r="I18" s="3091">
        <v>44243</v>
      </c>
      <c r="J18" s="3089">
        <v>43715</v>
      </c>
      <c r="K18" s="3089">
        <v>42997</v>
      </c>
      <c r="L18" s="3091">
        <v>53091</v>
      </c>
      <c r="M18" s="3091">
        <v>57361</v>
      </c>
      <c r="N18" s="3152">
        <v>63938</v>
      </c>
      <c r="O18" s="3100">
        <v>70085</v>
      </c>
      <c r="P18" s="3153">
        <v>81507</v>
      </c>
      <c r="Q18" s="3153">
        <v>86671</v>
      </c>
      <c r="R18" s="3153">
        <v>105040</v>
      </c>
      <c r="S18" s="3154">
        <v>121424.1</v>
      </c>
    </row>
    <row r="19" spans="1:21" ht="18" customHeight="1">
      <c r="A19" s="3083" t="s">
        <v>4157</v>
      </c>
      <c r="B19" s="3095" t="s">
        <v>4082</v>
      </c>
      <c r="C19" s="3096" t="s">
        <v>74</v>
      </c>
      <c r="D19" s="3091">
        <v>56629</v>
      </c>
      <c r="E19" s="3099">
        <v>55048</v>
      </c>
      <c r="F19" s="3091">
        <v>57940</v>
      </c>
      <c r="G19" s="3091">
        <v>64608</v>
      </c>
      <c r="H19" s="3091">
        <v>65942</v>
      </c>
      <c r="I19" s="3089">
        <v>76387</v>
      </c>
      <c r="J19" s="3089">
        <v>93282</v>
      </c>
      <c r="K19" s="3089">
        <v>115502</v>
      </c>
      <c r="L19" s="3091">
        <v>121037</v>
      </c>
      <c r="M19" s="3091">
        <v>132165</v>
      </c>
      <c r="N19" s="3100">
        <v>118444</v>
      </c>
      <c r="O19" s="3101" t="s">
        <v>4158</v>
      </c>
      <c r="P19" s="3101" t="s">
        <v>4159</v>
      </c>
      <c r="Q19" s="3102" t="s">
        <v>4160</v>
      </c>
      <c r="R19" s="3102" t="s">
        <v>4161</v>
      </c>
      <c r="S19" s="3103" t="s">
        <v>4162</v>
      </c>
    </row>
    <row r="20" spans="1:21" ht="18" customHeight="1">
      <c r="A20" s="3083" t="s">
        <v>4163</v>
      </c>
      <c r="B20" s="3095" t="s">
        <v>4082</v>
      </c>
      <c r="C20" s="3096" t="s">
        <v>74</v>
      </c>
      <c r="D20" s="3091">
        <v>40025</v>
      </c>
      <c r="E20" s="3099">
        <v>38845</v>
      </c>
      <c r="F20" s="3091">
        <v>47511</v>
      </c>
      <c r="G20" s="3091">
        <v>53893</v>
      </c>
      <c r="H20" s="3091">
        <v>53022</v>
      </c>
      <c r="I20" s="3089">
        <v>54905</v>
      </c>
      <c r="J20" s="3089">
        <v>63219</v>
      </c>
      <c r="K20" s="3089">
        <v>74037</v>
      </c>
      <c r="L20" s="3091">
        <v>69708</v>
      </c>
      <c r="M20" s="3091">
        <v>67970</v>
      </c>
      <c r="N20" s="3100">
        <v>61681</v>
      </c>
      <c r="O20" s="3101" t="s">
        <v>4164</v>
      </c>
      <c r="P20" s="3101" t="s">
        <v>4165</v>
      </c>
      <c r="Q20" s="3102" t="s">
        <v>4166</v>
      </c>
      <c r="R20" s="3102" t="s">
        <v>4167</v>
      </c>
      <c r="S20" s="3103" t="s">
        <v>4168</v>
      </c>
    </row>
    <row r="21" spans="1:21" ht="18" customHeight="1">
      <c r="A21" s="3083" t="s">
        <v>4169</v>
      </c>
      <c r="B21" s="3095" t="s">
        <v>4170</v>
      </c>
      <c r="C21" s="3096" t="s">
        <v>1301</v>
      </c>
      <c r="D21" s="3155">
        <v>-3.6</v>
      </c>
      <c r="E21" s="3155">
        <v>-3.8</v>
      </c>
      <c r="F21" s="3155">
        <v>-6.7</v>
      </c>
      <c r="G21" s="3155">
        <v>-6.1</v>
      </c>
      <c r="H21" s="3156">
        <v>-6.2</v>
      </c>
      <c r="I21" s="3128">
        <v>-5.4</v>
      </c>
      <c r="J21" s="3128">
        <v>-5</v>
      </c>
      <c r="K21" s="3157" t="s">
        <v>4171</v>
      </c>
      <c r="L21" s="3158" t="s">
        <v>4172</v>
      </c>
      <c r="M21" s="3158" t="s">
        <v>4173</v>
      </c>
      <c r="N21" s="3158" t="s">
        <v>4174</v>
      </c>
      <c r="O21" s="3158" t="s">
        <v>4175</v>
      </c>
      <c r="P21" s="3159" t="s">
        <v>4176</v>
      </c>
      <c r="Q21" s="3160" t="s">
        <v>4177</v>
      </c>
      <c r="R21" s="3161" t="s">
        <v>4178</v>
      </c>
      <c r="S21" s="3162" t="s">
        <v>4179</v>
      </c>
    </row>
    <row r="22" spans="1:21" ht="18" customHeight="1">
      <c r="A22" s="3083" t="s">
        <v>4180</v>
      </c>
      <c r="B22" s="3095" t="s">
        <v>4181</v>
      </c>
      <c r="C22" s="3096" t="s">
        <v>74</v>
      </c>
      <c r="D22" s="3149">
        <v>10193</v>
      </c>
      <c r="E22" s="3098">
        <v>10190</v>
      </c>
      <c r="F22" s="3097">
        <v>7168</v>
      </c>
      <c r="G22" s="3097">
        <v>8785</v>
      </c>
      <c r="H22" s="3136">
        <v>9074</v>
      </c>
      <c r="I22" s="3091">
        <v>8445</v>
      </c>
      <c r="J22" s="3091">
        <v>9906</v>
      </c>
      <c r="K22" s="3089">
        <v>9255</v>
      </c>
      <c r="L22" s="3091">
        <v>14207</v>
      </c>
      <c r="M22" s="3104">
        <v>13152</v>
      </c>
      <c r="N22" s="3091">
        <v>21617</v>
      </c>
      <c r="O22" s="3091">
        <v>26791</v>
      </c>
      <c r="P22" s="3091">
        <v>31351</v>
      </c>
      <c r="Q22" s="3089">
        <v>35918</v>
      </c>
      <c r="R22" s="3102" t="s">
        <v>4182</v>
      </c>
      <c r="S22" s="3103" t="s">
        <v>4080</v>
      </c>
    </row>
    <row r="23" spans="1:21" ht="18" customHeight="1">
      <c r="A23" s="3083" t="s">
        <v>4183</v>
      </c>
      <c r="B23" s="3095" t="s">
        <v>4181</v>
      </c>
      <c r="C23" s="3096" t="s">
        <v>74</v>
      </c>
      <c r="D23" s="3150">
        <v>40819</v>
      </c>
      <c r="E23" s="3098">
        <v>46641</v>
      </c>
      <c r="F23" s="3098">
        <v>53394</v>
      </c>
      <c r="G23" s="3098">
        <v>67095</v>
      </c>
      <c r="H23" s="3098">
        <v>86413</v>
      </c>
      <c r="I23" s="3098">
        <v>85002</v>
      </c>
      <c r="J23" s="3091">
        <v>96584</v>
      </c>
      <c r="K23" s="3091">
        <v>104829</v>
      </c>
      <c r="L23" s="3091">
        <v>108668</v>
      </c>
      <c r="M23" s="3091">
        <v>109836</v>
      </c>
      <c r="N23" s="3091">
        <v>125644</v>
      </c>
      <c r="O23" s="3091">
        <v>128557</v>
      </c>
      <c r="P23" s="3091">
        <v>137219</v>
      </c>
      <c r="Q23" s="3089">
        <v>140806</v>
      </c>
      <c r="R23" s="3102" t="s">
        <v>4184</v>
      </c>
      <c r="S23" s="3103" t="s">
        <v>4080</v>
      </c>
    </row>
    <row r="24" spans="1:21" ht="18" customHeight="1">
      <c r="A24" s="3163" t="s">
        <v>4185</v>
      </c>
      <c r="B24" s="3164" t="s">
        <v>4156</v>
      </c>
      <c r="C24" s="3096" t="s">
        <v>74</v>
      </c>
      <c r="D24" s="3149">
        <v>60106</v>
      </c>
      <c r="E24" s="3150">
        <v>67271</v>
      </c>
      <c r="F24" s="3151">
        <v>74016</v>
      </c>
      <c r="G24" s="3150">
        <v>79976</v>
      </c>
      <c r="H24" s="3149">
        <v>88424</v>
      </c>
      <c r="I24" s="3091">
        <v>98358</v>
      </c>
      <c r="J24" s="3086">
        <v>105066</v>
      </c>
      <c r="K24" s="3089">
        <v>119471</v>
      </c>
      <c r="L24" s="3165">
        <v>131381</v>
      </c>
      <c r="M24" s="3166">
        <v>155847</v>
      </c>
      <c r="N24" s="3167">
        <v>182681</v>
      </c>
      <c r="O24" s="3167">
        <v>197817</v>
      </c>
      <c r="P24" s="3167">
        <v>216575.2</v>
      </c>
      <c r="Q24" s="3168">
        <v>239760.3</v>
      </c>
      <c r="R24" s="3168">
        <v>258853</v>
      </c>
      <c r="S24" s="3169">
        <v>268044.96930909937</v>
      </c>
    </row>
    <row r="25" spans="1:21" ht="18" customHeight="1">
      <c r="A25" s="3163" t="s">
        <v>4186</v>
      </c>
      <c r="B25" s="3164" t="s">
        <v>4111</v>
      </c>
      <c r="C25" s="3096" t="s">
        <v>1301</v>
      </c>
      <c r="D25" s="3170">
        <v>20.399999999999999</v>
      </c>
      <c r="E25" s="3171">
        <v>11.9</v>
      </c>
      <c r="F25" s="3172">
        <v>10</v>
      </c>
      <c r="G25" s="3171">
        <v>8.1</v>
      </c>
      <c r="H25" s="3170">
        <v>5.3</v>
      </c>
      <c r="I25" s="3155">
        <v>11.2</v>
      </c>
      <c r="J25" s="3135">
        <v>12.8</v>
      </c>
      <c r="K25" s="3129">
        <v>13.7</v>
      </c>
      <c r="L25" s="3173">
        <v>10</v>
      </c>
      <c r="M25" s="3173">
        <v>18.600000000000001</v>
      </c>
      <c r="N25" s="3174">
        <v>17.2</v>
      </c>
      <c r="O25" s="3174">
        <v>8.3000000000000007</v>
      </c>
      <c r="P25" s="3174">
        <v>9.5</v>
      </c>
      <c r="Q25" s="3175">
        <v>10.7</v>
      </c>
      <c r="R25" s="3176">
        <v>8</v>
      </c>
      <c r="S25" s="3177">
        <f>((S24-R24)/R24)*100</f>
        <v>3.5510383534667818</v>
      </c>
      <c r="T25" s="3178"/>
      <c r="U25" s="3178"/>
    </row>
    <row r="26" spans="1:21" ht="18" customHeight="1">
      <c r="A26" s="3163" t="s">
        <v>4187</v>
      </c>
      <c r="B26" s="3164" t="s">
        <v>4156</v>
      </c>
      <c r="C26" s="3096" t="s">
        <v>74</v>
      </c>
      <c r="D26" s="3149"/>
      <c r="E26" s="3150"/>
      <c r="F26" s="3151"/>
      <c r="G26" s="3150"/>
      <c r="H26" s="3149">
        <v>9267</v>
      </c>
      <c r="I26" s="3091">
        <v>10652</v>
      </c>
      <c r="J26" s="3089">
        <v>9649</v>
      </c>
      <c r="K26" s="3089">
        <v>10432</v>
      </c>
      <c r="L26" s="3165">
        <v>11597</v>
      </c>
      <c r="M26" s="3166">
        <v>12746</v>
      </c>
      <c r="N26" s="3167">
        <v>14683</v>
      </c>
      <c r="O26" s="3167">
        <v>15905</v>
      </c>
      <c r="P26" s="3167">
        <v>17517</v>
      </c>
      <c r="Q26" s="3168">
        <v>19014</v>
      </c>
      <c r="R26" s="3168">
        <v>20523</v>
      </c>
      <c r="S26" s="3179">
        <v>21684.992832060678</v>
      </c>
    </row>
    <row r="27" spans="1:21" ht="18" customHeight="1">
      <c r="A27" s="3163" t="s">
        <v>4188</v>
      </c>
      <c r="B27" s="3164" t="s">
        <v>4156</v>
      </c>
      <c r="C27" s="3096" t="s">
        <v>74</v>
      </c>
      <c r="D27" s="3150">
        <v>67323</v>
      </c>
      <c r="E27" s="3150">
        <v>75522</v>
      </c>
      <c r="F27" s="3150">
        <v>79869</v>
      </c>
      <c r="G27" s="3098">
        <v>90439</v>
      </c>
      <c r="H27" s="3098">
        <v>108206</v>
      </c>
      <c r="I27" s="3091">
        <v>118109</v>
      </c>
      <c r="J27" s="3091">
        <v>121212</v>
      </c>
      <c r="K27" s="3091">
        <v>135159</v>
      </c>
      <c r="L27" s="3165">
        <v>147474</v>
      </c>
      <c r="M27" s="3165">
        <v>174329.61935208185</v>
      </c>
      <c r="N27" s="3167">
        <v>195724</v>
      </c>
      <c r="O27" s="3167">
        <v>215938</v>
      </c>
      <c r="P27" s="3167">
        <v>228885</v>
      </c>
      <c r="Q27" s="3168">
        <v>248767</v>
      </c>
      <c r="R27" s="3168">
        <v>266664</v>
      </c>
      <c r="S27" s="3169">
        <v>292500</v>
      </c>
    </row>
    <row r="28" spans="1:21" ht="18" customHeight="1">
      <c r="A28" s="3163" t="s">
        <v>4189</v>
      </c>
      <c r="B28" s="3164" t="s">
        <v>4156</v>
      </c>
      <c r="C28" s="3096" t="s">
        <v>74</v>
      </c>
      <c r="D28" s="3149"/>
      <c r="E28" s="3150"/>
      <c r="F28" s="3150"/>
      <c r="G28" s="3150"/>
      <c r="H28" s="3136">
        <v>149565</v>
      </c>
      <c r="I28" s="3089">
        <v>177761</v>
      </c>
      <c r="J28" s="3091">
        <v>185870</v>
      </c>
      <c r="K28" s="3086">
        <v>198415</v>
      </c>
      <c r="L28" s="3165">
        <v>215408</v>
      </c>
      <c r="M28" s="3166">
        <v>252007</v>
      </c>
      <c r="N28" s="3167">
        <v>283613</v>
      </c>
      <c r="O28" s="3167">
        <v>286853</v>
      </c>
      <c r="P28" s="3167">
        <v>306228</v>
      </c>
      <c r="Q28" s="3168">
        <v>327851</v>
      </c>
      <c r="R28" s="3168">
        <v>351376</v>
      </c>
      <c r="S28" s="3169">
        <v>378456.25837457663</v>
      </c>
    </row>
    <row r="29" spans="1:21" ht="18" customHeight="1">
      <c r="A29" s="3163" t="s">
        <v>4190</v>
      </c>
      <c r="B29" s="3164" t="s">
        <v>4111</v>
      </c>
      <c r="C29" s="3096" t="s">
        <v>1301</v>
      </c>
      <c r="D29" s="3149"/>
      <c r="E29" s="3150"/>
      <c r="F29" s="3150"/>
      <c r="G29" s="3150"/>
      <c r="H29" s="3150"/>
      <c r="I29" s="3156">
        <v>18.899999999999999</v>
      </c>
      <c r="J29" s="3155">
        <v>13.6</v>
      </c>
      <c r="K29" s="3180">
        <v>6.7</v>
      </c>
      <c r="L29" s="3181">
        <v>8.6</v>
      </c>
      <c r="M29" s="3181">
        <v>17</v>
      </c>
      <c r="N29" s="3174">
        <v>12.5</v>
      </c>
      <c r="O29" s="3182">
        <v>1.1000000000000001</v>
      </c>
      <c r="P29" s="3182">
        <v>6.8</v>
      </c>
      <c r="Q29" s="3176">
        <v>7.1</v>
      </c>
      <c r="R29" s="3176">
        <v>7.2</v>
      </c>
      <c r="S29" s="3177">
        <f>((S28-R28)/R28)*100</f>
        <v>7.706917482860705</v>
      </c>
      <c r="T29" s="3178"/>
      <c r="U29" s="3178"/>
    </row>
    <row r="30" spans="1:21" ht="18" customHeight="1">
      <c r="A30" s="3163" t="s">
        <v>4191</v>
      </c>
      <c r="B30" s="3164" t="s">
        <v>4156</v>
      </c>
      <c r="C30" s="3096" t="s">
        <v>74</v>
      </c>
      <c r="D30" s="3149"/>
      <c r="E30" s="3150"/>
      <c r="F30" s="3150"/>
      <c r="G30" s="3150"/>
      <c r="H30" s="3136">
        <v>109933</v>
      </c>
      <c r="I30" s="3089">
        <v>122849</v>
      </c>
      <c r="J30" s="3091">
        <v>128383</v>
      </c>
      <c r="K30" s="3086">
        <v>150061</v>
      </c>
      <c r="L30" s="3165">
        <v>168207</v>
      </c>
      <c r="M30" s="3166">
        <v>205532.56642720546</v>
      </c>
      <c r="N30" s="3167">
        <v>225439</v>
      </c>
      <c r="O30" s="3167">
        <v>267574</v>
      </c>
      <c r="P30" s="3167">
        <v>292124</v>
      </c>
      <c r="Q30" s="3168">
        <v>339992</v>
      </c>
      <c r="R30" s="3168">
        <v>371452</v>
      </c>
      <c r="S30" s="3169">
        <v>391977.25670871098</v>
      </c>
      <c r="T30" s="3178"/>
      <c r="U30" s="3178"/>
    </row>
    <row r="31" spans="1:21" ht="18" customHeight="1">
      <c r="A31" s="3163" t="s">
        <v>4192</v>
      </c>
      <c r="B31" s="3164" t="s">
        <v>4111</v>
      </c>
      <c r="C31" s="3096" t="s">
        <v>1301</v>
      </c>
      <c r="D31" s="3149"/>
      <c r="E31" s="3150"/>
      <c r="F31" s="3150"/>
      <c r="G31" s="3150"/>
      <c r="H31" s="3150"/>
      <c r="I31" s="3156">
        <v>11.7</v>
      </c>
      <c r="J31" s="3155">
        <v>10.7</v>
      </c>
      <c r="K31" s="3180">
        <v>16.899999999999999</v>
      </c>
      <c r="L31" s="3181">
        <v>12.1</v>
      </c>
      <c r="M31" s="3181">
        <v>22.2</v>
      </c>
      <c r="N31" s="3174">
        <v>9.6999999999999993</v>
      </c>
      <c r="O31" s="3174">
        <v>18.7</v>
      </c>
      <c r="P31" s="3174">
        <v>9.1999999999999993</v>
      </c>
      <c r="Q31" s="3183">
        <v>16.399999999999999</v>
      </c>
      <c r="R31" s="3183">
        <v>9.3000000000000007</v>
      </c>
      <c r="S31" s="3184">
        <f>((S30-R30)/R30)*100</f>
        <v>5.5256821093199067</v>
      </c>
      <c r="T31" s="3178"/>
      <c r="U31" s="3178"/>
    </row>
    <row r="32" spans="1:21" ht="17.649999999999999" customHeight="1">
      <c r="A32" s="3185"/>
      <c r="B32" s="3095"/>
      <c r="C32" s="3096"/>
      <c r="D32" s="3149"/>
      <c r="E32" s="3150"/>
      <c r="F32" s="3150"/>
      <c r="G32" s="3150"/>
      <c r="H32" s="3150"/>
      <c r="I32" s="3156"/>
      <c r="J32" s="3155"/>
      <c r="K32" s="3180"/>
      <c r="L32" s="3156"/>
      <c r="M32" s="3156"/>
      <c r="N32" s="3186"/>
      <c r="O32" s="3186"/>
      <c r="P32" s="3186"/>
      <c r="Q32" s="3187"/>
      <c r="R32" s="3188"/>
      <c r="S32" s="3189"/>
      <c r="T32" s="3178"/>
      <c r="U32" s="3178"/>
    </row>
    <row r="33" spans="1:19" ht="6" customHeight="1" thickBot="1">
      <c r="A33" s="3190"/>
      <c r="B33" s="3191"/>
      <c r="C33" s="3192"/>
      <c r="D33" s="3193"/>
      <c r="E33" s="3193"/>
      <c r="F33" s="3193"/>
      <c r="G33" s="3193"/>
      <c r="H33" s="3193"/>
      <c r="I33" s="3193"/>
      <c r="J33" s="3194"/>
      <c r="K33" s="3194"/>
      <c r="L33" s="3194"/>
      <c r="M33" s="3194"/>
      <c r="N33" s="3194"/>
      <c r="O33" s="3194"/>
      <c r="P33" s="3194"/>
      <c r="Q33" s="3195"/>
      <c r="R33" s="3195"/>
      <c r="S33" s="3196"/>
    </row>
    <row r="34" spans="1:19" ht="18">
      <c r="A34" s="3197" t="s">
        <v>4193</v>
      </c>
      <c r="B34" s="3198" t="s">
        <v>4194</v>
      </c>
      <c r="C34" s="3197"/>
      <c r="D34" s="3197"/>
      <c r="E34" s="3197"/>
      <c r="F34" s="3197"/>
      <c r="G34" s="3197"/>
      <c r="H34" s="3197"/>
      <c r="I34" s="3197"/>
      <c r="J34" s="3197"/>
      <c r="K34" s="3197"/>
    </row>
    <row r="35" spans="1:19" ht="18">
      <c r="A35" s="3197" t="s">
        <v>4195</v>
      </c>
      <c r="B35" s="3076" t="s">
        <v>4196</v>
      </c>
      <c r="C35" s="3199"/>
      <c r="E35" s="3197"/>
      <c r="J35" s="3076"/>
      <c r="O35" s="3200"/>
      <c r="P35" s="3200"/>
      <c r="Q35" s="3200"/>
      <c r="R35" s="3200"/>
    </row>
    <row r="36" spans="1:19" ht="18">
      <c r="A36" s="3201" t="s">
        <v>4197</v>
      </c>
      <c r="C36" s="3197"/>
      <c r="J36" s="3076"/>
    </row>
    <row r="37" spans="1:19" ht="18">
      <c r="A37" s="3201" t="s">
        <v>4198</v>
      </c>
      <c r="C37" s="3197"/>
      <c r="J37" s="3076"/>
    </row>
    <row r="38" spans="1:19" ht="16.5" customHeight="1">
      <c r="A38" s="3201" t="s">
        <v>4199</v>
      </c>
      <c r="C38" s="3197"/>
      <c r="J38" s="3076"/>
    </row>
    <row r="39" spans="1:19" ht="18">
      <c r="A39" s="3201" t="s">
        <v>4200</v>
      </c>
      <c r="C39" s="3197"/>
      <c r="J39" s="3076"/>
    </row>
    <row r="40" spans="1:19">
      <c r="A40" s="3208" t="s">
        <v>4201</v>
      </c>
      <c r="B40" s="3208"/>
      <c r="C40" s="3208"/>
      <c r="D40" s="3208"/>
      <c r="E40" s="3208"/>
      <c r="F40" s="3208"/>
      <c r="G40" s="3208"/>
      <c r="H40" s="3208"/>
      <c r="I40" s="3208"/>
      <c r="J40" s="3208"/>
      <c r="K40" s="3208"/>
      <c r="L40" s="3208"/>
      <c r="M40" s="3208"/>
      <c r="N40" s="3208"/>
      <c r="O40" s="3208"/>
      <c r="P40" s="3208"/>
      <c r="Q40" s="3208"/>
    </row>
    <row r="41" spans="1:19">
      <c r="A41" s="3202" t="s">
        <v>4202</v>
      </c>
      <c r="B41" s="3203"/>
      <c r="C41" s="3203"/>
      <c r="D41" s="3203"/>
      <c r="E41" s="3203"/>
      <c r="F41" s="3203"/>
      <c r="G41" s="3203"/>
      <c r="H41" s="3203"/>
      <c r="I41" s="3203"/>
      <c r="J41" s="3203"/>
      <c r="K41" s="3203"/>
      <c r="L41" s="3203"/>
      <c r="M41" s="3203"/>
      <c r="N41" s="3203"/>
      <c r="O41" s="3203"/>
      <c r="P41" s="3203"/>
      <c r="Q41" s="3203"/>
    </row>
    <row r="42" spans="1:19">
      <c r="A42" s="3202" t="s">
        <v>4203</v>
      </c>
      <c r="B42" s="3203"/>
      <c r="C42" s="3203"/>
      <c r="D42" s="3203"/>
      <c r="E42" s="3203"/>
      <c r="F42" s="3203"/>
      <c r="G42" s="3203"/>
      <c r="H42" s="3203"/>
      <c r="I42" s="3203"/>
      <c r="J42" s="3203"/>
      <c r="K42" s="3203"/>
      <c r="L42" s="3203"/>
      <c r="M42" s="3203"/>
      <c r="N42" s="3203"/>
      <c r="O42" s="3203"/>
      <c r="P42" s="3203"/>
      <c r="Q42" s="3203"/>
    </row>
    <row r="43" spans="1:19" ht="15.75" thickBot="1">
      <c r="A43" s="3204" t="s">
        <v>4204</v>
      </c>
      <c r="B43" s="3205"/>
      <c r="C43" s="3205"/>
      <c r="D43" s="3203"/>
      <c r="E43" s="3203"/>
      <c r="F43" s="3203"/>
      <c r="G43" s="3203"/>
      <c r="H43" s="3203"/>
      <c r="I43" s="3203"/>
      <c r="J43" s="3203"/>
      <c r="K43" s="3203"/>
      <c r="L43" s="3203"/>
      <c r="M43" s="3203"/>
      <c r="N43" s="3203"/>
      <c r="O43" s="3203"/>
      <c r="P43" s="3203"/>
      <c r="Q43" s="3203"/>
    </row>
    <row r="44" spans="1:19" s="3206" customFormat="1" ht="13.5" customHeight="1">
      <c r="A44" s="3209" t="s">
        <v>4205</v>
      </c>
      <c r="B44" s="3209"/>
      <c r="C44" s="3209"/>
      <c r="D44" s="3209"/>
      <c r="E44" s="3209"/>
      <c r="G44" s="3210" t="s">
        <v>4206</v>
      </c>
      <c r="H44" s="3210"/>
    </row>
    <row r="45" spans="1:19" s="3206" customFormat="1" ht="15.75" customHeight="1">
      <c r="A45" s="3209"/>
      <c r="B45" s="3209"/>
      <c r="C45" s="3209"/>
      <c r="D45" s="3209"/>
      <c r="E45" s="3209"/>
      <c r="G45" s="3211"/>
      <c r="H45" s="3211"/>
    </row>
    <row r="46" spans="1:19" ht="12" customHeight="1">
      <c r="A46" s="3198" t="s">
        <v>4207</v>
      </c>
      <c r="B46" s="3197"/>
      <c r="F46" s="3198"/>
      <c r="G46" s="3198"/>
      <c r="I46" s="3198"/>
      <c r="J46" s="3076"/>
    </row>
    <row r="47" spans="1:19">
      <c r="A47" s="3198" t="s">
        <v>4208</v>
      </c>
      <c r="B47" s="3198"/>
      <c r="F47" s="3198"/>
      <c r="G47" s="3198"/>
      <c r="I47" s="3198"/>
      <c r="J47" s="3076"/>
    </row>
    <row r="48" spans="1:19" ht="18">
      <c r="A48" s="3198" t="s">
        <v>4209</v>
      </c>
      <c r="B48" s="3197"/>
      <c r="F48" s="3198"/>
      <c r="G48" s="3198"/>
      <c r="I48" s="3198"/>
      <c r="J48" s="3076"/>
    </row>
    <row r="49" spans="1:1">
      <c r="A49" s="3207"/>
    </row>
    <row r="50" spans="1:1">
      <c r="A50" s="3207"/>
    </row>
    <row r="51" spans="1:1">
      <c r="A51" s="3207"/>
    </row>
    <row r="52" spans="1:1">
      <c r="A52" s="3207"/>
    </row>
    <row r="53" spans="1:1">
      <c r="A53" s="3207"/>
    </row>
    <row r="54" spans="1:1">
      <c r="A54" s="3207"/>
    </row>
    <row r="55" spans="1:1">
      <c r="A55" s="3207"/>
    </row>
    <row r="56" spans="1:1">
      <c r="A56" s="3207"/>
    </row>
    <row r="57" spans="1:1">
      <c r="A57" s="3207"/>
    </row>
    <row r="58" spans="1:1">
      <c r="A58" s="3207"/>
    </row>
    <row r="59" spans="1:1">
      <c r="A59" s="3207"/>
    </row>
    <row r="60" spans="1:1">
      <c r="A60" s="3207"/>
    </row>
    <row r="61" spans="1:1">
      <c r="A61" s="3207"/>
    </row>
    <row r="62" spans="1:1">
      <c r="A62" s="3207"/>
    </row>
    <row r="63" spans="1:1">
      <c r="A63" s="3207"/>
    </row>
  </sheetData>
  <mergeCells count="3">
    <mergeCell ref="A40:Q40"/>
    <mergeCell ref="A44:E45"/>
    <mergeCell ref="G44:H45"/>
  </mergeCells>
  <printOptions horizontalCentered="1" verticalCentered="1"/>
  <pageMargins left="0" right="0" top="0" bottom="0" header="0" footer="0"/>
  <pageSetup paperSize="9" scale="6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133"/>
  <sheetViews>
    <sheetView zoomScaleNormal="100" workbookViewId="0">
      <selection activeCell="DF3" sqref="DF3"/>
    </sheetView>
  </sheetViews>
  <sheetFormatPr defaultRowHeight="15"/>
  <cols>
    <col min="1" max="1" width="5.85546875" style="546" customWidth="1"/>
    <col min="2" max="2" width="57.28515625" style="546" customWidth="1"/>
    <col min="3" max="26" width="8.140625" style="546" hidden="1" customWidth="1"/>
    <col min="27" max="27" width="8.28515625" style="546" hidden="1" customWidth="1"/>
    <col min="28" max="43" width="8.140625" style="546" hidden="1" customWidth="1"/>
    <col min="44" max="44" width="8" style="546" hidden="1" customWidth="1"/>
    <col min="45" max="53" width="8.140625" style="546" hidden="1" customWidth="1"/>
    <col min="54" max="54" width="8.28515625" style="546" hidden="1" customWidth="1"/>
    <col min="55" max="58" width="8.140625" style="546" hidden="1" customWidth="1"/>
    <col min="59" max="60" width="8" style="546" hidden="1" customWidth="1"/>
    <col min="61" max="62" width="7.85546875" style="546" hidden="1" customWidth="1"/>
    <col min="63" max="65" width="10.7109375" style="546" hidden="1" customWidth="1"/>
    <col min="66" max="66" width="10.42578125" style="546" hidden="1" customWidth="1"/>
    <col min="67" max="96" width="10.7109375" style="546" hidden="1" customWidth="1"/>
    <col min="97" max="98" width="14.28515625" style="546" hidden="1" customWidth="1"/>
    <col min="99" max="111" width="14.28515625" style="546" customWidth="1"/>
    <col min="112" max="256" width="9.140625" style="546"/>
    <col min="257" max="257" width="5.85546875" style="546" customWidth="1"/>
    <col min="258" max="258" width="55.42578125" style="546" bestFit="1" customWidth="1"/>
    <col min="259" max="351" width="0" style="546" hidden="1" customWidth="1"/>
    <col min="352" max="362" width="10.7109375" style="546" customWidth="1"/>
    <col min="363" max="512" width="9.140625" style="546"/>
    <col min="513" max="513" width="5.85546875" style="546" customWidth="1"/>
    <col min="514" max="514" width="55.42578125" style="546" bestFit="1" customWidth="1"/>
    <col min="515" max="607" width="0" style="546" hidden="1" customWidth="1"/>
    <col min="608" max="618" width="10.7109375" style="546" customWidth="1"/>
    <col min="619" max="768" width="9.140625" style="546"/>
    <col min="769" max="769" width="5.85546875" style="546" customWidth="1"/>
    <col min="770" max="770" width="55.42578125" style="546" bestFit="1" customWidth="1"/>
    <col min="771" max="863" width="0" style="546" hidden="1" customWidth="1"/>
    <col min="864" max="874" width="10.7109375" style="546" customWidth="1"/>
    <col min="875" max="1024" width="9.140625" style="546"/>
    <col min="1025" max="1025" width="5.85546875" style="546" customWidth="1"/>
    <col min="1026" max="1026" width="55.42578125" style="546" bestFit="1" customWidth="1"/>
    <col min="1027" max="1119" width="0" style="546" hidden="1" customWidth="1"/>
    <col min="1120" max="1130" width="10.7109375" style="546" customWidth="1"/>
    <col min="1131" max="1280" width="9.140625" style="546"/>
    <col min="1281" max="1281" width="5.85546875" style="546" customWidth="1"/>
    <col min="1282" max="1282" width="55.42578125" style="546" bestFit="1" customWidth="1"/>
    <col min="1283" max="1375" width="0" style="546" hidden="1" customWidth="1"/>
    <col min="1376" max="1386" width="10.7109375" style="546" customWidth="1"/>
    <col min="1387" max="1536" width="9.140625" style="546"/>
    <col min="1537" max="1537" width="5.85546875" style="546" customWidth="1"/>
    <col min="1538" max="1538" width="55.42578125" style="546" bestFit="1" customWidth="1"/>
    <col min="1539" max="1631" width="0" style="546" hidden="1" customWidth="1"/>
    <col min="1632" max="1642" width="10.7109375" style="546" customWidth="1"/>
    <col min="1643" max="1792" width="9.140625" style="546"/>
    <col min="1793" max="1793" width="5.85546875" style="546" customWidth="1"/>
    <col min="1794" max="1794" width="55.42578125" style="546" bestFit="1" customWidth="1"/>
    <col min="1795" max="1887" width="0" style="546" hidden="1" customWidth="1"/>
    <col min="1888" max="1898" width="10.7109375" style="546" customWidth="1"/>
    <col min="1899" max="2048" width="9.140625" style="546"/>
    <col min="2049" max="2049" width="5.85546875" style="546" customWidth="1"/>
    <col min="2050" max="2050" width="55.42578125" style="546" bestFit="1" customWidth="1"/>
    <col min="2051" max="2143" width="0" style="546" hidden="1" customWidth="1"/>
    <col min="2144" max="2154" width="10.7109375" style="546" customWidth="1"/>
    <col min="2155" max="2304" width="9.140625" style="546"/>
    <col min="2305" max="2305" width="5.85546875" style="546" customWidth="1"/>
    <col min="2306" max="2306" width="55.42578125" style="546" bestFit="1" customWidth="1"/>
    <col min="2307" max="2399" width="0" style="546" hidden="1" customWidth="1"/>
    <col min="2400" max="2410" width="10.7109375" style="546" customWidth="1"/>
    <col min="2411" max="2560" width="9.140625" style="546"/>
    <col min="2561" max="2561" width="5.85546875" style="546" customWidth="1"/>
    <col min="2562" max="2562" width="55.42578125" style="546" bestFit="1" customWidth="1"/>
    <col min="2563" max="2655" width="0" style="546" hidden="1" customWidth="1"/>
    <col min="2656" max="2666" width="10.7109375" style="546" customWidth="1"/>
    <col min="2667" max="2816" width="9.140625" style="546"/>
    <col min="2817" max="2817" width="5.85546875" style="546" customWidth="1"/>
    <col min="2818" max="2818" width="55.42578125" style="546" bestFit="1" customWidth="1"/>
    <col min="2819" max="2911" width="0" style="546" hidden="1" customWidth="1"/>
    <col min="2912" max="2922" width="10.7109375" style="546" customWidth="1"/>
    <col min="2923" max="3072" width="9.140625" style="546"/>
    <col min="3073" max="3073" width="5.85546875" style="546" customWidth="1"/>
    <col min="3074" max="3074" width="55.42578125" style="546" bestFit="1" customWidth="1"/>
    <col min="3075" max="3167" width="0" style="546" hidden="1" customWidth="1"/>
    <col min="3168" max="3178" width="10.7109375" style="546" customWidth="1"/>
    <col min="3179" max="3328" width="9.140625" style="546"/>
    <col min="3329" max="3329" width="5.85546875" style="546" customWidth="1"/>
    <col min="3330" max="3330" width="55.42578125" style="546" bestFit="1" customWidth="1"/>
    <col min="3331" max="3423" width="0" style="546" hidden="1" customWidth="1"/>
    <col min="3424" max="3434" width="10.7109375" style="546" customWidth="1"/>
    <col min="3435" max="3584" width="9.140625" style="546"/>
    <col min="3585" max="3585" width="5.85546875" style="546" customWidth="1"/>
    <col min="3586" max="3586" width="55.42578125" style="546" bestFit="1" customWidth="1"/>
    <col min="3587" max="3679" width="0" style="546" hidden="1" customWidth="1"/>
    <col min="3680" max="3690" width="10.7109375" style="546" customWidth="1"/>
    <col min="3691" max="3840" width="9.140625" style="546"/>
    <col min="3841" max="3841" width="5.85546875" style="546" customWidth="1"/>
    <col min="3842" max="3842" width="55.42578125" style="546" bestFit="1" customWidth="1"/>
    <col min="3843" max="3935" width="0" style="546" hidden="1" customWidth="1"/>
    <col min="3936" max="3946" width="10.7109375" style="546" customWidth="1"/>
    <col min="3947" max="4096" width="9.140625" style="546"/>
    <col min="4097" max="4097" width="5.85546875" style="546" customWidth="1"/>
    <col min="4098" max="4098" width="55.42578125" style="546" bestFit="1" customWidth="1"/>
    <col min="4099" max="4191" width="0" style="546" hidden="1" customWidth="1"/>
    <col min="4192" max="4202" width="10.7109375" style="546" customWidth="1"/>
    <col min="4203" max="4352" width="9.140625" style="546"/>
    <col min="4353" max="4353" width="5.85546875" style="546" customWidth="1"/>
    <col min="4354" max="4354" width="55.42578125" style="546" bestFit="1" customWidth="1"/>
    <col min="4355" max="4447" width="0" style="546" hidden="1" customWidth="1"/>
    <col min="4448" max="4458" width="10.7109375" style="546" customWidth="1"/>
    <col min="4459" max="4608" width="9.140625" style="546"/>
    <col min="4609" max="4609" width="5.85546875" style="546" customWidth="1"/>
    <col min="4610" max="4610" width="55.42578125" style="546" bestFit="1" customWidth="1"/>
    <col min="4611" max="4703" width="0" style="546" hidden="1" customWidth="1"/>
    <col min="4704" max="4714" width="10.7109375" style="546" customWidth="1"/>
    <col min="4715" max="4864" width="9.140625" style="546"/>
    <col min="4865" max="4865" width="5.85546875" style="546" customWidth="1"/>
    <col min="4866" max="4866" width="55.42578125" style="546" bestFit="1" customWidth="1"/>
    <col min="4867" max="4959" width="0" style="546" hidden="1" customWidth="1"/>
    <col min="4960" max="4970" width="10.7109375" style="546" customWidth="1"/>
    <col min="4971" max="5120" width="9.140625" style="546"/>
    <col min="5121" max="5121" width="5.85546875" style="546" customWidth="1"/>
    <col min="5122" max="5122" width="55.42578125" style="546" bestFit="1" customWidth="1"/>
    <col min="5123" max="5215" width="0" style="546" hidden="1" customWidth="1"/>
    <col min="5216" max="5226" width="10.7109375" style="546" customWidth="1"/>
    <col min="5227" max="5376" width="9.140625" style="546"/>
    <col min="5377" max="5377" width="5.85546875" style="546" customWidth="1"/>
    <col min="5378" max="5378" width="55.42578125" style="546" bestFit="1" customWidth="1"/>
    <col min="5379" max="5471" width="0" style="546" hidden="1" customWidth="1"/>
    <col min="5472" max="5482" width="10.7109375" style="546" customWidth="1"/>
    <col min="5483" max="5632" width="9.140625" style="546"/>
    <col min="5633" max="5633" width="5.85546875" style="546" customWidth="1"/>
    <col min="5634" max="5634" width="55.42578125" style="546" bestFit="1" customWidth="1"/>
    <col min="5635" max="5727" width="0" style="546" hidden="1" customWidth="1"/>
    <col min="5728" max="5738" width="10.7109375" style="546" customWidth="1"/>
    <col min="5739" max="5888" width="9.140625" style="546"/>
    <col min="5889" max="5889" width="5.85546875" style="546" customWidth="1"/>
    <col min="5890" max="5890" width="55.42578125" style="546" bestFit="1" customWidth="1"/>
    <col min="5891" max="5983" width="0" style="546" hidden="1" customWidth="1"/>
    <col min="5984" max="5994" width="10.7109375" style="546" customWidth="1"/>
    <col min="5995" max="6144" width="9.140625" style="546"/>
    <col min="6145" max="6145" width="5.85546875" style="546" customWidth="1"/>
    <col min="6146" max="6146" width="55.42578125" style="546" bestFit="1" customWidth="1"/>
    <col min="6147" max="6239" width="0" style="546" hidden="1" customWidth="1"/>
    <col min="6240" max="6250" width="10.7109375" style="546" customWidth="1"/>
    <col min="6251" max="6400" width="9.140625" style="546"/>
    <col min="6401" max="6401" width="5.85546875" style="546" customWidth="1"/>
    <col min="6402" max="6402" width="55.42578125" style="546" bestFit="1" customWidth="1"/>
    <col min="6403" max="6495" width="0" style="546" hidden="1" customWidth="1"/>
    <col min="6496" max="6506" width="10.7109375" style="546" customWidth="1"/>
    <col min="6507" max="6656" width="9.140625" style="546"/>
    <col min="6657" max="6657" width="5.85546875" style="546" customWidth="1"/>
    <col min="6658" max="6658" width="55.42578125" style="546" bestFit="1" customWidth="1"/>
    <col min="6659" max="6751" width="0" style="546" hidden="1" customWidth="1"/>
    <col min="6752" max="6762" width="10.7109375" style="546" customWidth="1"/>
    <col min="6763" max="6912" width="9.140625" style="546"/>
    <col min="6913" max="6913" width="5.85546875" style="546" customWidth="1"/>
    <col min="6914" max="6914" width="55.42578125" style="546" bestFit="1" customWidth="1"/>
    <col min="6915" max="7007" width="0" style="546" hidden="1" customWidth="1"/>
    <col min="7008" max="7018" width="10.7109375" style="546" customWidth="1"/>
    <col min="7019" max="7168" width="9.140625" style="546"/>
    <col min="7169" max="7169" width="5.85546875" style="546" customWidth="1"/>
    <col min="7170" max="7170" width="55.42578125" style="546" bestFit="1" customWidth="1"/>
    <col min="7171" max="7263" width="0" style="546" hidden="1" customWidth="1"/>
    <col min="7264" max="7274" width="10.7109375" style="546" customWidth="1"/>
    <col min="7275" max="7424" width="9.140625" style="546"/>
    <col min="7425" max="7425" width="5.85546875" style="546" customWidth="1"/>
    <col min="7426" max="7426" width="55.42578125" style="546" bestFit="1" customWidth="1"/>
    <col min="7427" max="7519" width="0" style="546" hidden="1" customWidth="1"/>
    <col min="7520" max="7530" width="10.7109375" style="546" customWidth="1"/>
    <col min="7531" max="7680" width="9.140625" style="546"/>
    <col min="7681" max="7681" width="5.85546875" style="546" customWidth="1"/>
    <col min="7682" max="7682" width="55.42578125" style="546" bestFit="1" customWidth="1"/>
    <col min="7683" max="7775" width="0" style="546" hidden="1" customWidth="1"/>
    <col min="7776" max="7786" width="10.7109375" style="546" customWidth="1"/>
    <col min="7787" max="7936" width="9.140625" style="546"/>
    <col min="7937" max="7937" width="5.85546875" style="546" customWidth="1"/>
    <col min="7938" max="7938" width="55.42578125" style="546" bestFit="1" customWidth="1"/>
    <col min="7939" max="8031" width="0" style="546" hidden="1" customWidth="1"/>
    <col min="8032" max="8042" width="10.7109375" style="546" customWidth="1"/>
    <col min="8043" max="8192" width="9.140625" style="546"/>
    <col min="8193" max="8193" width="5.85546875" style="546" customWidth="1"/>
    <col min="8194" max="8194" width="55.42578125" style="546" bestFit="1" customWidth="1"/>
    <col min="8195" max="8287" width="0" style="546" hidden="1" customWidth="1"/>
    <col min="8288" max="8298" width="10.7109375" style="546" customWidth="1"/>
    <col min="8299" max="8448" width="9.140625" style="546"/>
    <col min="8449" max="8449" width="5.85546875" style="546" customWidth="1"/>
    <col min="8450" max="8450" width="55.42578125" style="546" bestFit="1" customWidth="1"/>
    <col min="8451" max="8543" width="0" style="546" hidden="1" customWidth="1"/>
    <col min="8544" max="8554" width="10.7109375" style="546" customWidth="1"/>
    <col min="8555" max="8704" width="9.140625" style="546"/>
    <col min="8705" max="8705" width="5.85546875" style="546" customWidth="1"/>
    <col min="8706" max="8706" width="55.42578125" style="546" bestFit="1" customWidth="1"/>
    <col min="8707" max="8799" width="0" style="546" hidden="1" customWidth="1"/>
    <col min="8800" max="8810" width="10.7109375" style="546" customWidth="1"/>
    <col min="8811" max="8960" width="9.140625" style="546"/>
    <col min="8961" max="8961" width="5.85546875" style="546" customWidth="1"/>
    <col min="8962" max="8962" width="55.42578125" style="546" bestFit="1" customWidth="1"/>
    <col min="8963" max="9055" width="0" style="546" hidden="1" customWidth="1"/>
    <col min="9056" max="9066" width="10.7109375" style="546" customWidth="1"/>
    <col min="9067" max="9216" width="9.140625" style="546"/>
    <col min="9217" max="9217" width="5.85546875" style="546" customWidth="1"/>
    <col min="9218" max="9218" width="55.42578125" style="546" bestFit="1" customWidth="1"/>
    <col min="9219" max="9311" width="0" style="546" hidden="1" customWidth="1"/>
    <col min="9312" max="9322" width="10.7109375" style="546" customWidth="1"/>
    <col min="9323" max="9472" width="9.140625" style="546"/>
    <col min="9473" max="9473" width="5.85546875" style="546" customWidth="1"/>
    <col min="9474" max="9474" width="55.42578125" style="546" bestFit="1" customWidth="1"/>
    <col min="9475" max="9567" width="0" style="546" hidden="1" customWidth="1"/>
    <col min="9568" max="9578" width="10.7109375" style="546" customWidth="1"/>
    <col min="9579" max="9728" width="9.140625" style="546"/>
    <col min="9729" max="9729" width="5.85546875" style="546" customWidth="1"/>
    <col min="9730" max="9730" width="55.42578125" style="546" bestFit="1" customWidth="1"/>
    <col min="9731" max="9823" width="0" style="546" hidden="1" customWidth="1"/>
    <col min="9824" max="9834" width="10.7109375" style="546" customWidth="1"/>
    <col min="9835" max="9984" width="9.140625" style="546"/>
    <col min="9985" max="9985" width="5.85546875" style="546" customWidth="1"/>
    <col min="9986" max="9986" width="55.42578125" style="546" bestFit="1" customWidth="1"/>
    <col min="9987" max="10079" width="0" style="546" hidden="1" customWidth="1"/>
    <col min="10080" max="10090" width="10.7109375" style="546" customWidth="1"/>
    <col min="10091" max="10240" width="9.140625" style="546"/>
    <col min="10241" max="10241" width="5.85546875" style="546" customWidth="1"/>
    <col min="10242" max="10242" width="55.42578125" style="546" bestFit="1" customWidth="1"/>
    <col min="10243" max="10335" width="0" style="546" hidden="1" customWidth="1"/>
    <col min="10336" max="10346" width="10.7109375" style="546" customWidth="1"/>
    <col min="10347" max="10496" width="9.140625" style="546"/>
    <col min="10497" max="10497" width="5.85546875" style="546" customWidth="1"/>
    <col min="10498" max="10498" width="55.42578125" style="546" bestFit="1" customWidth="1"/>
    <col min="10499" max="10591" width="0" style="546" hidden="1" customWidth="1"/>
    <col min="10592" max="10602" width="10.7109375" style="546" customWidth="1"/>
    <col min="10603" max="10752" width="9.140625" style="546"/>
    <col min="10753" max="10753" width="5.85546875" style="546" customWidth="1"/>
    <col min="10754" max="10754" width="55.42578125" style="546" bestFit="1" customWidth="1"/>
    <col min="10755" max="10847" width="0" style="546" hidden="1" customWidth="1"/>
    <col min="10848" max="10858" width="10.7109375" style="546" customWidth="1"/>
    <col min="10859" max="11008" width="9.140625" style="546"/>
    <col min="11009" max="11009" width="5.85546875" style="546" customWidth="1"/>
    <col min="11010" max="11010" width="55.42578125" style="546" bestFit="1" customWidth="1"/>
    <col min="11011" max="11103" width="0" style="546" hidden="1" customWidth="1"/>
    <col min="11104" max="11114" width="10.7109375" style="546" customWidth="1"/>
    <col min="11115" max="11264" width="9.140625" style="546"/>
    <col min="11265" max="11265" width="5.85546875" style="546" customWidth="1"/>
    <col min="11266" max="11266" width="55.42578125" style="546" bestFit="1" customWidth="1"/>
    <col min="11267" max="11359" width="0" style="546" hidden="1" customWidth="1"/>
    <col min="11360" max="11370" width="10.7109375" style="546" customWidth="1"/>
    <col min="11371" max="11520" width="9.140625" style="546"/>
    <col min="11521" max="11521" width="5.85546875" style="546" customWidth="1"/>
    <col min="11522" max="11522" width="55.42578125" style="546" bestFit="1" customWidth="1"/>
    <col min="11523" max="11615" width="0" style="546" hidden="1" customWidth="1"/>
    <col min="11616" max="11626" width="10.7109375" style="546" customWidth="1"/>
    <col min="11627" max="11776" width="9.140625" style="546"/>
    <col min="11777" max="11777" width="5.85546875" style="546" customWidth="1"/>
    <col min="11778" max="11778" width="55.42578125" style="546" bestFit="1" customWidth="1"/>
    <col min="11779" max="11871" width="0" style="546" hidden="1" customWidth="1"/>
    <col min="11872" max="11882" width="10.7109375" style="546" customWidth="1"/>
    <col min="11883" max="12032" width="9.140625" style="546"/>
    <col min="12033" max="12033" width="5.85546875" style="546" customWidth="1"/>
    <col min="12034" max="12034" width="55.42578125" style="546" bestFit="1" customWidth="1"/>
    <col min="12035" max="12127" width="0" style="546" hidden="1" customWidth="1"/>
    <col min="12128" max="12138" width="10.7109375" style="546" customWidth="1"/>
    <col min="12139" max="12288" width="9.140625" style="546"/>
    <col min="12289" max="12289" width="5.85546875" style="546" customWidth="1"/>
    <col min="12290" max="12290" width="55.42578125" style="546" bestFit="1" customWidth="1"/>
    <col min="12291" max="12383" width="0" style="546" hidden="1" customWidth="1"/>
    <col min="12384" max="12394" width="10.7109375" style="546" customWidth="1"/>
    <col min="12395" max="12544" width="9.140625" style="546"/>
    <col min="12545" max="12545" width="5.85546875" style="546" customWidth="1"/>
    <col min="12546" max="12546" width="55.42578125" style="546" bestFit="1" customWidth="1"/>
    <col min="12547" max="12639" width="0" style="546" hidden="1" customWidth="1"/>
    <col min="12640" max="12650" width="10.7109375" style="546" customWidth="1"/>
    <col min="12651" max="12800" width="9.140625" style="546"/>
    <col min="12801" max="12801" width="5.85546875" style="546" customWidth="1"/>
    <col min="12802" max="12802" width="55.42578125" style="546" bestFit="1" customWidth="1"/>
    <col min="12803" max="12895" width="0" style="546" hidden="1" customWidth="1"/>
    <col min="12896" max="12906" width="10.7109375" style="546" customWidth="1"/>
    <col min="12907" max="13056" width="9.140625" style="546"/>
    <col min="13057" max="13057" width="5.85546875" style="546" customWidth="1"/>
    <col min="13058" max="13058" width="55.42578125" style="546" bestFit="1" customWidth="1"/>
    <col min="13059" max="13151" width="0" style="546" hidden="1" customWidth="1"/>
    <col min="13152" max="13162" width="10.7109375" style="546" customWidth="1"/>
    <col min="13163" max="13312" width="9.140625" style="546"/>
    <col min="13313" max="13313" width="5.85546875" style="546" customWidth="1"/>
    <col min="13314" max="13314" width="55.42578125" style="546" bestFit="1" customWidth="1"/>
    <col min="13315" max="13407" width="0" style="546" hidden="1" customWidth="1"/>
    <col min="13408" max="13418" width="10.7109375" style="546" customWidth="1"/>
    <col min="13419" max="13568" width="9.140625" style="546"/>
    <col min="13569" max="13569" width="5.85546875" style="546" customWidth="1"/>
    <col min="13570" max="13570" width="55.42578125" style="546" bestFit="1" customWidth="1"/>
    <col min="13571" max="13663" width="0" style="546" hidden="1" customWidth="1"/>
    <col min="13664" max="13674" width="10.7109375" style="546" customWidth="1"/>
    <col min="13675" max="13824" width="9.140625" style="546"/>
    <col min="13825" max="13825" width="5.85546875" style="546" customWidth="1"/>
    <col min="13826" max="13826" width="55.42578125" style="546" bestFit="1" customWidth="1"/>
    <col min="13827" max="13919" width="0" style="546" hidden="1" customWidth="1"/>
    <col min="13920" max="13930" width="10.7109375" style="546" customWidth="1"/>
    <col min="13931" max="14080" width="9.140625" style="546"/>
    <col min="14081" max="14081" width="5.85546875" style="546" customWidth="1"/>
    <col min="14082" max="14082" width="55.42578125" style="546" bestFit="1" customWidth="1"/>
    <col min="14083" max="14175" width="0" style="546" hidden="1" customWidth="1"/>
    <col min="14176" max="14186" width="10.7109375" style="546" customWidth="1"/>
    <col min="14187" max="14336" width="9.140625" style="546"/>
    <col min="14337" max="14337" width="5.85546875" style="546" customWidth="1"/>
    <col min="14338" max="14338" width="55.42578125" style="546" bestFit="1" customWidth="1"/>
    <col min="14339" max="14431" width="0" style="546" hidden="1" customWidth="1"/>
    <col min="14432" max="14442" width="10.7109375" style="546" customWidth="1"/>
    <col min="14443" max="14592" width="9.140625" style="546"/>
    <col min="14593" max="14593" width="5.85546875" style="546" customWidth="1"/>
    <col min="14594" max="14594" width="55.42578125" style="546" bestFit="1" customWidth="1"/>
    <col min="14595" max="14687" width="0" style="546" hidden="1" customWidth="1"/>
    <col min="14688" max="14698" width="10.7109375" style="546" customWidth="1"/>
    <col min="14699" max="14848" width="9.140625" style="546"/>
    <col min="14849" max="14849" width="5.85546875" style="546" customWidth="1"/>
    <col min="14850" max="14850" width="55.42578125" style="546" bestFit="1" customWidth="1"/>
    <col min="14851" max="14943" width="0" style="546" hidden="1" customWidth="1"/>
    <col min="14944" max="14954" width="10.7109375" style="546" customWidth="1"/>
    <col min="14955" max="15104" width="9.140625" style="546"/>
    <col min="15105" max="15105" width="5.85546875" style="546" customWidth="1"/>
    <col min="15106" max="15106" width="55.42578125" style="546" bestFit="1" customWidth="1"/>
    <col min="15107" max="15199" width="0" style="546" hidden="1" customWidth="1"/>
    <col min="15200" max="15210" width="10.7109375" style="546" customWidth="1"/>
    <col min="15211" max="15360" width="9.140625" style="546"/>
    <col min="15361" max="15361" width="5.85546875" style="546" customWidth="1"/>
    <col min="15362" max="15362" width="55.42578125" style="546" bestFit="1" customWidth="1"/>
    <col min="15363" max="15455" width="0" style="546" hidden="1" customWidth="1"/>
    <col min="15456" max="15466" width="10.7109375" style="546" customWidth="1"/>
    <col min="15467" max="15616" width="9.140625" style="546"/>
    <col min="15617" max="15617" width="5.85546875" style="546" customWidth="1"/>
    <col min="15618" max="15618" width="55.42578125" style="546" bestFit="1" customWidth="1"/>
    <col min="15619" max="15711" width="0" style="546" hidden="1" customWidth="1"/>
    <col min="15712" max="15722" width="10.7109375" style="546" customWidth="1"/>
    <col min="15723" max="15872" width="9.140625" style="546"/>
    <col min="15873" max="15873" width="5.85546875" style="546" customWidth="1"/>
    <col min="15874" max="15874" width="55.42578125" style="546" bestFit="1" customWidth="1"/>
    <col min="15875" max="15967" width="0" style="546" hidden="1" customWidth="1"/>
    <col min="15968" max="15978" width="10.7109375" style="546" customWidth="1"/>
    <col min="15979" max="16128" width="9.140625" style="546"/>
    <col min="16129" max="16129" width="5.85546875" style="546" customWidth="1"/>
    <col min="16130" max="16130" width="55.42578125" style="546" bestFit="1" customWidth="1"/>
    <col min="16131" max="16223" width="0" style="546" hidden="1" customWidth="1"/>
    <col min="16224" max="16234" width="10.7109375" style="546" customWidth="1"/>
    <col min="16235" max="16384" width="9.140625" style="546"/>
  </cols>
  <sheetData>
    <row r="1" spans="1:111" ht="18.75">
      <c r="A1" s="486" t="s">
        <v>467</v>
      </c>
      <c r="B1" s="487"/>
      <c r="C1" s="597"/>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598"/>
      <c r="AE1" s="598"/>
      <c r="AF1" s="598"/>
      <c r="AG1" s="598"/>
      <c r="AH1" s="598"/>
      <c r="AI1" s="598"/>
      <c r="AJ1" s="598"/>
      <c r="AK1" s="598"/>
      <c r="AL1" s="598"/>
      <c r="AM1" s="598"/>
      <c r="AN1" s="598"/>
      <c r="AO1" s="598"/>
      <c r="AP1" s="598"/>
      <c r="AQ1" s="598"/>
      <c r="AR1" s="598"/>
      <c r="AS1" s="598"/>
      <c r="AT1" s="598"/>
      <c r="AU1" s="598"/>
      <c r="AV1" s="598"/>
      <c r="AW1" s="598"/>
      <c r="AX1" s="598"/>
      <c r="AY1" s="598"/>
      <c r="AZ1" s="598"/>
      <c r="BA1" s="598"/>
      <c r="BB1" s="598"/>
      <c r="BC1" s="598"/>
      <c r="BD1" s="598"/>
      <c r="BE1" s="598"/>
      <c r="BF1" s="598"/>
      <c r="BG1" s="598"/>
      <c r="BH1" s="598"/>
      <c r="BI1" s="598"/>
      <c r="BJ1" s="598"/>
      <c r="BK1" s="598"/>
      <c r="BL1" s="598"/>
      <c r="BM1" s="598"/>
      <c r="BN1" s="598"/>
      <c r="BO1" s="598"/>
      <c r="BP1" s="598"/>
      <c r="BQ1" s="598"/>
      <c r="BR1" s="598"/>
      <c r="BS1" s="598"/>
      <c r="BT1" s="598"/>
      <c r="BU1" s="598"/>
      <c r="BV1" s="598"/>
      <c r="BW1" s="598"/>
      <c r="BX1" s="598"/>
      <c r="BY1" s="598"/>
      <c r="BZ1" s="598"/>
      <c r="CA1" s="598"/>
      <c r="CB1" s="598"/>
      <c r="CC1" s="598"/>
      <c r="CD1" s="598"/>
      <c r="CE1" s="598"/>
      <c r="CF1" s="598"/>
      <c r="CG1" s="598"/>
      <c r="CH1" s="598"/>
      <c r="CI1" s="598"/>
      <c r="CJ1" s="598"/>
      <c r="CK1" s="598"/>
      <c r="CL1" s="598"/>
      <c r="CM1" s="598"/>
      <c r="CN1" s="598"/>
      <c r="CO1" s="598"/>
      <c r="CP1" s="598"/>
      <c r="CQ1" s="598"/>
      <c r="CR1" s="598"/>
      <c r="CS1" s="598"/>
      <c r="CT1" s="598"/>
      <c r="CU1" s="598"/>
      <c r="CV1" s="598"/>
      <c r="CW1" s="598"/>
      <c r="CX1" s="598"/>
    </row>
    <row r="2" spans="1:111" hidden="1">
      <c r="A2" s="547"/>
      <c r="B2" s="548"/>
      <c r="C2" s="549"/>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row>
    <row r="3" spans="1:111" ht="15.75" thickBot="1">
      <c r="A3" s="489"/>
      <c r="B3" s="489"/>
      <c r="C3" s="403"/>
      <c r="D3" s="403"/>
      <c r="E3" s="403"/>
      <c r="F3" s="403"/>
      <c r="G3" s="403"/>
      <c r="H3" s="403"/>
      <c r="I3" s="403"/>
      <c r="J3" s="403"/>
      <c r="K3" s="403"/>
      <c r="L3" s="403"/>
      <c r="M3" s="403"/>
      <c r="N3" s="403"/>
      <c r="O3" s="403"/>
      <c r="P3" s="403"/>
      <c r="Q3" s="403"/>
      <c r="R3" s="403"/>
      <c r="S3" s="403"/>
      <c r="T3" s="403"/>
      <c r="V3" s="403"/>
      <c r="W3" s="403"/>
      <c r="X3" s="403"/>
      <c r="Y3" s="403"/>
      <c r="Z3" s="403"/>
      <c r="AA3" s="403"/>
      <c r="AB3" s="403"/>
      <c r="AC3" s="403"/>
      <c r="AG3" s="406"/>
      <c r="AN3" s="3215"/>
      <c r="AO3" s="3215"/>
      <c r="AQ3" s="3215"/>
      <c r="AR3" s="3215"/>
      <c r="AS3" s="3215"/>
      <c r="AT3" s="3215"/>
      <c r="AU3" s="3215"/>
      <c r="AV3" s="3215"/>
      <c r="AZ3" s="3215"/>
      <c r="BA3" s="3215"/>
      <c r="BB3" s="3215"/>
      <c r="BC3" s="3215"/>
      <c r="BI3" s="3215"/>
      <c r="BJ3" s="3215"/>
      <c r="BM3" s="405"/>
      <c r="BN3" s="405"/>
      <c r="BO3" s="405"/>
      <c r="BP3" s="3215"/>
      <c r="BQ3" s="3215"/>
      <c r="BR3" s="405"/>
      <c r="BV3" s="599"/>
      <c r="BW3" s="600"/>
      <c r="BX3" s="600"/>
      <c r="BY3" s="600"/>
      <c r="BZ3" s="600"/>
      <c r="CA3" s="600"/>
      <c r="CB3" s="600"/>
      <c r="CC3" s="600"/>
      <c r="CD3" s="600"/>
      <c r="CE3" s="600"/>
      <c r="CF3" s="600"/>
      <c r="CG3" s="600"/>
      <c r="CH3" s="600"/>
      <c r="CI3" s="600"/>
      <c r="CJ3" s="600"/>
      <c r="CK3" s="600"/>
      <c r="CL3" s="600"/>
      <c r="CM3" s="600"/>
      <c r="CN3" s="600"/>
      <c r="CO3" s="600"/>
      <c r="CP3" s="600"/>
      <c r="CQ3" s="600"/>
      <c r="CR3" s="600"/>
      <c r="CS3" s="600"/>
      <c r="CT3" s="600"/>
      <c r="CU3" s="600"/>
      <c r="CV3" s="600"/>
      <c r="CW3" s="600"/>
      <c r="CY3" s="600"/>
      <c r="CZ3" s="600"/>
      <c r="DA3" s="600"/>
      <c r="DE3" s="601"/>
      <c r="DF3" s="601"/>
      <c r="DG3" s="601" t="s">
        <v>74</v>
      </c>
    </row>
    <row r="4" spans="1:111" ht="25.5" customHeight="1" thickTop="1" thickBot="1">
      <c r="A4" s="491" t="s">
        <v>401</v>
      </c>
      <c r="B4" s="492" t="s">
        <v>402</v>
      </c>
      <c r="C4" s="495">
        <v>38504</v>
      </c>
      <c r="D4" s="495">
        <v>38534</v>
      </c>
      <c r="E4" s="495">
        <v>38565</v>
      </c>
      <c r="F4" s="553">
        <v>38596</v>
      </c>
      <c r="G4" s="495">
        <v>38626</v>
      </c>
      <c r="H4" s="554">
        <v>38657</v>
      </c>
      <c r="I4" s="495">
        <v>38687</v>
      </c>
      <c r="J4" s="495">
        <v>38718</v>
      </c>
      <c r="K4" s="495">
        <v>38749</v>
      </c>
      <c r="L4" s="495">
        <v>38777</v>
      </c>
      <c r="M4" s="553">
        <v>38808</v>
      </c>
      <c r="N4" s="495">
        <v>38838</v>
      </c>
      <c r="O4" s="495">
        <v>38869</v>
      </c>
      <c r="P4" s="495">
        <v>38899</v>
      </c>
      <c r="Q4" s="495">
        <v>38930</v>
      </c>
      <c r="R4" s="495">
        <v>38961</v>
      </c>
      <c r="S4" s="495">
        <v>38991</v>
      </c>
      <c r="T4" s="495">
        <v>39022</v>
      </c>
      <c r="U4" s="495">
        <v>39052</v>
      </c>
      <c r="V4" s="495">
        <v>39083</v>
      </c>
      <c r="W4" s="495">
        <v>39114</v>
      </c>
      <c r="X4" s="495">
        <v>39142</v>
      </c>
      <c r="Y4" s="495">
        <v>39173</v>
      </c>
      <c r="Z4" s="495">
        <v>39203</v>
      </c>
      <c r="AA4" s="495">
        <v>39234</v>
      </c>
      <c r="AB4" s="495">
        <v>39264</v>
      </c>
      <c r="AC4" s="495">
        <v>39295</v>
      </c>
      <c r="AD4" s="554">
        <v>39326</v>
      </c>
      <c r="AE4" s="495">
        <v>39356</v>
      </c>
      <c r="AF4" s="495">
        <v>39387</v>
      </c>
      <c r="AG4" s="495">
        <v>39417</v>
      </c>
      <c r="AH4" s="495">
        <v>39448</v>
      </c>
      <c r="AI4" s="495">
        <v>39479</v>
      </c>
      <c r="AJ4" s="495">
        <v>39508</v>
      </c>
      <c r="AK4" s="495">
        <v>39539</v>
      </c>
      <c r="AL4" s="495">
        <v>39569</v>
      </c>
      <c r="AM4" s="495">
        <v>39600</v>
      </c>
      <c r="AN4" s="495">
        <v>39630</v>
      </c>
      <c r="AO4" s="554">
        <v>39661</v>
      </c>
      <c r="AP4" s="495">
        <v>39692</v>
      </c>
      <c r="AQ4" s="495">
        <v>39722</v>
      </c>
      <c r="AR4" s="495">
        <v>39753</v>
      </c>
      <c r="AS4" s="495">
        <v>39783</v>
      </c>
      <c r="AT4" s="495">
        <v>39814</v>
      </c>
      <c r="AU4" s="495">
        <v>39845</v>
      </c>
      <c r="AV4" s="495">
        <v>39873</v>
      </c>
      <c r="AW4" s="495">
        <v>39904</v>
      </c>
      <c r="AX4" s="495">
        <v>39934</v>
      </c>
      <c r="AY4" s="495">
        <v>39965</v>
      </c>
      <c r="AZ4" s="495">
        <v>39995</v>
      </c>
      <c r="BA4" s="495">
        <v>40026</v>
      </c>
      <c r="BB4" s="495">
        <v>40057</v>
      </c>
      <c r="BC4" s="495">
        <v>40087</v>
      </c>
      <c r="BD4" s="495">
        <v>40118</v>
      </c>
      <c r="BE4" s="495">
        <v>40148</v>
      </c>
      <c r="BF4" s="495">
        <v>40179</v>
      </c>
      <c r="BG4" s="495">
        <v>40210</v>
      </c>
      <c r="BH4" s="495">
        <v>40238</v>
      </c>
      <c r="BI4" s="495">
        <v>40269</v>
      </c>
      <c r="BJ4" s="495">
        <v>40299</v>
      </c>
      <c r="BK4" s="495">
        <v>40330</v>
      </c>
      <c r="BL4" s="495">
        <v>40360</v>
      </c>
      <c r="BM4" s="495">
        <v>40391</v>
      </c>
      <c r="BN4" s="495">
        <v>40422</v>
      </c>
      <c r="BO4" s="495">
        <v>40452</v>
      </c>
      <c r="BP4" s="495">
        <v>40483</v>
      </c>
      <c r="BQ4" s="495">
        <v>40513</v>
      </c>
      <c r="BR4" s="495">
        <v>40544</v>
      </c>
      <c r="BS4" s="495">
        <v>40575</v>
      </c>
      <c r="BT4" s="495">
        <v>40603</v>
      </c>
      <c r="BU4" s="495">
        <v>40634</v>
      </c>
      <c r="BV4" s="495">
        <v>40664</v>
      </c>
      <c r="BW4" s="495">
        <v>40695</v>
      </c>
      <c r="BX4" s="495">
        <v>40725</v>
      </c>
      <c r="BY4" s="495">
        <v>40756</v>
      </c>
      <c r="BZ4" s="495">
        <v>40787</v>
      </c>
      <c r="CA4" s="495">
        <v>40817</v>
      </c>
      <c r="CB4" s="495">
        <v>40848</v>
      </c>
      <c r="CC4" s="495">
        <v>40878</v>
      </c>
      <c r="CD4" s="495">
        <v>40909</v>
      </c>
      <c r="CE4" s="495">
        <v>40940</v>
      </c>
      <c r="CF4" s="495">
        <v>40969</v>
      </c>
      <c r="CG4" s="495">
        <v>41000</v>
      </c>
      <c r="CH4" s="495">
        <v>41030</v>
      </c>
      <c r="CI4" s="495">
        <v>41061</v>
      </c>
      <c r="CJ4" s="495">
        <v>41091</v>
      </c>
      <c r="CK4" s="495">
        <v>41122</v>
      </c>
      <c r="CL4" s="495">
        <v>41153</v>
      </c>
      <c r="CM4" s="495">
        <v>41183</v>
      </c>
      <c r="CN4" s="495">
        <v>41214</v>
      </c>
      <c r="CO4" s="495">
        <v>41244</v>
      </c>
      <c r="CP4" s="495">
        <v>41275</v>
      </c>
      <c r="CQ4" s="495">
        <v>41306</v>
      </c>
      <c r="CR4" s="495">
        <v>41334</v>
      </c>
      <c r="CS4" s="495">
        <v>41365</v>
      </c>
      <c r="CT4" s="495">
        <v>41395</v>
      </c>
      <c r="CU4" s="495">
        <v>41426</v>
      </c>
      <c r="CV4" s="495">
        <v>41456</v>
      </c>
      <c r="CW4" s="495">
        <v>41487</v>
      </c>
      <c r="CX4" s="495">
        <v>41518</v>
      </c>
      <c r="CY4" s="495">
        <v>41548</v>
      </c>
      <c r="CZ4" s="495">
        <v>41579</v>
      </c>
      <c r="DA4" s="495">
        <v>41609</v>
      </c>
      <c r="DB4" s="495">
        <v>41640</v>
      </c>
      <c r="DC4" s="493">
        <v>41671</v>
      </c>
      <c r="DD4" s="493">
        <v>41699</v>
      </c>
      <c r="DE4" s="493">
        <v>41730</v>
      </c>
      <c r="DF4" s="493">
        <v>41760</v>
      </c>
      <c r="DG4" s="493">
        <v>41791</v>
      </c>
    </row>
    <row r="5" spans="1:111" ht="15.75" thickTop="1">
      <c r="A5" s="602"/>
      <c r="B5" s="603"/>
      <c r="C5" s="604"/>
      <c r="D5" s="604"/>
      <c r="E5" s="604"/>
      <c r="F5" s="455"/>
      <c r="G5" s="604"/>
      <c r="H5" s="605"/>
      <c r="I5" s="604"/>
      <c r="J5" s="604"/>
      <c r="K5" s="604"/>
      <c r="L5" s="604"/>
      <c r="M5" s="455"/>
      <c r="N5" s="604"/>
      <c r="O5" s="604"/>
      <c r="P5" s="604"/>
      <c r="Q5" s="604"/>
      <c r="R5" s="604"/>
      <c r="S5" s="604"/>
      <c r="T5" s="604"/>
      <c r="U5" s="604"/>
      <c r="V5" s="604"/>
      <c r="W5" s="604"/>
      <c r="X5" s="604"/>
      <c r="Y5" s="604"/>
      <c r="Z5" s="604"/>
      <c r="AA5" s="604"/>
      <c r="AB5" s="604"/>
      <c r="AC5" s="604"/>
      <c r="AD5" s="605"/>
      <c r="AE5" s="604"/>
      <c r="AF5" s="604"/>
      <c r="AG5" s="604"/>
      <c r="AH5" s="604"/>
      <c r="AI5" s="604"/>
      <c r="AJ5" s="604"/>
      <c r="AK5" s="604"/>
      <c r="AL5" s="604"/>
      <c r="AM5" s="604"/>
      <c r="AN5" s="604"/>
      <c r="AO5" s="605"/>
      <c r="AP5" s="606"/>
      <c r="AQ5" s="606"/>
      <c r="AR5" s="604"/>
      <c r="AS5" s="604"/>
      <c r="AT5" s="604"/>
      <c r="AU5" s="604"/>
      <c r="AV5" s="604"/>
      <c r="AW5" s="604"/>
      <c r="AX5" s="604"/>
      <c r="AY5" s="604"/>
      <c r="AZ5" s="604"/>
      <c r="BA5" s="604"/>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c r="CU5" s="607"/>
      <c r="CV5" s="607"/>
      <c r="CW5" s="607"/>
      <c r="CX5" s="607"/>
      <c r="CY5" s="607"/>
      <c r="CZ5" s="607"/>
      <c r="DA5" s="607"/>
      <c r="DB5" s="607"/>
      <c r="DC5" s="608"/>
      <c r="DD5" s="608"/>
      <c r="DE5" s="608"/>
      <c r="DF5" s="608"/>
      <c r="DG5" s="608"/>
    </row>
    <row r="6" spans="1:111" ht="17.45" customHeight="1">
      <c r="A6" s="505" t="s">
        <v>403</v>
      </c>
      <c r="B6" s="506" t="s">
        <v>404</v>
      </c>
      <c r="C6" s="561">
        <v>0</v>
      </c>
      <c r="D6" s="561">
        <v>0</v>
      </c>
      <c r="E6" s="561">
        <v>0</v>
      </c>
      <c r="F6" s="562">
        <v>0</v>
      </c>
      <c r="G6" s="561">
        <v>0</v>
      </c>
      <c r="H6" s="563">
        <v>0</v>
      </c>
      <c r="I6" s="561">
        <v>0</v>
      </c>
      <c r="J6" s="561">
        <v>0</v>
      </c>
      <c r="K6" s="561">
        <v>0</v>
      </c>
      <c r="L6" s="561">
        <v>0</v>
      </c>
      <c r="M6" s="562">
        <v>0</v>
      </c>
      <c r="N6" s="561">
        <v>0</v>
      </c>
      <c r="O6" s="561">
        <v>0</v>
      </c>
      <c r="P6" s="561">
        <v>0</v>
      </c>
      <c r="Q6" s="561">
        <v>0</v>
      </c>
      <c r="R6" s="561">
        <v>0</v>
      </c>
      <c r="S6" s="561">
        <v>0</v>
      </c>
      <c r="T6" s="561">
        <v>0</v>
      </c>
      <c r="U6" s="561">
        <v>0</v>
      </c>
      <c r="V6" s="561">
        <v>0</v>
      </c>
      <c r="W6" s="561">
        <v>0</v>
      </c>
      <c r="X6" s="561">
        <v>0</v>
      </c>
      <c r="Y6" s="561">
        <v>0</v>
      </c>
      <c r="Z6" s="561">
        <v>0</v>
      </c>
      <c r="AA6" s="561">
        <v>0</v>
      </c>
      <c r="AB6" s="561">
        <v>0</v>
      </c>
      <c r="AC6" s="561">
        <v>0</v>
      </c>
      <c r="AD6" s="563">
        <v>0</v>
      </c>
      <c r="AE6" s="561">
        <v>0</v>
      </c>
      <c r="AF6" s="561">
        <v>0</v>
      </c>
      <c r="AG6" s="561">
        <v>0</v>
      </c>
      <c r="AH6" s="561">
        <v>0</v>
      </c>
      <c r="AI6" s="561">
        <v>0</v>
      </c>
      <c r="AJ6" s="561">
        <v>0</v>
      </c>
      <c r="AK6" s="561">
        <v>0</v>
      </c>
      <c r="AL6" s="561">
        <v>0</v>
      </c>
      <c r="AM6" s="561">
        <v>0</v>
      </c>
      <c r="AN6" s="561">
        <v>0</v>
      </c>
      <c r="AO6" s="563">
        <v>0</v>
      </c>
      <c r="AP6" s="561">
        <v>0</v>
      </c>
      <c r="AQ6" s="561">
        <v>0</v>
      </c>
      <c r="AR6" s="561">
        <v>0</v>
      </c>
      <c r="AS6" s="561">
        <v>0</v>
      </c>
      <c r="AT6" s="561">
        <v>0</v>
      </c>
      <c r="AU6" s="561">
        <v>0</v>
      </c>
      <c r="AV6" s="561">
        <v>0</v>
      </c>
      <c r="AW6" s="561">
        <v>0</v>
      </c>
      <c r="AX6" s="561">
        <v>0</v>
      </c>
      <c r="AY6" s="561">
        <v>0</v>
      </c>
      <c r="AZ6" s="561">
        <v>0</v>
      </c>
      <c r="BA6" s="561">
        <v>0</v>
      </c>
      <c r="BB6" s="561">
        <v>0</v>
      </c>
      <c r="BC6" s="561">
        <v>0</v>
      </c>
      <c r="BD6" s="561">
        <v>0</v>
      </c>
      <c r="BE6" s="561">
        <v>0</v>
      </c>
      <c r="BF6" s="561">
        <v>0</v>
      </c>
      <c r="BG6" s="561">
        <v>0</v>
      </c>
      <c r="BH6" s="561">
        <v>0</v>
      </c>
      <c r="BI6" s="561">
        <v>0</v>
      </c>
      <c r="BJ6" s="561">
        <v>0</v>
      </c>
      <c r="BK6" s="561">
        <v>0</v>
      </c>
      <c r="BL6" s="561">
        <v>0</v>
      </c>
      <c r="BM6" s="561">
        <v>0</v>
      </c>
      <c r="BN6" s="561">
        <v>0</v>
      </c>
      <c r="BO6" s="561">
        <v>0</v>
      </c>
      <c r="BP6" s="561">
        <v>0</v>
      </c>
      <c r="BQ6" s="561">
        <v>0</v>
      </c>
      <c r="BR6" s="561">
        <v>0</v>
      </c>
      <c r="BS6" s="561">
        <v>0</v>
      </c>
      <c r="BT6" s="561">
        <v>0</v>
      </c>
      <c r="BU6" s="561">
        <v>0</v>
      </c>
      <c r="BV6" s="561">
        <v>0</v>
      </c>
      <c r="BW6" s="561">
        <v>0</v>
      </c>
      <c r="BX6" s="561">
        <v>0</v>
      </c>
      <c r="BY6" s="561">
        <v>0</v>
      </c>
      <c r="BZ6" s="561">
        <v>0</v>
      </c>
      <c r="CA6" s="561">
        <v>0</v>
      </c>
      <c r="CB6" s="561">
        <v>0</v>
      </c>
      <c r="CC6" s="561">
        <v>0</v>
      </c>
      <c r="CD6" s="561">
        <v>0</v>
      </c>
      <c r="CE6" s="561">
        <v>0</v>
      </c>
      <c r="CF6" s="561">
        <v>0</v>
      </c>
      <c r="CG6" s="561">
        <v>0</v>
      </c>
      <c r="CH6" s="561">
        <v>0</v>
      </c>
      <c r="CI6" s="561">
        <v>0</v>
      </c>
      <c r="CJ6" s="561">
        <v>0</v>
      </c>
      <c r="CK6" s="561">
        <v>0</v>
      </c>
      <c r="CL6" s="561">
        <v>0</v>
      </c>
      <c r="CM6" s="561">
        <v>0</v>
      </c>
      <c r="CN6" s="561">
        <v>0</v>
      </c>
      <c r="CO6" s="561">
        <v>0</v>
      </c>
      <c r="CP6" s="561">
        <v>0</v>
      </c>
      <c r="CQ6" s="561">
        <v>0</v>
      </c>
      <c r="CR6" s="561">
        <v>0</v>
      </c>
      <c r="CS6" s="561">
        <v>0</v>
      </c>
      <c r="CT6" s="561">
        <v>0</v>
      </c>
      <c r="CU6" s="561">
        <v>0</v>
      </c>
      <c r="CV6" s="561">
        <v>0</v>
      </c>
      <c r="CW6" s="561">
        <v>0</v>
      </c>
      <c r="CX6" s="561">
        <v>0</v>
      </c>
      <c r="CY6" s="561">
        <v>0</v>
      </c>
      <c r="CZ6" s="561">
        <v>0</v>
      </c>
      <c r="DA6" s="561">
        <v>0</v>
      </c>
      <c r="DB6" s="561">
        <v>0</v>
      </c>
      <c r="DC6" s="507">
        <v>0</v>
      </c>
      <c r="DD6" s="507">
        <v>0</v>
      </c>
      <c r="DE6" s="507">
        <v>0</v>
      </c>
      <c r="DF6" s="507">
        <v>0</v>
      </c>
      <c r="DG6" s="507">
        <v>0</v>
      </c>
    </row>
    <row r="7" spans="1:111" ht="17.45" customHeight="1">
      <c r="A7" s="509"/>
      <c r="B7" s="510"/>
      <c r="C7" s="565"/>
      <c r="D7" s="565"/>
      <c r="E7" s="565"/>
      <c r="F7" s="566"/>
      <c r="G7" s="565"/>
      <c r="H7" s="567"/>
      <c r="I7" s="565"/>
      <c r="J7" s="565"/>
      <c r="K7" s="565"/>
      <c r="L7" s="565"/>
      <c r="M7" s="566"/>
      <c r="N7" s="565"/>
      <c r="O7" s="565"/>
      <c r="P7" s="565"/>
      <c r="Q7" s="565"/>
      <c r="R7" s="565"/>
      <c r="S7" s="565"/>
      <c r="T7" s="565"/>
      <c r="U7" s="565"/>
      <c r="V7" s="565"/>
      <c r="W7" s="565"/>
      <c r="X7" s="565"/>
      <c r="Y7" s="565"/>
      <c r="Z7" s="565"/>
      <c r="AA7" s="565"/>
      <c r="AB7" s="565"/>
      <c r="AC7" s="565"/>
      <c r="AD7" s="567"/>
      <c r="AE7" s="565"/>
      <c r="AF7" s="565"/>
      <c r="AG7" s="565"/>
      <c r="AH7" s="565"/>
      <c r="AI7" s="565"/>
      <c r="AJ7" s="565"/>
      <c r="AK7" s="565"/>
      <c r="AL7" s="565"/>
      <c r="AM7" s="565"/>
      <c r="AN7" s="565"/>
      <c r="AO7" s="567"/>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c r="CJ7" s="565"/>
      <c r="CK7" s="565"/>
      <c r="CL7" s="565"/>
      <c r="CM7" s="565"/>
      <c r="CN7" s="565"/>
      <c r="CO7" s="565"/>
      <c r="CP7" s="565"/>
      <c r="CQ7" s="565"/>
      <c r="CR7" s="565"/>
      <c r="CS7" s="565"/>
      <c r="CT7" s="565"/>
      <c r="CU7" s="565"/>
      <c r="CV7" s="565"/>
      <c r="CW7" s="565"/>
      <c r="CX7" s="565"/>
      <c r="CY7" s="565"/>
      <c r="CZ7" s="565"/>
      <c r="DA7" s="565"/>
      <c r="DB7" s="565"/>
      <c r="DC7" s="511"/>
      <c r="DD7" s="511"/>
      <c r="DE7" s="511"/>
      <c r="DF7" s="511"/>
      <c r="DG7" s="511"/>
    </row>
    <row r="8" spans="1:111" ht="17.45" customHeight="1">
      <c r="A8" s="505" t="s">
        <v>405</v>
      </c>
      <c r="B8" s="506" t="s">
        <v>406</v>
      </c>
      <c r="C8" s="561">
        <v>1207.5941332191794</v>
      </c>
      <c r="D8" s="561">
        <v>1169.3140098843271</v>
      </c>
      <c r="E8" s="561">
        <v>992.91258254432705</v>
      </c>
      <c r="F8" s="562">
        <v>1198.609898054327</v>
      </c>
      <c r="G8" s="561">
        <v>1644.2891013443273</v>
      </c>
      <c r="H8" s="563">
        <v>1734.824023805671</v>
      </c>
      <c r="I8" s="561">
        <v>1834.5720484756712</v>
      </c>
      <c r="J8" s="561">
        <v>1961.88872173246</v>
      </c>
      <c r="K8" s="561">
        <v>2341.3958519126513</v>
      </c>
      <c r="L8" s="561">
        <v>2128.8771590397255</v>
      </c>
      <c r="M8" s="562">
        <v>2105.2880649290082</v>
      </c>
      <c r="N8" s="561">
        <v>2054.0058321224997</v>
      </c>
      <c r="O8" s="561">
        <v>2234.3593438034395</v>
      </c>
      <c r="P8" s="561">
        <v>2207.0196231888999</v>
      </c>
      <c r="Q8" s="561">
        <v>2178.5085163901749</v>
      </c>
      <c r="R8" s="561">
        <v>2028.3305845411151</v>
      </c>
      <c r="S8" s="561">
        <v>2143.4420798757255</v>
      </c>
      <c r="T8" s="561">
        <v>2071.4782679852269</v>
      </c>
      <c r="U8" s="561">
        <v>2070.5044693114196</v>
      </c>
      <c r="V8" s="561">
        <v>2116.932351689426</v>
      </c>
      <c r="W8" s="561">
        <v>2025.9462067436184</v>
      </c>
      <c r="X8" s="561">
        <v>2220.6206529704268</v>
      </c>
      <c r="Y8" s="561">
        <v>2165.4956665696654</v>
      </c>
      <c r="Z8" s="561">
        <v>2168.2080023572453</v>
      </c>
      <c r="AA8" s="561">
        <v>2315.7004667044071</v>
      </c>
      <c r="AB8" s="561">
        <v>2451.9068899611289</v>
      </c>
      <c r="AC8" s="561">
        <v>2908.8353703098255</v>
      </c>
      <c r="AD8" s="563">
        <v>2851.4056544009604</v>
      </c>
      <c r="AE8" s="561">
        <v>2799.5777638437412</v>
      </c>
      <c r="AF8" s="561">
        <v>3075.457067543789</v>
      </c>
      <c r="AG8" s="561">
        <v>3404.4025624615028</v>
      </c>
      <c r="AH8" s="561">
        <v>4140.4894746187583</v>
      </c>
      <c r="AI8" s="561">
        <v>4143.1476186510372</v>
      </c>
      <c r="AJ8" s="561">
        <v>4992.5430241069389</v>
      </c>
      <c r="AK8" s="561">
        <v>4662.0759049025146</v>
      </c>
      <c r="AL8" s="561">
        <v>4645.2477973798577</v>
      </c>
      <c r="AM8" s="561">
        <v>4763.067357440872</v>
      </c>
      <c r="AN8" s="561">
        <v>5078.0112470027007</v>
      </c>
      <c r="AO8" s="563">
        <v>5097.4471863669023</v>
      </c>
      <c r="AP8" s="561">
        <v>4744.6221060068447</v>
      </c>
      <c r="AQ8" s="561">
        <v>4572.8296630475006</v>
      </c>
      <c r="AR8" s="561">
        <v>4409.0259711448789</v>
      </c>
      <c r="AS8" s="561">
        <v>4346.3346976313705</v>
      </c>
      <c r="AT8" s="561">
        <v>4221.6819360652316</v>
      </c>
      <c r="AU8" s="561">
        <v>4114.911983316937</v>
      </c>
      <c r="AV8" s="561">
        <v>4526.0890101948889</v>
      </c>
      <c r="AW8" s="561">
        <v>4739.5692683599991</v>
      </c>
      <c r="AX8" s="561">
        <v>4933.8751206899997</v>
      </c>
      <c r="AY8" s="561">
        <v>5148.3490968012047</v>
      </c>
      <c r="AZ8" s="561">
        <v>5925.9618539430003</v>
      </c>
      <c r="BA8" s="561">
        <v>6603.2744083842153</v>
      </c>
      <c r="BB8" s="561">
        <v>6371.8904146083787</v>
      </c>
      <c r="BC8" s="561">
        <v>6510.9091048880691</v>
      </c>
      <c r="BD8" s="561">
        <v>6441.2311635090273</v>
      </c>
      <c r="BE8" s="561">
        <v>6414.364242695</v>
      </c>
      <c r="BF8" s="561">
        <v>6277.95380572667</v>
      </c>
      <c r="BG8" s="561">
        <v>6538.7854937177653</v>
      </c>
      <c r="BH8" s="561">
        <v>6695.2168719289721</v>
      </c>
      <c r="BI8" s="561">
        <v>6964.7055060365892</v>
      </c>
      <c r="BJ8" s="561">
        <v>7160.9680286951134</v>
      </c>
      <c r="BK8" s="561">
        <v>7159.2679581132779</v>
      </c>
      <c r="BL8" s="561">
        <v>6743.1424956017418</v>
      </c>
      <c r="BM8" s="561">
        <v>6669.584891773141</v>
      </c>
      <c r="BN8" s="561">
        <v>6868.7494596974011</v>
      </c>
      <c r="BO8" s="561">
        <v>6674.5396071422092</v>
      </c>
      <c r="BP8" s="561">
        <v>6504.2656434804157</v>
      </c>
      <c r="BQ8" s="561">
        <v>6306.4675671872719</v>
      </c>
      <c r="BR8" s="561">
        <v>6865.8521646270055</v>
      </c>
      <c r="BS8" s="561">
        <v>6982.4244499202923</v>
      </c>
      <c r="BT8" s="561">
        <v>7014.2318001042349</v>
      </c>
      <c r="BU8" s="561">
        <v>6730.9543862314986</v>
      </c>
      <c r="BV8" s="561">
        <v>7131.5675773788207</v>
      </c>
      <c r="BW8" s="561">
        <v>7755.6404121184996</v>
      </c>
      <c r="BX8" s="561">
        <v>7475.3726773763146</v>
      </c>
      <c r="BY8" s="561">
        <v>7694.6521771541284</v>
      </c>
      <c r="BZ8" s="561">
        <v>7899.4116672389991</v>
      </c>
      <c r="CA8" s="561">
        <v>7450.2529309299989</v>
      </c>
      <c r="CB8" s="561">
        <v>7450.9943186599994</v>
      </c>
      <c r="CC8" s="561">
        <v>7486.398109669999</v>
      </c>
      <c r="CD8" s="561">
        <v>7545.9346201299995</v>
      </c>
      <c r="CE8" s="561">
        <v>7572.0952121888358</v>
      </c>
      <c r="CF8" s="561">
        <v>7859.0611242675595</v>
      </c>
      <c r="CG8" s="561">
        <v>7834.6147919393825</v>
      </c>
      <c r="CH8" s="561">
        <v>7374.5078700393842</v>
      </c>
      <c r="CI8" s="561">
        <v>7309.1368180799991</v>
      </c>
      <c r="CJ8" s="561">
        <v>7493.8330639744245</v>
      </c>
      <c r="CK8" s="561">
        <v>7716.931297341006</v>
      </c>
      <c r="CL8" s="561">
        <v>7973.9142444551371</v>
      </c>
      <c r="CM8" s="561">
        <v>8370.4267425410071</v>
      </c>
      <c r="CN8" s="561">
        <v>8220.5994920110061</v>
      </c>
      <c r="CO8" s="561">
        <v>8604.0737390434715</v>
      </c>
      <c r="CP8" s="561">
        <v>9103.2459471044313</v>
      </c>
      <c r="CQ8" s="561">
        <v>9195.5997455210054</v>
      </c>
      <c r="CR8" s="561">
        <v>9112.9738819810063</v>
      </c>
      <c r="CS8" s="561">
        <v>8315.2625640110073</v>
      </c>
      <c r="CT8" s="561">
        <v>8066.1691370311037</v>
      </c>
      <c r="CU8" s="561">
        <v>8292.7330295571701</v>
      </c>
      <c r="CV8" s="561">
        <v>7962.9407559723322</v>
      </c>
      <c r="CW8" s="561">
        <v>8020.4558036602666</v>
      </c>
      <c r="CX8" s="561">
        <v>8541.6909174208977</v>
      </c>
      <c r="CY8" s="561">
        <v>8389.2294163678489</v>
      </c>
      <c r="CZ8" s="561">
        <v>8174.7015492568971</v>
      </c>
      <c r="DA8" s="561">
        <v>8276.1752153927027</v>
      </c>
      <c r="DB8" s="561">
        <v>7913.5198818192794</v>
      </c>
      <c r="DC8" s="507">
        <v>8097.1224328508706</v>
      </c>
      <c r="DD8" s="507">
        <v>8385.299775664349</v>
      </c>
      <c r="DE8" s="507">
        <v>8638.9039429218847</v>
      </c>
      <c r="DF8" s="507">
        <v>8664.565280335275</v>
      </c>
      <c r="DG8" s="507">
        <v>9199.1563773563339</v>
      </c>
    </row>
    <row r="9" spans="1:111" ht="17.45" customHeight="1">
      <c r="A9" s="509" t="s">
        <v>407</v>
      </c>
      <c r="B9" s="510" t="s">
        <v>257</v>
      </c>
      <c r="C9" s="530">
        <v>0.136798</v>
      </c>
      <c r="D9" s="530">
        <v>0.13377839999999999</v>
      </c>
      <c r="E9" s="530">
        <v>0.1290866</v>
      </c>
      <c r="F9" s="569">
        <v>0.14135320000000001</v>
      </c>
      <c r="G9" s="530">
        <v>0.14374520000000002</v>
      </c>
      <c r="H9" s="570">
        <v>0.14154120000000001</v>
      </c>
      <c r="I9" s="530">
        <v>0.13423236</v>
      </c>
      <c r="J9" s="530">
        <v>0.13775066</v>
      </c>
      <c r="K9" s="530">
        <v>0.13323370000000001</v>
      </c>
      <c r="L9" s="530">
        <v>0.13779868000000001</v>
      </c>
      <c r="M9" s="569">
        <v>0.13608776</v>
      </c>
      <c r="N9" s="530">
        <v>0.13424576000000002</v>
      </c>
      <c r="O9" s="530">
        <v>0.14117195999999999</v>
      </c>
      <c r="P9" s="530">
        <v>0.13529314000000001</v>
      </c>
      <c r="Q9" s="530">
        <v>0.13767499999999999</v>
      </c>
      <c r="R9" s="530">
        <v>0.13331179999999998</v>
      </c>
      <c r="S9" s="530">
        <v>0.13081680000000001</v>
      </c>
      <c r="T9" s="530">
        <v>0.16068175000000001</v>
      </c>
      <c r="U9" s="530">
        <v>0.13693776000000002</v>
      </c>
      <c r="V9" s="530">
        <v>0.13876416999999999</v>
      </c>
      <c r="W9" s="530">
        <v>0.13994671</v>
      </c>
      <c r="X9" s="530">
        <v>0.14068666999999999</v>
      </c>
      <c r="Y9" s="530">
        <v>0.14070187000000001</v>
      </c>
      <c r="Z9" s="530">
        <v>0.13231327000000001</v>
      </c>
      <c r="AA9" s="530">
        <v>0.13099569</v>
      </c>
      <c r="AB9" s="530">
        <v>0.13989024999999999</v>
      </c>
      <c r="AC9" s="530">
        <v>0.14362048000000002</v>
      </c>
      <c r="AD9" s="570">
        <v>0.13761479999999998</v>
      </c>
      <c r="AE9" s="530">
        <v>0.13965229999999998</v>
      </c>
      <c r="AF9" s="530">
        <v>0.13140895000000002</v>
      </c>
      <c r="AG9" s="530">
        <v>0.13067265</v>
      </c>
      <c r="AH9" s="530">
        <v>0.12752050000000001</v>
      </c>
      <c r="AI9" s="530">
        <v>0.12940771000000001</v>
      </c>
      <c r="AJ9" s="530">
        <v>0.13104557999999999</v>
      </c>
      <c r="AK9" s="530">
        <v>0.13242966999999997</v>
      </c>
      <c r="AL9" s="530">
        <v>0.13351503000000001</v>
      </c>
      <c r="AM9" s="530">
        <v>0.13456847</v>
      </c>
      <c r="AN9" s="530">
        <v>0.24863014999999999</v>
      </c>
      <c r="AO9" s="570">
        <v>0.60041800000000001</v>
      </c>
      <c r="AP9" s="530">
        <v>0.18663107000000001</v>
      </c>
      <c r="AQ9" s="530">
        <v>1.2458031899999999</v>
      </c>
      <c r="AR9" s="530">
        <v>7.9225805500000002</v>
      </c>
      <c r="AS9" s="530">
        <v>4.3852080000000004</v>
      </c>
      <c r="AT9" s="530">
        <v>1.92856217</v>
      </c>
      <c r="AU9" s="530">
        <v>0.58993375999999997</v>
      </c>
      <c r="AV9" s="530">
        <v>0.99077411000000004</v>
      </c>
      <c r="AW9" s="530">
        <v>0.64135385999999994</v>
      </c>
      <c r="AX9" s="530">
        <v>0.82659742999999997</v>
      </c>
      <c r="AY9" s="530">
        <v>0.74386967999999998</v>
      </c>
      <c r="AZ9" s="530">
        <v>4.2991701200000003</v>
      </c>
      <c r="BA9" s="530">
        <v>0.53958837000000004</v>
      </c>
      <c r="BB9" s="530">
        <v>0.44831434000000003</v>
      </c>
      <c r="BC9" s="530">
        <v>0.43327086999999997</v>
      </c>
      <c r="BD9" s="530">
        <v>0.49215487000000002</v>
      </c>
      <c r="BE9" s="530">
        <v>0.44504549999999998</v>
      </c>
      <c r="BF9" s="530">
        <v>0.45835286999999997</v>
      </c>
      <c r="BG9" s="530">
        <v>0.47558250000000002</v>
      </c>
      <c r="BH9" s="530">
        <v>0.51804998000000002</v>
      </c>
      <c r="BI9" s="530">
        <v>0.48696898</v>
      </c>
      <c r="BJ9" s="530">
        <v>0.53973290000000007</v>
      </c>
      <c r="BK9" s="530">
        <v>0.47216130000000001</v>
      </c>
      <c r="BL9" s="530">
        <v>0.48760900000000001</v>
      </c>
      <c r="BM9" s="530">
        <v>0.46953503999999996</v>
      </c>
      <c r="BN9" s="530">
        <v>0.51091067999999995</v>
      </c>
      <c r="BO9" s="530">
        <v>0.48699755</v>
      </c>
      <c r="BP9" s="530">
        <v>0.47057603000000003</v>
      </c>
      <c r="BQ9" s="530">
        <v>0.49740463000000001</v>
      </c>
      <c r="BR9" s="530">
        <v>0.48092333000000004</v>
      </c>
      <c r="BS9" s="530">
        <v>0.53937548000000002</v>
      </c>
      <c r="BT9" s="530">
        <v>0.52450744999999999</v>
      </c>
      <c r="BU9" s="530">
        <v>0.52026499000000004</v>
      </c>
      <c r="BV9" s="530">
        <v>0.47035330000000003</v>
      </c>
      <c r="BW9" s="530">
        <v>0.55148105000000003</v>
      </c>
      <c r="BX9" s="530">
        <v>0.53301871999999995</v>
      </c>
      <c r="BY9" s="530">
        <v>0.59360968999999997</v>
      </c>
      <c r="BZ9" s="530">
        <v>0.60386452000000002</v>
      </c>
      <c r="CA9" s="530">
        <v>0.62539370999999999</v>
      </c>
      <c r="CB9" s="530">
        <v>0.58118192999999996</v>
      </c>
      <c r="CC9" s="530">
        <v>0.66350315000000004</v>
      </c>
      <c r="CD9" s="530">
        <v>0.62708301</v>
      </c>
      <c r="CE9" s="530">
        <v>0.68965433000000009</v>
      </c>
      <c r="CF9" s="530">
        <v>0.61038177000000005</v>
      </c>
      <c r="CG9" s="530">
        <v>0.64981306000000005</v>
      </c>
      <c r="CH9" s="530">
        <v>0.67600545000000001</v>
      </c>
      <c r="CI9" s="530">
        <v>0.74728974000000004</v>
      </c>
      <c r="CJ9" s="530">
        <v>0.67823204000000004</v>
      </c>
      <c r="CK9" s="530">
        <v>0.78455043999999996</v>
      </c>
      <c r="CL9" s="530">
        <v>0.74912519</v>
      </c>
      <c r="CM9" s="530">
        <v>0.75282227000000002</v>
      </c>
      <c r="CN9" s="530">
        <v>0.81664368999999992</v>
      </c>
      <c r="CO9" s="530">
        <v>0.91252921999999992</v>
      </c>
      <c r="CP9" s="530">
        <v>0.85935381999999993</v>
      </c>
      <c r="CQ9" s="530">
        <v>0.83725646999999992</v>
      </c>
      <c r="CR9" s="530">
        <v>0.77935228000000001</v>
      </c>
      <c r="CS9" s="530">
        <v>0.78700070999999994</v>
      </c>
      <c r="CT9" s="530">
        <v>0.80291180000000006</v>
      </c>
      <c r="CU9" s="530">
        <v>0.76096269999999999</v>
      </c>
      <c r="CV9" s="530">
        <v>0.94520529000000009</v>
      </c>
      <c r="CW9" s="530">
        <v>0.87856173999999998</v>
      </c>
      <c r="CX9" s="530">
        <v>0.78481054000000006</v>
      </c>
      <c r="CY9" s="530">
        <v>0.80464106000000002</v>
      </c>
      <c r="CZ9" s="530">
        <v>0.72384230000000005</v>
      </c>
      <c r="DA9" s="530">
        <v>0.87234237999999997</v>
      </c>
      <c r="DB9" s="530">
        <v>0.88549264999999988</v>
      </c>
      <c r="DC9" s="512">
        <v>1.01794235</v>
      </c>
      <c r="DD9" s="512">
        <v>0.79105698000000013</v>
      </c>
      <c r="DE9" s="512">
        <v>1.02546918</v>
      </c>
      <c r="DF9" s="512">
        <v>0.82872807000000004</v>
      </c>
      <c r="DG9" s="512">
        <v>0.85107277999999997</v>
      </c>
    </row>
    <row r="10" spans="1:111" ht="17.45" customHeight="1">
      <c r="A10" s="509" t="s">
        <v>409</v>
      </c>
      <c r="B10" s="510" t="s">
        <v>460</v>
      </c>
      <c r="C10" s="530">
        <v>602.5831153691795</v>
      </c>
      <c r="D10" s="530">
        <v>535.44971606432716</v>
      </c>
      <c r="E10" s="530">
        <v>335.88269305432709</v>
      </c>
      <c r="F10" s="569">
        <v>377.39918996432709</v>
      </c>
      <c r="G10" s="530">
        <v>756.21661557432708</v>
      </c>
      <c r="H10" s="570">
        <v>799.78411217567088</v>
      </c>
      <c r="I10" s="530">
        <v>952.44549318567101</v>
      </c>
      <c r="J10" s="530">
        <v>849.03084875245986</v>
      </c>
      <c r="K10" s="530">
        <v>1041.2642462425736</v>
      </c>
      <c r="L10" s="530">
        <v>535.11257146725177</v>
      </c>
      <c r="M10" s="569">
        <v>373.29821518025176</v>
      </c>
      <c r="N10" s="530">
        <v>319.35145348025173</v>
      </c>
      <c r="O10" s="530">
        <v>381.37694892093668</v>
      </c>
      <c r="P10" s="530">
        <v>326.26637740093673</v>
      </c>
      <c r="Q10" s="530">
        <v>324.81329154118612</v>
      </c>
      <c r="R10" s="530">
        <v>171.73779741118611</v>
      </c>
      <c r="S10" s="530">
        <v>251.64649767493668</v>
      </c>
      <c r="T10" s="530">
        <v>149.7201244811861</v>
      </c>
      <c r="U10" s="530">
        <v>237.45449411593665</v>
      </c>
      <c r="V10" s="530">
        <v>400.38913668999999</v>
      </c>
      <c r="W10" s="530">
        <v>262.19748087000005</v>
      </c>
      <c r="X10" s="530">
        <v>305.01808734118606</v>
      </c>
      <c r="Y10" s="530">
        <v>282.89005056893666</v>
      </c>
      <c r="Z10" s="530">
        <v>288.47058529675058</v>
      </c>
      <c r="AA10" s="530">
        <v>341.93267334899997</v>
      </c>
      <c r="AB10" s="530">
        <v>395.38881842675056</v>
      </c>
      <c r="AC10" s="530">
        <v>630.78627846675056</v>
      </c>
      <c r="AD10" s="570">
        <v>521.60702317598611</v>
      </c>
      <c r="AE10" s="530">
        <v>286.57811782876701</v>
      </c>
      <c r="AF10" s="530">
        <v>416.10564258684917</v>
      </c>
      <c r="AG10" s="530">
        <v>616.30119900684917</v>
      </c>
      <c r="AH10" s="530">
        <v>927.75296842584908</v>
      </c>
      <c r="AI10" s="530">
        <v>1008.6797707300957</v>
      </c>
      <c r="AJ10" s="530">
        <v>1342.4605875583961</v>
      </c>
      <c r="AK10" s="530">
        <v>1018.6712297208943</v>
      </c>
      <c r="AL10" s="530">
        <v>1090.0411010983962</v>
      </c>
      <c r="AM10" s="530">
        <v>1015.3031527793963</v>
      </c>
      <c r="AN10" s="530">
        <v>1088.1355009148565</v>
      </c>
      <c r="AO10" s="570">
        <v>994.7121213074015</v>
      </c>
      <c r="AP10" s="530">
        <v>798.0093193790002</v>
      </c>
      <c r="AQ10" s="530">
        <v>644.94183145</v>
      </c>
      <c r="AR10" s="530">
        <v>439.66720171000003</v>
      </c>
      <c r="AS10" s="530">
        <v>515.69360505299994</v>
      </c>
      <c r="AT10" s="530">
        <v>395.27437466199996</v>
      </c>
      <c r="AU10" s="530">
        <v>359.40538953679999</v>
      </c>
      <c r="AV10" s="530">
        <v>576.62277908000021</v>
      </c>
      <c r="AW10" s="530">
        <v>1450.5630528299998</v>
      </c>
      <c r="AX10" s="530">
        <v>858.51732602999994</v>
      </c>
      <c r="AY10" s="530">
        <v>933.79281333000006</v>
      </c>
      <c r="AZ10" s="530">
        <v>807.57585788300003</v>
      </c>
      <c r="BA10" s="530">
        <v>1418.3349737829999</v>
      </c>
      <c r="BB10" s="530">
        <v>1141.3919988129999</v>
      </c>
      <c r="BC10" s="530">
        <v>1102.8045247129999</v>
      </c>
      <c r="BD10" s="530">
        <v>993.61120435299983</v>
      </c>
      <c r="BE10" s="530">
        <v>987.94501984199985</v>
      </c>
      <c r="BF10" s="530">
        <v>831.29559185199969</v>
      </c>
      <c r="BG10" s="530">
        <v>580.16398265199973</v>
      </c>
      <c r="BH10" s="530">
        <v>855.04543547199944</v>
      </c>
      <c r="BI10" s="530">
        <v>981.78352783199932</v>
      </c>
      <c r="BJ10" s="530">
        <v>956.74111568064814</v>
      </c>
      <c r="BK10" s="530">
        <v>1317.4926197586478</v>
      </c>
      <c r="BL10" s="530">
        <v>867.96021520864792</v>
      </c>
      <c r="BM10" s="530">
        <v>991.64572975864769</v>
      </c>
      <c r="BN10" s="530">
        <v>1091.7730966156478</v>
      </c>
      <c r="BO10" s="530">
        <v>1011.8523868956479</v>
      </c>
      <c r="BP10" s="530">
        <v>1069.1402223798464</v>
      </c>
      <c r="BQ10" s="530">
        <v>734.35416765564764</v>
      </c>
      <c r="BR10" s="530">
        <v>973.38263891894189</v>
      </c>
      <c r="BS10" s="530">
        <v>889.81715641894198</v>
      </c>
      <c r="BT10" s="530">
        <v>800.93572807081671</v>
      </c>
      <c r="BU10" s="530">
        <v>697.51102734794199</v>
      </c>
      <c r="BV10" s="530">
        <v>672.42356670526476</v>
      </c>
      <c r="BW10" s="530">
        <v>1152.4903325779412</v>
      </c>
      <c r="BX10" s="530">
        <v>767.06861123794124</v>
      </c>
      <c r="BY10" s="530">
        <v>1014.261118427941</v>
      </c>
      <c r="BZ10" s="530">
        <v>1242.413149969</v>
      </c>
      <c r="CA10" s="530">
        <v>742.18282027999999</v>
      </c>
      <c r="CB10" s="530">
        <v>707.13198963000002</v>
      </c>
      <c r="CC10" s="530">
        <v>1035.2208082100001</v>
      </c>
      <c r="CD10" s="530">
        <v>844.28711847999989</v>
      </c>
      <c r="CE10" s="530">
        <v>715.69862252500002</v>
      </c>
      <c r="CF10" s="530">
        <v>825.14680075499996</v>
      </c>
      <c r="CG10" s="530">
        <v>794.53933980500005</v>
      </c>
      <c r="CH10" s="530">
        <v>769.00867489500024</v>
      </c>
      <c r="CI10" s="530">
        <v>823.08528254999999</v>
      </c>
      <c r="CJ10" s="530">
        <v>778.43748957100001</v>
      </c>
      <c r="CK10" s="530">
        <v>737.05626528100595</v>
      </c>
      <c r="CL10" s="530">
        <v>883.49283740100611</v>
      </c>
      <c r="CM10" s="530">
        <v>991.45785896100608</v>
      </c>
      <c r="CN10" s="530">
        <v>1029.787382989454</v>
      </c>
      <c r="CO10" s="530">
        <v>1285.3095852010063</v>
      </c>
      <c r="CP10" s="530">
        <v>1513.5141562410058</v>
      </c>
      <c r="CQ10" s="530">
        <v>1558.534078711006</v>
      </c>
      <c r="CR10" s="530">
        <v>1518.960896271006</v>
      </c>
      <c r="CS10" s="530">
        <v>1052.0363982410061</v>
      </c>
      <c r="CT10" s="530">
        <v>787.25113021050595</v>
      </c>
      <c r="CU10" s="530">
        <v>917.90866650470616</v>
      </c>
      <c r="CV10" s="530">
        <v>688.6812006289091</v>
      </c>
      <c r="CW10" s="530">
        <v>557.02667668953097</v>
      </c>
      <c r="CX10" s="530">
        <v>791.16557072089813</v>
      </c>
      <c r="CY10" s="530">
        <v>577.73171626784801</v>
      </c>
      <c r="CZ10" s="530">
        <v>578.46317282689802</v>
      </c>
      <c r="DA10" s="530">
        <v>845.53811679270416</v>
      </c>
      <c r="DB10" s="530">
        <v>636.39701468270403</v>
      </c>
      <c r="DC10" s="512">
        <v>655.47778804229597</v>
      </c>
      <c r="DD10" s="512">
        <v>671.65114382229592</v>
      </c>
      <c r="DE10" s="512">
        <v>674.88759530229618</v>
      </c>
      <c r="DF10" s="512">
        <v>733.55883586455514</v>
      </c>
      <c r="DG10" s="512">
        <v>967.84140610825114</v>
      </c>
    </row>
    <row r="11" spans="1:111" ht="17.45" customHeight="1">
      <c r="A11" s="509" t="s">
        <v>411</v>
      </c>
      <c r="B11" s="510" t="s">
        <v>468</v>
      </c>
      <c r="C11" s="530">
        <v>147.85975862999999</v>
      </c>
      <c r="D11" s="530">
        <v>118.27296021000001</v>
      </c>
      <c r="E11" s="530">
        <v>126.05374291</v>
      </c>
      <c r="F11" s="569">
        <v>139.43077625000001</v>
      </c>
      <c r="G11" s="530">
        <v>143.7236029</v>
      </c>
      <c r="H11" s="570">
        <v>181.86861393000001</v>
      </c>
      <c r="I11" s="530">
        <v>128.33290374000001</v>
      </c>
      <c r="J11" s="530">
        <v>276.87750923000004</v>
      </c>
      <c r="K11" s="530">
        <v>212.91996096999998</v>
      </c>
      <c r="L11" s="530">
        <v>171.96835718</v>
      </c>
      <c r="M11" s="569">
        <v>177.63391278</v>
      </c>
      <c r="N11" s="530">
        <v>207.78508337000002</v>
      </c>
      <c r="O11" s="530">
        <v>299.85714434999994</v>
      </c>
      <c r="P11" s="530">
        <v>335.55330135999975</v>
      </c>
      <c r="Q11" s="530">
        <v>286.32163782999976</v>
      </c>
      <c r="R11" s="530">
        <v>288.94357381999976</v>
      </c>
      <c r="S11" s="530">
        <v>357.29351283999978</v>
      </c>
      <c r="T11" s="530">
        <v>311.58080574999974</v>
      </c>
      <c r="U11" s="530">
        <v>155.68019319999985</v>
      </c>
      <c r="V11" s="530">
        <v>247.21087684</v>
      </c>
      <c r="W11" s="530">
        <v>283.97970787000003</v>
      </c>
      <c r="X11" s="530">
        <v>265.68570657949982</v>
      </c>
      <c r="Y11" s="530">
        <v>261.37781761949987</v>
      </c>
      <c r="Z11" s="530">
        <v>281.88948801549981</v>
      </c>
      <c r="AA11" s="530">
        <v>337.89291353549987</v>
      </c>
      <c r="AB11" s="530">
        <v>267.28963810549988</v>
      </c>
      <c r="AC11" s="530">
        <v>296.66929348549985</v>
      </c>
      <c r="AD11" s="570">
        <v>288.96005666549991</v>
      </c>
      <c r="AE11" s="530">
        <v>360.49034149549988</v>
      </c>
      <c r="AF11" s="530">
        <v>431.71562858549981</v>
      </c>
      <c r="AG11" s="530">
        <v>382.28732294749989</v>
      </c>
      <c r="AH11" s="530">
        <v>781.44031197749996</v>
      </c>
      <c r="AI11" s="530">
        <v>774.52023403549981</v>
      </c>
      <c r="AJ11" s="530">
        <v>1107.1689004554999</v>
      </c>
      <c r="AK11" s="530">
        <v>856.28326820749976</v>
      </c>
      <c r="AL11" s="530">
        <v>760.49558163949985</v>
      </c>
      <c r="AM11" s="530">
        <v>901.8402582294998</v>
      </c>
      <c r="AN11" s="530">
        <v>792.74774708949997</v>
      </c>
      <c r="AO11" s="570">
        <v>817.3962234695</v>
      </c>
      <c r="AP11" s="530">
        <v>575.8489090700001</v>
      </c>
      <c r="AQ11" s="530">
        <v>564.10851364999996</v>
      </c>
      <c r="AR11" s="530">
        <v>718.90112993000002</v>
      </c>
      <c r="AS11" s="530">
        <v>582.67890176000003</v>
      </c>
      <c r="AT11" s="530">
        <v>612.37702178999996</v>
      </c>
      <c r="AU11" s="530">
        <v>226.77217009999998</v>
      </c>
      <c r="AV11" s="530">
        <v>280.36112960000003</v>
      </c>
      <c r="AW11" s="530">
        <v>247.67850559999999</v>
      </c>
      <c r="AX11" s="530">
        <v>182.18343411000001</v>
      </c>
      <c r="AY11" s="530">
        <v>400.89687820120446</v>
      </c>
      <c r="AZ11" s="530">
        <v>470.99189879999994</v>
      </c>
      <c r="BA11" s="530">
        <v>528.57329583000001</v>
      </c>
      <c r="BB11" s="530">
        <v>432.51449483000005</v>
      </c>
      <c r="BC11" s="530">
        <v>549.22732209999992</v>
      </c>
      <c r="BD11" s="530">
        <v>428.13262670000006</v>
      </c>
      <c r="BE11" s="530">
        <v>317.42161484299999</v>
      </c>
      <c r="BF11" s="530">
        <v>310.18084548299998</v>
      </c>
      <c r="BG11" s="530">
        <v>582.88419610299991</v>
      </c>
      <c r="BH11" s="530">
        <v>635.25021299299999</v>
      </c>
      <c r="BI11" s="530">
        <v>687.69342827600008</v>
      </c>
      <c r="BJ11" s="530">
        <v>814.12875540775235</v>
      </c>
      <c r="BK11" s="530">
        <v>334.47204617599999</v>
      </c>
      <c r="BL11" s="530">
        <v>340.78409806775238</v>
      </c>
      <c r="BM11" s="530">
        <v>457.40605834599995</v>
      </c>
      <c r="BN11" s="530">
        <v>523.21195728599992</v>
      </c>
      <c r="BO11" s="530">
        <v>606.38622986299993</v>
      </c>
      <c r="BP11" s="530">
        <v>362.84371618299997</v>
      </c>
      <c r="BQ11" s="530">
        <v>384.54459495299994</v>
      </c>
      <c r="BR11" s="530">
        <v>518.77405243299995</v>
      </c>
      <c r="BS11" s="530">
        <v>595.65707920299997</v>
      </c>
      <c r="BT11" s="530">
        <v>710.61603026</v>
      </c>
      <c r="BU11" s="530">
        <v>750.00098806999995</v>
      </c>
      <c r="BV11" s="530">
        <v>881.12443212000005</v>
      </c>
      <c r="BW11" s="530">
        <v>704.36448890999998</v>
      </c>
      <c r="BX11" s="530">
        <v>741.86453553000001</v>
      </c>
      <c r="BY11" s="530">
        <v>838.03370045278677</v>
      </c>
      <c r="BZ11" s="530">
        <v>785.75288425999997</v>
      </c>
      <c r="CA11" s="530">
        <v>739.52244490999999</v>
      </c>
      <c r="CB11" s="530">
        <v>681.90087348999998</v>
      </c>
      <c r="CC11" s="530">
        <v>606.79243150000013</v>
      </c>
      <c r="CD11" s="530">
        <v>670.90542106999999</v>
      </c>
      <c r="CE11" s="530">
        <v>611.94721517999994</v>
      </c>
      <c r="CF11" s="530">
        <v>737.10745859000008</v>
      </c>
      <c r="CG11" s="530">
        <v>904.27344923999999</v>
      </c>
      <c r="CH11" s="530">
        <v>435.92119885</v>
      </c>
      <c r="CI11" s="530">
        <v>396.46943016000006</v>
      </c>
      <c r="CJ11" s="530">
        <v>342.44433203000006</v>
      </c>
      <c r="CK11" s="530">
        <v>407.73355939000004</v>
      </c>
      <c r="CL11" s="530">
        <v>410.49309282000007</v>
      </c>
      <c r="CM11" s="530">
        <v>477.16841971000002</v>
      </c>
      <c r="CN11" s="530">
        <v>384.15260738155212</v>
      </c>
      <c r="CO11" s="530">
        <v>417.18328244000008</v>
      </c>
      <c r="CP11" s="530">
        <v>298.00961064000006</v>
      </c>
      <c r="CQ11" s="530">
        <v>404.05215901000008</v>
      </c>
      <c r="CR11" s="530">
        <v>414.27833944000008</v>
      </c>
      <c r="CS11" s="530">
        <v>431.66331083000011</v>
      </c>
      <c r="CT11" s="530">
        <v>379.13339237000002</v>
      </c>
      <c r="CU11" s="530">
        <v>342.83035370000005</v>
      </c>
      <c r="CV11" s="530">
        <v>454.85196814000005</v>
      </c>
      <c r="CW11" s="530">
        <v>574.78603601999998</v>
      </c>
      <c r="CX11" s="530">
        <v>516.06497110999999</v>
      </c>
      <c r="CY11" s="530">
        <v>551.11659469000006</v>
      </c>
      <c r="CZ11" s="530">
        <v>384.52716314000003</v>
      </c>
      <c r="DA11" s="530">
        <v>467.79181010000002</v>
      </c>
      <c r="DB11" s="530">
        <v>351.56968322</v>
      </c>
      <c r="DC11" s="512">
        <v>405.54849143000001</v>
      </c>
      <c r="DD11" s="512">
        <v>418.39600915999995</v>
      </c>
      <c r="DE11" s="512">
        <v>625.87053139</v>
      </c>
      <c r="DF11" s="512">
        <v>406.72300498373261</v>
      </c>
      <c r="DG11" s="512">
        <v>371.41950620999995</v>
      </c>
    </row>
    <row r="12" spans="1:111" ht="17.45" customHeight="1">
      <c r="A12" s="509" t="s">
        <v>413</v>
      </c>
      <c r="B12" s="510" t="s">
        <v>469</v>
      </c>
      <c r="C12" s="530">
        <v>457.01446121999999</v>
      </c>
      <c r="D12" s="530">
        <v>515.45755521000001</v>
      </c>
      <c r="E12" s="530">
        <v>530.84705997999993</v>
      </c>
      <c r="F12" s="569">
        <v>681.63857863999999</v>
      </c>
      <c r="G12" s="530">
        <v>744.20513767</v>
      </c>
      <c r="H12" s="570">
        <v>753.02975649999996</v>
      </c>
      <c r="I12" s="530">
        <v>753.65941918999999</v>
      </c>
      <c r="J12" s="530">
        <v>835.84261308999987</v>
      </c>
      <c r="K12" s="530">
        <v>1087.0784110000779</v>
      </c>
      <c r="L12" s="530">
        <v>1421.6584317124737</v>
      </c>
      <c r="M12" s="569">
        <v>1554.2198492087562</v>
      </c>
      <c r="N12" s="530">
        <v>1526.7350495122478</v>
      </c>
      <c r="O12" s="530">
        <v>1552.9840785725028</v>
      </c>
      <c r="P12" s="530">
        <v>1545.0646512879634</v>
      </c>
      <c r="Q12" s="530">
        <v>1567.2359120189892</v>
      </c>
      <c r="R12" s="530">
        <v>1567.5159015099291</v>
      </c>
      <c r="S12" s="530">
        <v>1534.3712525607889</v>
      </c>
      <c r="T12" s="530">
        <v>1610.0166560040411</v>
      </c>
      <c r="U12" s="530">
        <v>1677.2328442354831</v>
      </c>
      <c r="V12" s="530">
        <v>1469.1935739894261</v>
      </c>
      <c r="W12" s="530">
        <v>1479.6290712936184</v>
      </c>
      <c r="X12" s="530">
        <v>1649.7761723797412</v>
      </c>
      <c r="Y12" s="530">
        <v>1621.087096511229</v>
      </c>
      <c r="Z12" s="530">
        <v>1597.7156157749948</v>
      </c>
      <c r="AA12" s="530">
        <v>1635.7438841299072</v>
      </c>
      <c r="AB12" s="530">
        <v>1789.0885431788784</v>
      </c>
      <c r="AC12" s="530">
        <v>1981.2361778775753</v>
      </c>
      <c r="AD12" s="570">
        <v>2040.7009597594742</v>
      </c>
      <c r="AE12" s="530">
        <v>2152.3696522194741</v>
      </c>
      <c r="AF12" s="530">
        <v>2227.5043874214402</v>
      </c>
      <c r="AG12" s="530">
        <v>2405.6833678571538</v>
      </c>
      <c r="AH12" s="530">
        <v>2431.1686737154096</v>
      </c>
      <c r="AI12" s="530">
        <v>2359.8182061754419</v>
      </c>
      <c r="AJ12" s="530">
        <v>2542.7824905130428</v>
      </c>
      <c r="AK12" s="530">
        <v>2786.98897730412</v>
      </c>
      <c r="AL12" s="530">
        <v>2794.5775996119623</v>
      </c>
      <c r="AM12" s="530">
        <v>2845.7893779619762</v>
      </c>
      <c r="AN12" s="530">
        <v>3196.8793688483443</v>
      </c>
      <c r="AO12" s="570">
        <v>3284.7384235900004</v>
      </c>
      <c r="AP12" s="530">
        <v>3370.5772464878446</v>
      </c>
      <c r="AQ12" s="530">
        <v>3362.5335147575006</v>
      </c>
      <c r="AR12" s="530">
        <v>3242.5350589548789</v>
      </c>
      <c r="AS12" s="530">
        <v>3243.5769828183707</v>
      </c>
      <c r="AT12" s="530">
        <v>3212.101977443232</v>
      </c>
      <c r="AU12" s="530">
        <v>3528.1444899201374</v>
      </c>
      <c r="AV12" s="530">
        <v>3668.1143274048891</v>
      </c>
      <c r="AW12" s="530">
        <v>3040.6863560699999</v>
      </c>
      <c r="AX12" s="530">
        <v>3892.3477631199999</v>
      </c>
      <c r="AY12" s="530">
        <v>3812.9155355900002</v>
      </c>
      <c r="AZ12" s="530">
        <v>4643.0949271400004</v>
      </c>
      <c r="BA12" s="530">
        <v>4655.8265504012152</v>
      </c>
      <c r="BB12" s="530">
        <v>4797.5356066253789</v>
      </c>
      <c r="BC12" s="530">
        <v>4858.4439872050689</v>
      </c>
      <c r="BD12" s="530">
        <v>5018.9951775860272</v>
      </c>
      <c r="BE12" s="530">
        <v>5108.5525625099999</v>
      </c>
      <c r="BF12" s="530">
        <v>5136.0190155216706</v>
      </c>
      <c r="BG12" s="530">
        <v>5375.2617324627663</v>
      </c>
      <c r="BH12" s="530">
        <v>5204.4031734839728</v>
      </c>
      <c r="BI12" s="530">
        <v>5294.7415809485901</v>
      </c>
      <c r="BJ12" s="530">
        <v>5389.5584247067127</v>
      </c>
      <c r="BK12" s="530">
        <v>5506.8311308786306</v>
      </c>
      <c r="BL12" s="530">
        <v>5533.9105733253418</v>
      </c>
      <c r="BM12" s="530">
        <v>5220.0635686284932</v>
      </c>
      <c r="BN12" s="530">
        <v>5253.2534951157531</v>
      </c>
      <c r="BO12" s="530">
        <v>5055.8139928335613</v>
      </c>
      <c r="BP12" s="530">
        <v>5071.8111288875698</v>
      </c>
      <c r="BQ12" s="530">
        <v>5187.0713999486243</v>
      </c>
      <c r="BR12" s="530">
        <v>5373.2145499450635</v>
      </c>
      <c r="BS12" s="530">
        <v>5496.4108388183504</v>
      </c>
      <c r="BT12" s="530">
        <v>5502.1555343234186</v>
      </c>
      <c r="BU12" s="530">
        <v>5282.9221058235562</v>
      </c>
      <c r="BV12" s="530">
        <v>5577.549225253556</v>
      </c>
      <c r="BW12" s="530">
        <v>5898.2341095805587</v>
      </c>
      <c r="BX12" s="530">
        <v>5965.9065118883736</v>
      </c>
      <c r="BY12" s="530">
        <v>5841.7637485834011</v>
      </c>
      <c r="BZ12" s="530">
        <v>5870.6417684899998</v>
      </c>
      <c r="CA12" s="530">
        <v>5967.9222720299986</v>
      </c>
      <c r="CB12" s="530">
        <v>6061.3802736099997</v>
      </c>
      <c r="CC12" s="530">
        <v>5843.7213668099994</v>
      </c>
      <c r="CD12" s="530">
        <v>6030.11499757</v>
      </c>
      <c r="CE12" s="530">
        <v>6243.7597201538356</v>
      </c>
      <c r="CF12" s="530">
        <v>6296.1964831525593</v>
      </c>
      <c r="CG12" s="530">
        <v>6135.1521898343826</v>
      </c>
      <c r="CH12" s="530">
        <v>6168.9019908443834</v>
      </c>
      <c r="CI12" s="530">
        <v>6088.834815629999</v>
      </c>
      <c r="CJ12" s="530">
        <v>6372.2730103334243</v>
      </c>
      <c r="CK12" s="530">
        <v>6571.3569222300002</v>
      </c>
      <c r="CL12" s="530">
        <v>6679.1791890441309</v>
      </c>
      <c r="CM12" s="530">
        <v>6901.047641600001</v>
      </c>
      <c r="CN12" s="530">
        <v>6805.8428579500005</v>
      </c>
      <c r="CO12" s="530">
        <v>6900.6683421824655</v>
      </c>
      <c r="CP12" s="530">
        <v>7290.8628264034251</v>
      </c>
      <c r="CQ12" s="530">
        <v>7232.17625133</v>
      </c>
      <c r="CR12" s="530">
        <v>7178.9552939900004</v>
      </c>
      <c r="CS12" s="530">
        <v>6830.7758542300007</v>
      </c>
      <c r="CT12" s="530">
        <v>6898.981702650598</v>
      </c>
      <c r="CU12" s="530">
        <v>7031.2330466524645</v>
      </c>
      <c r="CV12" s="530">
        <v>6818.4623819134231</v>
      </c>
      <c r="CW12" s="530">
        <v>6887.7645292107354</v>
      </c>
      <c r="CX12" s="530">
        <v>7233.675565049999</v>
      </c>
      <c r="CY12" s="530">
        <v>7259.5764643500006</v>
      </c>
      <c r="CZ12" s="530">
        <v>7210.9873709899994</v>
      </c>
      <c r="DA12" s="530">
        <v>6961.9729461199986</v>
      </c>
      <c r="DB12" s="530">
        <v>6924.6676912665753</v>
      </c>
      <c r="DC12" s="512">
        <v>7035.0782110285745</v>
      </c>
      <c r="DD12" s="512">
        <v>7294.461565702054</v>
      </c>
      <c r="DE12" s="512">
        <v>7337.1203470495884</v>
      </c>
      <c r="DF12" s="512">
        <v>7523.4547114169864</v>
      </c>
      <c r="DG12" s="512">
        <v>7859.0443922580826</v>
      </c>
    </row>
    <row r="13" spans="1:111" ht="17.45" customHeight="1">
      <c r="A13" s="509"/>
      <c r="B13" s="510"/>
      <c r="C13" s="565"/>
      <c r="D13" s="565"/>
      <c r="E13" s="565"/>
      <c r="F13" s="566"/>
      <c r="G13" s="565"/>
      <c r="H13" s="567"/>
      <c r="I13" s="565"/>
      <c r="J13" s="565"/>
      <c r="K13" s="565"/>
      <c r="L13" s="565"/>
      <c r="M13" s="566"/>
      <c r="N13" s="565"/>
      <c r="O13" s="565"/>
      <c r="P13" s="565"/>
      <c r="Q13" s="565"/>
      <c r="R13" s="565"/>
      <c r="S13" s="565"/>
      <c r="T13" s="565"/>
      <c r="U13" s="565"/>
      <c r="V13" s="565"/>
      <c r="W13" s="565"/>
      <c r="X13" s="565"/>
      <c r="Y13" s="565"/>
      <c r="Z13" s="565"/>
      <c r="AA13" s="565"/>
      <c r="AB13" s="565"/>
      <c r="AC13" s="565"/>
      <c r="AD13" s="567"/>
      <c r="AE13" s="565"/>
      <c r="AF13" s="565"/>
      <c r="AG13" s="565"/>
      <c r="AH13" s="565"/>
      <c r="AI13" s="565"/>
      <c r="AJ13" s="565"/>
      <c r="AK13" s="565"/>
      <c r="AL13" s="565"/>
      <c r="AM13" s="565"/>
      <c r="AN13" s="565"/>
      <c r="AO13" s="567"/>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565"/>
      <c r="BW13" s="565"/>
      <c r="BX13" s="565"/>
      <c r="BY13" s="565"/>
      <c r="BZ13" s="565"/>
      <c r="CA13" s="565"/>
      <c r="CB13" s="565"/>
      <c r="CC13" s="565"/>
      <c r="CD13" s="565"/>
      <c r="CE13" s="565"/>
      <c r="CF13" s="565"/>
      <c r="CG13" s="565"/>
      <c r="CH13" s="565"/>
      <c r="CI13" s="565"/>
      <c r="CJ13" s="565"/>
      <c r="CK13" s="565"/>
      <c r="CL13" s="565"/>
      <c r="CM13" s="565"/>
      <c r="CN13" s="565"/>
      <c r="CO13" s="565"/>
      <c r="CP13" s="565"/>
      <c r="CQ13" s="565"/>
      <c r="CR13" s="565"/>
      <c r="CS13" s="565"/>
      <c r="CT13" s="565"/>
      <c r="CU13" s="565"/>
      <c r="CV13" s="565"/>
      <c r="CW13" s="565"/>
      <c r="CX13" s="565"/>
      <c r="CY13" s="565"/>
      <c r="CZ13" s="565"/>
      <c r="DA13" s="565"/>
      <c r="DB13" s="565"/>
      <c r="DC13" s="511"/>
      <c r="DD13" s="511"/>
      <c r="DE13" s="511"/>
      <c r="DF13" s="511"/>
      <c r="DG13" s="511"/>
    </row>
    <row r="14" spans="1:111" ht="17.45" customHeight="1">
      <c r="A14" s="505" t="s">
        <v>415</v>
      </c>
      <c r="B14" s="506" t="s">
        <v>416</v>
      </c>
      <c r="C14" s="561">
        <v>3141.7412288734417</v>
      </c>
      <c r="D14" s="561">
        <v>3158.4869030572645</v>
      </c>
      <c r="E14" s="561">
        <v>3198.7408681926768</v>
      </c>
      <c r="F14" s="562">
        <v>3019.9938490326763</v>
      </c>
      <c r="G14" s="561">
        <v>2826.5538611226757</v>
      </c>
      <c r="H14" s="563">
        <v>2799.7486643388174</v>
      </c>
      <c r="I14" s="561">
        <v>2749.5444257012132</v>
      </c>
      <c r="J14" s="561">
        <v>2575.7187005012133</v>
      </c>
      <c r="K14" s="561">
        <v>2041.4957546528001</v>
      </c>
      <c r="L14" s="561">
        <v>2094.8271464709474</v>
      </c>
      <c r="M14" s="562">
        <v>2225.6804032560376</v>
      </c>
      <c r="N14" s="561">
        <v>2350.3789442984998</v>
      </c>
      <c r="O14" s="561">
        <v>2221.7086997548354</v>
      </c>
      <c r="P14" s="561">
        <v>2225.8757117201462</v>
      </c>
      <c r="Q14" s="561">
        <v>2301.1639691281403</v>
      </c>
      <c r="R14" s="561">
        <v>2346.7748384911879</v>
      </c>
      <c r="S14" s="561">
        <v>2244.0625431743097</v>
      </c>
      <c r="T14" s="561">
        <v>2131.419913247481</v>
      </c>
      <c r="U14" s="561">
        <v>2143.713592826371</v>
      </c>
      <c r="V14" s="561">
        <v>2186.1390085502549</v>
      </c>
      <c r="W14" s="561">
        <v>2301.9831274509706</v>
      </c>
      <c r="X14" s="561">
        <v>2321.86058746246</v>
      </c>
      <c r="Y14" s="561">
        <v>2471.76681323808</v>
      </c>
      <c r="Z14" s="561">
        <v>2536.299899499299</v>
      </c>
      <c r="AA14" s="561">
        <v>2516.8508154133183</v>
      </c>
      <c r="AB14" s="561">
        <v>2427.2330756263427</v>
      </c>
      <c r="AC14" s="561">
        <v>2270.0078690333789</v>
      </c>
      <c r="AD14" s="563">
        <v>2365.1709751035214</v>
      </c>
      <c r="AE14" s="561">
        <v>2334.9689097226233</v>
      </c>
      <c r="AF14" s="561">
        <v>2310.6937722622688</v>
      </c>
      <c r="AG14" s="561">
        <v>2139.971821948056</v>
      </c>
      <c r="AH14" s="561">
        <v>1976.2289690552557</v>
      </c>
      <c r="AI14" s="561">
        <v>1965.6124717309676</v>
      </c>
      <c r="AJ14" s="561">
        <v>1745.7364813708782</v>
      </c>
      <c r="AK14" s="561">
        <v>1616.5023866291365</v>
      </c>
      <c r="AL14" s="561">
        <v>1637.1462251732382</v>
      </c>
      <c r="AM14" s="561">
        <v>1628.8841910976505</v>
      </c>
      <c r="AN14" s="561">
        <v>1658.2967303723017</v>
      </c>
      <c r="AO14" s="563">
        <v>1692.3171174499998</v>
      </c>
      <c r="AP14" s="561">
        <v>1994.5838696299363</v>
      </c>
      <c r="AQ14" s="561">
        <v>2017.4659075461332</v>
      </c>
      <c r="AR14" s="561">
        <v>2038.9810114042459</v>
      </c>
      <c r="AS14" s="561">
        <v>1744.6942894492549</v>
      </c>
      <c r="AT14" s="561">
        <v>1836.0300834528859</v>
      </c>
      <c r="AU14" s="561">
        <v>1890.04722036</v>
      </c>
      <c r="AV14" s="561">
        <v>1805.6448480298918</v>
      </c>
      <c r="AW14" s="561">
        <v>1777.091374311319</v>
      </c>
      <c r="AX14" s="561">
        <v>1748.1520837916485</v>
      </c>
      <c r="AY14" s="561">
        <v>1648.7069554700001</v>
      </c>
      <c r="AZ14" s="561">
        <v>1597.3564816750697</v>
      </c>
      <c r="BA14" s="561">
        <v>1602.2370017178173</v>
      </c>
      <c r="BB14" s="561">
        <v>1616.0677548951646</v>
      </c>
      <c r="BC14" s="561">
        <v>1589.4390290758242</v>
      </c>
      <c r="BD14" s="561">
        <v>1593.1882786071428</v>
      </c>
      <c r="BE14" s="561">
        <v>1544.1289795604396</v>
      </c>
      <c r="BF14" s="561">
        <v>1534.7776348191451</v>
      </c>
      <c r="BG14" s="561">
        <v>1550.6753865483333</v>
      </c>
      <c r="BH14" s="561">
        <v>1388.9837204238659</v>
      </c>
      <c r="BI14" s="561">
        <v>1382.9648998331868</v>
      </c>
      <c r="BJ14" s="561">
        <v>1357.56706467546</v>
      </c>
      <c r="BK14" s="561">
        <v>1311.6844934912328</v>
      </c>
      <c r="BL14" s="561">
        <v>1309.3671006326374</v>
      </c>
      <c r="BM14" s="561">
        <v>1306.9037394030634</v>
      </c>
      <c r="BN14" s="561">
        <v>1309.1511247393</v>
      </c>
      <c r="BO14" s="561">
        <v>1494.8586652332981</v>
      </c>
      <c r="BP14" s="561">
        <v>1717.6923635299593</v>
      </c>
      <c r="BQ14" s="561">
        <v>1706.6328342610359</v>
      </c>
      <c r="BR14" s="561">
        <v>1428.1947687079648</v>
      </c>
      <c r="BS14" s="561">
        <v>1422.240900619875</v>
      </c>
      <c r="BT14" s="561">
        <v>1424.9215065481003</v>
      </c>
      <c r="BU14" s="561">
        <v>1689.8318971611109</v>
      </c>
      <c r="BV14" s="561">
        <v>1536.3879081813907</v>
      </c>
      <c r="BW14" s="561">
        <v>1497.3001113685109</v>
      </c>
      <c r="BX14" s="561">
        <v>1496.2893116786543</v>
      </c>
      <c r="BY14" s="561">
        <v>1497.8713312785776</v>
      </c>
      <c r="BZ14" s="561">
        <v>1492.2001580841759</v>
      </c>
      <c r="CA14" s="561">
        <v>1491.1442447524175</v>
      </c>
      <c r="CB14" s="561">
        <v>1494.0817110507694</v>
      </c>
      <c r="CC14" s="561">
        <v>983.03197204417575</v>
      </c>
      <c r="CD14" s="561">
        <v>899.83751579747252</v>
      </c>
      <c r="CE14" s="561">
        <v>901.09174694087915</v>
      </c>
      <c r="CF14" s="561">
        <v>856.63633345417566</v>
      </c>
      <c r="CG14" s="561">
        <v>835.12837561252741</v>
      </c>
      <c r="CH14" s="561">
        <v>762.25248887582404</v>
      </c>
      <c r="CI14" s="561">
        <v>597.45794412999999</v>
      </c>
      <c r="CJ14" s="561">
        <v>577.03089347747255</v>
      </c>
      <c r="CK14" s="561">
        <v>576.93882955076924</v>
      </c>
      <c r="CL14" s="561">
        <v>544.39697262483514</v>
      </c>
      <c r="CM14" s="561">
        <v>320.38611489813184</v>
      </c>
      <c r="CN14" s="561">
        <v>322.69040618648353</v>
      </c>
      <c r="CO14" s="561">
        <v>270.52531707999998</v>
      </c>
      <c r="CP14" s="561">
        <v>346.89328178</v>
      </c>
      <c r="CQ14" s="561">
        <v>343.94443731000001</v>
      </c>
      <c r="CR14" s="561">
        <v>343.65978201000001</v>
      </c>
      <c r="CS14" s="561">
        <v>369.47067464999998</v>
      </c>
      <c r="CT14" s="561">
        <v>370.42300564999999</v>
      </c>
      <c r="CU14" s="561">
        <v>382.08043149000002</v>
      </c>
      <c r="CV14" s="561">
        <v>381.86276723000003</v>
      </c>
      <c r="CW14" s="561">
        <v>378.78838701000001</v>
      </c>
      <c r="CX14" s="561">
        <v>382.15068615999996</v>
      </c>
      <c r="CY14" s="561">
        <v>352.98757789000001</v>
      </c>
      <c r="CZ14" s="561">
        <v>293.83717693</v>
      </c>
      <c r="DA14" s="561">
        <v>255.40701999999999</v>
      </c>
      <c r="DB14" s="561">
        <v>254.450526</v>
      </c>
      <c r="DC14" s="507">
        <v>150.57144</v>
      </c>
      <c r="DD14" s="507">
        <v>148.98216400000001</v>
      </c>
      <c r="DE14" s="507">
        <v>150.072889</v>
      </c>
      <c r="DF14" s="507">
        <v>151.163613</v>
      </c>
      <c r="DG14" s="507">
        <v>152.25433799999999</v>
      </c>
    </row>
    <row r="15" spans="1:111" ht="17.45" customHeight="1">
      <c r="A15" s="509"/>
      <c r="B15" s="510"/>
      <c r="C15" s="565"/>
      <c r="D15" s="565"/>
      <c r="E15" s="565"/>
      <c r="F15" s="566"/>
      <c r="G15" s="565"/>
      <c r="H15" s="567"/>
      <c r="I15" s="565"/>
      <c r="J15" s="565"/>
      <c r="K15" s="565"/>
      <c r="L15" s="565"/>
      <c r="M15" s="566"/>
      <c r="N15" s="565"/>
      <c r="O15" s="565"/>
      <c r="P15" s="565"/>
      <c r="Q15" s="565"/>
      <c r="R15" s="565"/>
      <c r="S15" s="565"/>
      <c r="T15" s="565"/>
      <c r="U15" s="565"/>
      <c r="V15" s="565"/>
      <c r="W15" s="565"/>
      <c r="X15" s="565"/>
      <c r="Y15" s="565"/>
      <c r="Z15" s="565"/>
      <c r="AA15" s="565"/>
      <c r="AB15" s="565"/>
      <c r="AC15" s="565"/>
      <c r="AD15" s="567"/>
      <c r="AE15" s="565"/>
      <c r="AF15" s="565"/>
      <c r="AG15" s="565"/>
      <c r="AH15" s="565"/>
      <c r="AI15" s="565"/>
      <c r="AJ15" s="565"/>
      <c r="AK15" s="565"/>
      <c r="AL15" s="565"/>
      <c r="AM15" s="565"/>
      <c r="AN15" s="565"/>
      <c r="AO15" s="567"/>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565"/>
      <c r="BW15" s="565"/>
      <c r="BX15" s="565"/>
      <c r="BY15" s="565"/>
      <c r="BZ15" s="565"/>
      <c r="CA15" s="565"/>
      <c r="CB15" s="565"/>
      <c r="CC15" s="565"/>
      <c r="CD15" s="565"/>
      <c r="CE15" s="565"/>
      <c r="CF15" s="565"/>
      <c r="CG15" s="565"/>
      <c r="CH15" s="565"/>
      <c r="CI15" s="565"/>
      <c r="CJ15" s="565"/>
      <c r="CK15" s="565"/>
      <c r="CL15" s="565"/>
      <c r="CM15" s="565"/>
      <c r="CN15" s="565"/>
      <c r="CO15" s="565"/>
      <c r="CP15" s="565"/>
      <c r="CQ15" s="565"/>
      <c r="CR15" s="565"/>
      <c r="CS15" s="565"/>
      <c r="CT15" s="565"/>
      <c r="CU15" s="565"/>
      <c r="CV15" s="565"/>
      <c r="CW15" s="565"/>
      <c r="CX15" s="565"/>
      <c r="CY15" s="565"/>
      <c r="CZ15" s="565"/>
      <c r="DA15" s="565"/>
      <c r="DB15" s="565"/>
      <c r="DC15" s="511"/>
      <c r="DD15" s="511"/>
      <c r="DE15" s="511"/>
      <c r="DF15" s="511"/>
      <c r="DG15" s="511"/>
    </row>
    <row r="16" spans="1:111" ht="17.45" customHeight="1">
      <c r="A16" s="505" t="s">
        <v>417</v>
      </c>
      <c r="B16" s="506" t="s">
        <v>201</v>
      </c>
      <c r="C16" s="561">
        <v>19280.686609455002</v>
      </c>
      <c r="D16" s="561">
        <v>19682.263737385001</v>
      </c>
      <c r="E16" s="561">
        <v>20095.335074604998</v>
      </c>
      <c r="F16" s="562">
        <v>20441.747822915</v>
      </c>
      <c r="G16" s="561">
        <v>20780.148270494999</v>
      </c>
      <c r="H16" s="563">
        <v>21427.871552655</v>
      </c>
      <c r="I16" s="561">
        <v>21669.938592495004</v>
      </c>
      <c r="J16" s="561">
        <v>21829.047462724899</v>
      </c>
      <c r="K16" s="561">
        <v>22185.69245881835</v>
      </c>
      <c r="L16" s="561">
        <v>22558.82191060828</v>
      </c>
      <c r="M16" s="562">
        <v>22766.005455108334</v>
      </c>
      <c r="N16" s="561">
        <v>23074.362108668334</v>
      </c>
      <c r="O16" s="561">
        <v>23573.191331509999</v>
      </c>
      <c r="P16" s="561">
        <v>23838.098927788335</v>
      </c>
      <c r="Q16" s="561">
        <v>24177.23605715482</v>
      </c>
      <c r="R16" s="561">
        <v>24260.79051913966</v>
      </c>
      <c r="S16" s="561">
        <v>24437.149945565579</v>
      </c>
      <c r="T16" s="561">
        <v>24416.239853871451</v>
      </c>
      <c r="U16" s="561">
        <v>24775.490089183892</v>
      </c>
      <c r="V16" s="561">
        <v>24877.945276231261</v>
      </c>
      <c r="W16" s="561">
        <v>25120.538099127254</v>
      </c>
      <c r="X16" s="561">
        <v>25114.490238064249</v>
      </c>
      <c r="Y16" s="561">
        <v>25256.256243402084</v>
      </c>
      <c r="Z16" s="561">
        <v>25481.765030134087</v>
      </c>
      <c r="AA16" s="561">
        <v>25667.983855303781</v>
      </c>
      <c r="AB16" s="561">
        <v>25792.365500695756</v>
      </c>
      <c r="AC16" s="561">
        <v>26040.12614954347</v>
      </c>
      <c r="AD16" s="563">
        <v>25663.439008322261</v>
      </c>
      <c r="AE16" s="561">
        <v>25770.759532202264</v>
      </c>
      <c r="AF16" s="561">
        <v>25937.977353974002</v>
      </c>
      <c r="AG16" s="561">
        <v>26169.60233799852</v>
      </c>
      <c r="AH16" s="561">
        <v>26405.511088405387</v>
      </c>
      <c r="AI16" s="561">
        <v>26563.529757496541</v>
      </c>
      <c r="AJ16" s="561">
        <v>27228.746922904633</v>
      </c>
      <c r="AK16" s="561">
        <v>27167.981810980313</v>
      </c>
      <c r="AL16" s="561">
        <v>27368.44370091848</v>
      </c>
      <c r="AM16" s="561">
        <v>27554.190427132624</v>
      </c>
      <c r="AN16" s="561">
        <v>27922.958616314037</v>
      </c>
      <c r="AO16" s="563">
        <v>28976.56596627878</v>
      </c>
      <c r="AP16" s="561">
        <v>28536.239430975584</v>
      </c>
      <c r="AQ16" s="561">
        <v>30690.461290447347</v>
      </c>
      <c r="AR16" s="561">
        <v>31053.694298561571</v>
      </c>
      <c r="AS16" s="561">
        <v>31650.981623799351</v>
      </c>
      <c r="AT16" s="561">
        <v>31588.001687477969</v>
      </c>
      <c r="AU16" s="561">
        <v>31747.432400730002</v>
      </c>
      <c r="AV16" s="561">
        <v>31710.719602555924</v>
      </c>
      <c r="AW16" s="561">
        <v>31833.034198610003</v>
      </c>
      <c r="AX16" s="561">
        <v>31904.786749660001</v>
      </c>
      <c r="AY16" s="561">
        <v>31840.432635949997</v>
      </c>
      <c r="AZ16" s="561">
        <v>31938.005386186665</v>
      </c>
      <c r="BA16" s="561">
        <v>31970.764195243606</v>
      </c>
      <c r="BB16" s="561">
        <v>32229.28689672667</v>
      </c>
      <c r="BC16" s="561">
        <v>32917.23159522756</v>
      </c>
      <c r="BD16" s="561">
        <v>32957.186442291677</v>
      </c>
      <c r="BE16" s="561">
        <v>32142.775760440079</v>
      </c>
      <c r="BF16" s="561">
        <v>32238.896928697581</v>
      </c>
      <c r="BG16" s="561">
        <v>32141.241751251986</v>
      </c>
      <c r="BH16" s="561">
        <v>32310.131745688977</v>
      </c>
      <c r="BI16" s="561">
        <v>32446.340152611516</v>
      </c>
      <c r="BJ16" s="561">
        <v>32538.128343344084</v>
      </c>
      <c r="BK16" s="561">
        <v>30674.473151837272</v>
      </c>
      <c r="BL16" s="561">
        <v>31011.421933601414</v>
      </c>
      <c r="BM16" s="561">
        <v>31198.389450033043</v>
      </c>
      <c r="BN16" s="561">
        <v>31306.999086148087</v>
      </c>
      <c r="BO16" s="561">
        <v>31542.615906547366</v>
      </c>
      <c r="BP16" s="561">
        <v>31782.78837332538</v>
      </c>
      <c r="BQ16" s="561">
        <v>32132.173073309463</v>
      </c>
      <c r="BR16" s="561">
        <v>32422.938862338746</v>
      </c>
      <c r="BS16" s="561">
        <v>32558.177056714216</v>
      </c>
      <c r="BT16" s="561">
        <v>33466.647589161446</v>
      </c>
      <c r="BU16" s="561">
        <v>34115.828833809268</v>
      </c>
      <c r="BV16" s="561">
        <v>34487.366723820065</v>
      </c>
      <c r="BW16" s="561">
        <v>34728.556922494121</v>
      </c>
      <c r="BX16" s="561">
        <v>35027.178391814639</v>
      </c>
      <c r="BY16" s="561">
        <v>35226.666012681577</v>
      </c>
      <c r="BZ16" s="561">
        <v>35566.117407309997</v>
      </c>
      <c r="CA16" s="561">
        <v>36266.410718365492</v>
      </c>
      <c r="CB16" s="561">
        <v>36656.435974315507</v>
      </c>
      <c r="CC16" s="561">
        <v>36231.389484940497</v>
      </c>
      <c r="CD16" s="561">
        <v>36259.015244370501</v>
      </c>
      <c r="CE16" s="561">
        <v>36690.646576840503</v>
      </c>
      <c r="CF16" s="561">
        <v>36901.119479850502</v>
      </c>
      <c r="CG16" s="561">
        <v>37287.475629000495</v>
      </c>
      <c r="CH16" s="561">
        <v>35797.569851870496</v>
      </c>
      <c r="CI16" s="561">
        <v>36258.0757674345</v>
      </c>
      <c r="CJ16" s="561">
        <v>36665.628977974506</v>
      </c>
      <c r="CK16" s="561">
        <v>36902.350835028687</v>
      </c>
      <c r="CL16" s="561">
        <v>37232.396207974496</v>
      </c>
      <c r="CM16" s="561">
        <v>37573.278528558367</v>
      </c>
      <c r="CN16" s="561">
        <v>37873.332235133777</v>
      </c>
      <c r="CO16" s="561">
        <v>38393.795160858266</v>
      </c>
      <c r="CP16" s="561">
        <v>38456.460590937633</v>
      </c>
      <c r="CQ16" s="561">
        <v>40230.224848859463</v>
      </c>
      <c r="CR16" s="561">
        <v>40855.545771395591</v>
      </c>
      <c r="CS16" s="561">
        <v>41222.454580285594</v>
      </c>
      <c r="CT16" s="561">
        <v>41810.098423441894</v>
      </c>
      <c r="CU16" s="561">
        <v>42530.720588094489</v>
      </c>
      <c r="CV16" s="561">
        <v>42823.916854008188</v>
      </c>
      <c r="CW16" s="561">
        <v>43778.738088250575</v>
      </c>
      <c r="CX16" s="561">
        <v>44212.171640411209</v>
      </c>
      <c r="CY16" s="561">
        <v>44754.68898334961</v>
      </c>
      <c r="CZ16" s="561">
        <v>45354.600058453805</v>
      </c>
      <c r="DA16" s="561">
        <v>45911.101409883806</v>
      </c>
      <c r="DB16" s="561">
        <v>46092.867616790805</v>
      </c>
      <c r="DC16" s="507">
        <v>46407.16287974421</v>
      </c>
      <c r="DD16" s="507">
        <v>46893.642887624213</v>
      </c>
      <c r="DE16" s="507">
        <v>47231.245784361956</v>
      </c>
      <c r="DF16" s="507">
        <v>47774.257493931946</v>
      </c>
      <c r="DG16" s="507">
        <v>48299.801104958256</v>
      </c>
    </row>
    <row r="17" spans="1:111" ht="17.45" customHeight="1">
      <c r="A17" s="509"/>
      <c r="B17" s="510"/>
      <c r="C17" s="565"/>
      <c r="D17" s="565"/>
      <c r="E17" s="565"/>
      <c r="F17" s="566"/>
      <c r="G17" s="565"/>
      <c r="H17" s="567"/>
      <c r="I17" s="565"/>
      <c r="J17" s="565"/>
      <c r="K17" s="565"/>
      <c r="L17" s="565"/>
      <c r="M17" s="566"/>
      <c r="N17" s="565"/>
      <c r="O17" s="565"/>
      <c r="P17" s="565"/>
      <c r="Q17" s="565"/>
      <c r="R17" s="565"/>
      <c r="S17" s="565"/>
      <c r="T17" s="565"/>
      <c r="U17" s="565"/>
      <c r="V17" s="565"/>
      <c r="W17" s="565"/>
      <c r="X17" s="565"/>
      <c r="Y17" s="565"/>
      <c r="Z17" s="565"/>
      <c r="AA17" s="565"/>
      <c r="AB17" s="565"/>
      <c r="AC17" s="565"/>
      <c r="AD17" s="567"/>
      <c r="AE17" s="565"/>
      <c r="AF17" s="565"/>
      <c r="AG17" s="565"/>
      <c r="AH17" s="565"/>
      <c r="AI17" s="565"/>
      <c r="AJ17" s="565"/>
      <c r="AK17" s="565"/>
      <c r="AL17" s="565"/>
      <c r="AM17" s="565"/>
      <c r="AN17" s="565"/>
      <c r="AO17" s="567"/>
      <c r="AP17" s="565"/>
      <c r="AQ17" s="565"/>
      <c r="AR17" s="565"/>
      <c r="AS17" s="565"/>
      <c r="AT17" s="565"/>
      <c r="AU17" s="565"/>
      <c r="AV17" s="565"/>
      <c r="AW17" s="565"/>
      <c r="AX17" s="565"/>
      <c r="AY17" s="565"/>
      <c r="AZ17" s="565"/>
      <c r="BA17" s="565"/>
      <c r="BB17" s="565"/>
      <c r="BC17" s="565"/>
      <c r="BD17" s="565"/>
      <c r="BE17" s="565"/>
      <c r="BF17" s="565"/>
      <c r="BG17" s="565"/>
      <c r="BH17" s="565"/>
      <c r="BI17" s="565"/>
      <c r="BJ17" s="565"/>
      <c r="BK17" s="565"/>
      <c r="BL17" s="565"/>
      <c r="BM17" s="565"/>
      <c r="BN17" s="565"/>
      <c r="BO17" s="565"/>
      <c r="BP17" s="565"/>
      <c r="BQ17" s="565"/>
      <c r="BR17" s="565"/>
      <c r="BS17" s="565"/>
      <c r="BT17" s="565"/>
      <c r="BU17" s="565"/>
      <c r="BV17" s="565"/>
      <c r="BW17" s="565"/>
      <c r="BX17" s="565"/>
      <c r="BY17" s="565"/>
      <c r="BZ17" s="565"/>
      <c r="CA17" s="565"/>
      <c r="CB17" s="565"/>
      <c r="CC17" s="565"/>
      <c r="CD17" s="565"/>
      <c r="CE17" s="565"/>
      <c r="CF17" s="565"/>
      <c r="CG17" s="565"/>
      <c r="CH17" s="565"/>
      <c r="CI17" s="565"/>
      <c r="CJ17" s="565"/>
      <c r="CK17" s="565"/>
      <c r="CL17" s="565"/>
      <c r="CM17" s="565"/>
      <c r="CN17" s="565"/>
      <c r="CO17" s="565"/>
      <c r="CP17" s="565"/>
      <c r="CQ17" s="565"/>
      <c r="CR17" s="565"/>
      <c r="CS17" s="565"/>
      <c r="CT17" s="565"/>
      <c r="CU17" s="565"/>
      <c r="CV17" s="565"/>
      <c r="CW17" s="565"/>
      <c r="CX17" s="565"/>
      <c r="CY17" s="565"/>
      <c r="CZ17" s="565"/>
      <c r="DA17" s="565"/>
      <c r="DB17" s="565"/>
      <c r="DC17" s="511"/>
      <c r="DD17" s="511"/>
      <c r="DE17" s="511"/>
      <c r="DF17" s="511"/>
      <c r="DG17" s="511"/>
    </row>
    <row r="18" spans="1:111" ht="17.45" customHeight="1">
      <c r="A18" s="505" t="s">
        <v>418</v>
      </c>
      <c r="B18" s="506" t="s">
        <v>419</v>
      </c>
      <c r="C18" s="561">
        <v>249.33754500999999</v>
      </c>
      <c r="D18" s="561">
        <v>264.05557626000001</v>
      </c>
      <c r="E18" s="561">
        <v>282.63213625999998</v>
      </c>
      <c r="F18" s="562">
        <v>295.31597005999998</v>
      </c>
      <c r="G18" s="561">
        <v>268.50543526000001</v>
      </c>
      <c r="H18" s="563">
        <v>236.63516826</v>
      </c>
      <c r="I18" s="561">
        <v>219.25531925999999</v>
      </c>
      <c r="J18" s="561">
        <v>87.311757260000007</v>
      </c>
      <c r="K18" s="561">
        <v>115.57686126</v>
      </c>
      <c r="L18" s="561">
        <v>115.65866626</v>
      </c>
      <c r="M18" s="562">
        <v>115.72814726</v>
      </c>
      <c r="N18" s="561">
        <v>115.71674726000001</v>
      </c>
      <c r="O18" s="561">
        <v>98.185628260000001</v>
      </c>
      <c r="P18" s="561">
        <v>97.894697260000001</v>
      </c>
      <c r="Q18" s="561">
        <v>99.396492260000002</v>
      </c>
      <c r="R18" s="561">
        <v>99.915569260000012</v>
      </c>
      <c r="S18" s="561">
        <v>101.43657702103678</v>
      </c>
      <c r="T18" s="561">
        <v>103.10802426000001</v>
      </c>
      <c r="U18" s="561">
        <v>114.30672826</v>
      </c>
      <c r="V18" s="561">
        <v>114.7917113</v>
      </c>
      <c r="W18" s="561">
        <v>112.68156833157674</v>
      </c>
      <c r="X18" s="561">
        <v>116.20933165546708</v>
      </c>
      <c r="Y18" s="561">
        <v>115.14950657999999</v>
      </c>
      <c r="Z18" s="561">
        <v>114.80572158</v>
      </c>
      <c r="AA18" s="561">
        <v>116.01910428000001</v>
      </c>
      <c r="AB18" s="561">
        <v>117.12312128000001</v>
      </c>
      <c r="AC18" s="561">
        <v>118.72713528</v>
      </c>
      <c r="AD18" s="563">
        <v>119.80985028000001</v>
      </c>
      <c r="AE18" s="561">
        <v>122.54243328</v>
      </c>
      <c r="AF18" s="561">
        <v>149.63137528000001</v>
      </c>
      <c r="AG18" s="561">
        <v>161.49389927999999</v>
      </c>
      <c r="AH18" s="561">
        <v>160.12539828000001</v>
      </c>
      <c r="AI18" s="561">
        <v>144.78691628000001</v>
      </c>
      <c r="AJ18" s="561">
        <v>143.44226227999999</v>
      </c>
      <c r="AK18" s="561">
        <v>278.87764827999996</v>
      </c>
      <c r="AL18" s="561">
        <v>284.88362527999999</v>
      </c>
      <c r="AM18" s="561">
        <v>292.43977027999995</v>
      </c>
      <c r="AN18" s="561">
        <v>292.31112622964417</v>
      </c>
      <c r="AO18" s="563">
        <v>162.08623628000001</v>
      </c>
      <c r="AP18" s="561">
        <v>160.46530868000002</v>
      </c>
      <c r="AQ18" s="561">
        <v>160.37438928</v>
      </c>
      <c r="AR18" s="561">
        <v>158.96110628</v>
      </c>
      <c r="AS18" s="561">
        <v>170.63793128</v>
      </c>
      <c r="AT18" s="561">
        <v>200.33315328</v>
      </c>
      <c r="AU18" s="561">
        <v>196.35077527999999</v>
      </c>
      <c r="AV18" s="561">
        <v>199.52542027999999</v>
      </c>
      <c r="AW18" s="561">
        <v>201.61337728000001</v>
      </c>
      <c r="AX18" s="561">
        <v>203.72184128000001</v>
      </c>
      <c r="AY18" s="561">
        <v>195.21189828000001</v>
      </c>
      <c r="AZ18" s="561">
        <v>195.68911628000001</v>
      </c>
      <c r="BA18" s="561">
        <v>195.87071578000001</v>
      </c>
      <c r="BB18" s="561">
        <v>198.48957028000001</v>
      </c>
      <c r="BC18" s="561">
        <v>198.51568327999999</v>
      </c>
      <c r="BD18" s="561">
        <v>198.79167228</v>
      </c>
      <c r="BE18" s="561">
        <v>200.21129628</v>
      </c>
      <c r="BF18" s="561">
        <v>200.20880728</v>
      </c>
      <c r="BG18" s="561">
        <v>199.87773028000001</v>
      </c>
      <c r="BH18" s="561">
        <v>197.62053528000001</v>
      </c>
      <c r="BI18" s="561">
        <v>198.08945528000001</v>
      </c>
      <c r="BJ18" s="561">
        <v>197.67891327999999</v>
      </c>
      <c r="BK18" s="561">
        <v>186.66825628000001</v>
      </c>
      <c r="BL18" s="561">
        <v>186.62867428000001</v>
      </c>
      <c r="BM18" s="561">
        <v>186.76575928</v>
      </c>
      <c r="BN18" s="561">
        <v>157.23791027999999</v>
      </c>
      <c r="BO18" s="561">
        <v>160.66269428000001</v>
      </c>
      <c r="BP18" s="561">
        <v>160.59662028</v>
      </c>
      <c r="BQ18" s="561">
        <v>161.74217028000001</v>
      </c>
      <c r="BR18" s="561">
        <v>161.77023828</v>
      </c>
      <c r="BS18" s="561">
        <v>156.77844927999999</v>
      </c>
      <c r="BT18" s="561">
        <v>153.57595050788547</v>
      </c>
      <c r="BU18" s="561">
        <v>153.66006150788544</v>
      </c>
      <c r="BV18" s="561">
        <v>153.54583050788546</v>
      </c>
      <c r="BW18" s="561">
        <v>153.17732850788545</v>
      </c>
      <c r="BX18" s="561">
        <v>152.55508650788545</v>
      </c>
      <c r="BY18" s="561">
        <v>152.51616350788547</v>
      </c>
      <c r="BZ18" s="561">
        <v>151.20087450788546</v>
      </c>
      <c r="CA18" s="561">
        <v>152.45278150788545</v>
      </c>
      <c r="CB18" s="561">
        <v>152.02979650788546</v>
      </c>
      <c r="CC18" s="561">
        <v>142.46591828000001</v>
      </c>
      <c r="CD18" s="561">
        <v>143.37853128</v>
      </c>
      <c r="CE18" s="561">
        <v>147.06950028</v>
      </c>
      <c r="CF18" s="561">
        <v>129.44820827999999</v>
      </c>
      <c r="CG18" s="561">
        <v>129.41604328</v>
      </c>
      <c r="CH18" s="561">
        <v>29.07319</v>
      </c>
      <c r="CI18" s="561">
        <v>29.432873000000001</v>
      </c>
      <c r="CJ18" s="561">
        <v>29.306000999999998</v>
      </c>
      <c r="CK18" s="561">
        <v>29.147027999999999</v>
      </c>
      <c r="CL18" s="561">
        <v>29.707805</v>
      </c>
      <c r="CM18" s="561">
        <v>30.178381999999999</v>
      </c>
      <c r="CN18" s="561">
        <v>30.147749000000001</v>
      </c>
      <c r="CO18" s="561">
        <v>31.180561999999998</v>
      </c>
      <c r="CP18" s="561">
        <v>31.965938000000001</v>
      </c>
      <c r="CQ18" s="561">
        <v>32.355226000000002</v>
      </c>
      <c r="CR18" s="561">
        <v>33.077812000000002</v>
      </c>
      <c r="CS18" s="561">
        <v>32.854852000000001</v>
      </c>
      <c r="CT18" s="561">
        <v>33.050890000000003</v>
      </c>
      <c r="CU18" s="561">
        <v>32.887822</v>
      </c>
      <c r="CV18" s="561">
        <v>32.465772000000001</v>
      </c>
      <c r="CW18" s="561">
        <v>33.215324000000003</v>
      </c>
      <c r="CX18" s="561">
        <v>34.334909000000003</v>
      </c>
      <c r="CY18" s="561">
        <v>35.026667000000003</v>
      </c>
      <c r="CZ18" s="561">
        <v>35.356037000000001</v>
      </c>
      <c r="DA18" s="561">
        <v>35.864004000000001</v>
      </c>
      <c r="DB18" s="561">
        <v>35.611902999999998</v>
      </c>
      <c r="DC18" s="507">
        <v>36.130251000000001</v>
      </c>
      <c r="DD18" s="507">
        <v>35.901780000000002</v>
      </c>
      <c r="DE18" s="507">
        <v>36.136063</v>
      </c>
      <c r="DF18" s="507">
        <v>36.867193999999998</v>
      </c>
      <c r="DG18" s="507">
        <v>30.581300500000001</v>
      </c>
    </row>
    <row r="19" spans="1:111" ht="17.45" customHeight="1">
      <c r="A19" s="509"/>
      <c r="B19" s="514"/>
      <c r="C19" s="565"/>
      <c r="D19" s="565"/>
      <c r="E19" s="565"/>
      <c r="F19" s="566"/>
      <c r="G19" s="565"/>
      <c r="H19" s="567"/>
      <c r="I19" s="565"/>
      <c r="J19" s="565"/>
      <c r="K19" s="565"/>
      <c r="L19" s="565"/>
      <c r="M19" s="566"/>
      <c r="N19" s="565"/>
      <c r="O19" s="565"/>
      <c r="P19" s="565"/>
      <c r="Q19" s="565"/>
      <c r="R19" s="565"/>
      <c r="S19" s="565"/>
      <c r="T19" s="565"/>
      <c r="U19" s="565"/>
      <c r="V19" s="565"/>
      <c r="W19" s="565"/>
      <c r="X19" s="565"/>
      <c r="Y19" s="565"/>
      <c r="Z19" s="565"/>
      <c r="AA19" s="565"/>
      <c r="AB19" s="565"/>
      <c r="AC19" s="565"/>
      <c r="AD19" s="567"/>
      <c r="AE19" s="565"/>
      <c r="AF19" s="565"/>
      <c r="AG19" s="565"/>
      <c r="AH19" s="565"/>
      <c r="AI19" s="565"/>
      <c r="AJ19" s="565"/>
      <c r="AK19" s="565"/>
      <c r="AL19" s="565"/>
      <c r="AM19" s="565"/>
      <c r="AN19" s="565"/>
      <c r="AO19" s="567"/>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565"/>
      <c r="BT19" s="565"/>
      <c r="BU19" s="565"/>
      <c r="BV19" s="565"/>
      <c r="BW19" s="565"/>
      <c r="BX19" s="565"/>
      <c r="BY19" s="565"/>
      <c r="BZ19" s="565"/>
      <c r="CA19" s="565"/>
      <c r="CB19" s="565"/>
      <c r="CC19" s="565"/>
      <c r="CD19" s="565"/>
      <c r="CE19" s="565"/>
      <c r="CF19" s="565"/>
      <c r="CG19" s="565"/>
      <c r="CH19" s="565"/>
      <c r="CI19" s="565"/>
      <c r="CJ19" s="565"/>
      <c r="CK19" s="565"/>
      <c r="CL19" s="565"/>
      <c r="CM19" s="565"/>
      <c r="CN19" s="565"/>
      <c r="CO19" s="565"/>
      <c r="CP19" s="565"/>
      <c r="CQ19" s="565"/>
      <c r="CR19" s="565"/>
      <c r="CS19" s="565"/>
      <c r="CT19" s="565"/>
      <c r="CU19" s="565"/>
      <c r="CV19" s="565"/>
      <c r="CW19" s="565"/>
      <c r="CX19" s="565"/>
      <c r="CY19" s="565"/>
      <c r="CZ19" s="565"/>
      <c r="DA19" s="565"/>
      <c r="DB19" s="565"/>
      <c r="DC19" s="511"/>
      <c r="DD19" s="511"/>
      <c r="DE19" s="511"/>
      <c r="DF19" s="511"/>
      <c r="DG19" s="511"/>
    </row>
    <row r="20" spans="1:111" ht="17.45" customHeight="1">
      <c r="A20" s="505" t="s">
        <v>420</v>
      </c>
      <c r="B20" s="506" t="s">
        <v>421</v>
      </c>
      <c r="C20" s="561">
        <v>0</v>
      </c>
      <c r="D20" s="561">
        <v>0</v>
      </c>
      <c r="E20" s="561">
        <v>0</v>
      </c>
      <c r="F20" s="562">
        <v>0</v>
      </c>
      <c r="G20" s="561">
        <v>0</v>
      </c>
      <c r="H20" s="563">
        <v>0</v>
      </c>
      <c r="I20" s="561">
        <v>0</v>
      </c>
      <c r="J20" s="561">
        <v>0</v>
      </c>
      <c r="K20" s="561">
        <v>0</v>
      </c>
      <c r="L20" s="561">
        <v>0</v>
      </c>
      <c r="M20" s="562">
        <v>0</v>
      </c>
      <c r="N20" s="561">
        <v>0</v>
      </c>
      <c r="O20" s="561">
        <v>0</v>
      </c>
      <c r="P20" s="561">
        <v>0</v>
      </c>
      <c r="Q20" s="561">
        <v>0</v>
      </c>
      <c r="R20" s="561">
        <v>0</v>
      </c>
      <c r="S20" s="561">
        <v>0</v>
      </c>
      <c r="T20" s="561">
        <v>0</v>
      </c>
      <c r="U20" s="561">
        <v>0</v>
      </c>
      <c r="V20" s="561">
        <v>0</v>
      </c>
      <c r="W20" s="561">
        <v>0</v>
      </c>
      <c r="X20" s="561">
        <v>0</v>
      </c>
      <c r="Y20" s="561">
        <v>0</v>
      </c>
      <c r="Z20" s="561">
        <v>0</v>
      </c>
      <c r="AA20" s="561">
        <v>0</v>
      </c>
      <c r="AB20" s="561">
        <v>0</v>
      </c>
      <c r="AC20" s="561">
        <v>0</v>
      </c>
      <c r="AD20" s="563">
        <v>0</v>
      </c>
      <c r="AE20" s="561">
        <v>0</v>
      </c>
      <c r="AF20" s="561">
        <v>0</v>
      </c>
      <c r="AG20" s="561">
        <v>0</v>
      </c>
      <c r="AH20" s="561">
        <v>0</v>
      </c>
      <c r="AI20" s="561">
        <v>0</v>
      </c>
      <c r="AJ20" s="561">
        <v>0</v>
      </c>
      <c r="AK20" s="561">
        <v>0</v>
      </c>
      <c r="AL20" s="561">
        <v>0</v>
      </c>
      <c r="AM20" s="561">
        <v>0</v>
      </c>
      <c r="AN20" s="561">
        <v>0</v>
      </c>
      <c r="AO20" s="563">
        <v>0</v>
      </c>
      <c r="AP20" s="561">
        <v>0</v>
      </c>
      <c r="AQ20" s="561">
        <v>0</v>
      </c>
      <c r="AR20" s="561">
        <v>0</v>
      </c>
      <c r="AS20" s="561">
        <v>0</v>
      </c>
      <c r="AT20" s="561">
        <v>0</v>
      </c>
      <c r="AU20" s="561">
        <v>0</v>
      </c>
      <c r="AV20" s="561">
        <v>0</v>
      </c>
      <c r="AW20" s="561">
        <v>0</v>
      </c>
      <c r="AX20" s="561">
        <v>0</v>
      </c>
      <c r="AY20" s="561">
        <v>0</v>
      </c>
      <c r="AZ20" s="561">
        <v>0</v>
      </c>
      <c r="BA20" s="561">
        <v>0</v>
      </c>
      <c r="BB20" s="561">
        <v>0</v>
      </c>
      <c r="BC20" s="561">
        <v>0</v>
      </c>
      <c r="BD20" s="561">
        <v>0</v>
      </c>
      <c r="BE20" s="561">
        <v>0</v>
      </c>
      <c r="BF20" s="561">
        <v>0</v>
      </c>
      <c r="BG20" s="561">
        <v>0</v>
      </c>
      <c r="BH20" s="561">
        <v>0</v>
      </c>
      <c r="BI20" s="561">
        <v>0</v>
      </c>
      <c r="BJ20" s="561">
        <v>0</v>
      </c>
      <c r="BK20" s="561">
        <v>0</v>
      </c>
      <c r="BL20" s="561">
        <v>0</v>
      </c>
      <c r="BM20" s="561">
        <v>0</v>
      </c>
      <c r="BN20" s="561">
        <v>0</v>
      </c>
      <c r="BO20" s="561">
        <v>0</v>
      </c>
      <c r="BP20" s="561">
        <v>0</v>
      </c>
      <c r="BQ20" s="561">
        <v>0</v>
      </c>
      <c r="BR20" s="561">
        <v>0</v>
      </c>
      <c r="BS20" s="561">
        <v>0</v>
      </c>
      <c r="BT20" s="561">
        <v>0</v>
      </c>
      <c r="BU20" s="561">
        <v>0</v>
      </c>
      <c r="BV20" s="561">
        <v>0</v>
      </c>
      <c r="BW20" s="561">
        <v>0</v>
      </c>
      <c r="BX20" s="561">
        <v>0</v>
      </c>
      <c r="BY20" s="561">
        <v>0</v>
      </c>
      <c r="BZ20" s="561">
        <v>0</v>
      </c>
      <c r="CA20" s="561">
        <v>0</v>
      </c>
      <c r="CB20" s="561">
        <v>0</v>
      </c>
      <c r="CC20" s="561">
        <v>0</v>
      </c>
      <c r="CD20" s="561">
        <v>0</v>
      </c>
      <c r="CE20" s="561">
        <v>0</v>
      </c>
      <c r="CF20" s="561">
        <v>0</v>
      </c>
      <c r="CG20" s="561">
        <v>0</v>
      </c>
      <c r="CH20" s="561">
        <v>0</v>
      </c>
      <c r="CI20" s="561">
        <v>0</v>
      </c>
      <c r="CJ20" s="561">
        <v>0</v>
      </c>
      <c r="CK20" s="561">
        <v>0</v>
      </c>
      <c r="CL20" s="561">
        <v>0</v>
      </c>
      <c r="CM20" s="561">
        <v>0</v>
      </c>
      <c r="CN20" s="561">
        <v>0</v>
      </c>
      <c r="CO20" s="561">
        <v>0</v>
      </c>
      <c r="CP20" s="561">
        <v>0</v>
      </c>
      <c r="CQ20" s="561">
        <v>0</v>
      </c>
      <c r="CR20" s="561">
        <v>0</v>
      </c>
      <c r="CS20" s="561">
        <v>0</v>
      </c>
      <c r="CT20" s="561">
        <v>0</v>
      </c>
      <c r="CU20" s="561">
        <v>0</v>
      </c>
      <c r="CV20" s="561">
        <v>0</v>
      </c>
      <c r="CW20" s="561">
        <v>0</v>
      </c>
      <c r="CX20" s="561">
        <v>0</v>
      </c>
      <c r="CY20" s="561">
        <v>0</v>
      </c>
      <c r="CZ20" s="561">
        <v>0</v>
      </c>
      <c r="DA20" s="561">
        <v>0</v>
      </c>
      <c r="DB20" s="561">
        <v>0</v>
      </c>
      <c r="DC20" s="507">
        <v>0</v>
      </c>
      <c r="DD20" s="507">
        <v>0</v>
      </c>
      <c r="DE20" s="507">
        <v>0</v>
      </c>
      <c r="DF20" s="507">
        <v>0</v>
      </c>
      <c r="DG20" s="507">
        <v>0</v>
      </c>
    </row>
    <row r="21" spans="1:111" ht="17.45" customHeight="1">
      <c r="A21" s="509"/>
      <c r="B21" s="510"/>
      <c r="C21" s="565"/>
      <c r="D21" s="565"/>
      <c r="E21" s="565"/>
      <c r="F21" s="566"/>
      <c r="G21" s="565"/>
      <c r="H21" s="567"/>
      <c r="I21" s="565"/>
      <c r="J21" s="565"/>
      <c r="K21" s="565"/>
      <c r="L21" s="565"/>
      <c r="M21" s="566"/>
      <c r="N21" s="565"/>
      <c r="O21" s="565"/>
      <c r="P21" s="565"/>
      <c r="Q21" s="565"/>
      <c r="R21" s="565"/>
      <c r="S21" s="565"/>
      <c r="T21" s="565"/>
      <c r="U21" s="565"/>
      <c r="V21" s="565"/>
      <c r="W21" s="565"/>
      <c r="X21" s="565"/>
      <c r="Y21" s="565"/>
      <c r="Z21" s="565"/>
      <c r="AA21" s="565"/>
      <c r="AB21" s="565"/>
      <c r="AC21" s="565"/>
      <c r="AD21" s="567"/>
      <c r="AE21" s="565"/>
      <c r="AF21" s="565"/>
      <c r="AG21" s="565"/>
      <c r="AH21" s="565"/>
      <c r="AI21" s="565"/>
      <c r="AJ21" s="565"/>
      <c r="AK21" s="565"/>
      <c r="AL21" s="565"/>
      <c r="AM21" s="565"/>
      <c r="AN21" s="565"/>
      <c r="AO21" s="567"/>
      <c r="AP21" s="565"/>
      <c r="AQ21" s="565"/>
      <c r="AR21" s="565"/>
      <c r="AS21" s="565"/>
      <c r="AT21" s="565"/>
      <c r="AU21" s="565"/>
      <c r="AV21" s="565"/>
      <c r="AW21" s="565"/>
      <c r="AX21" s="565"/>
      <c r="AY21" s="565"/>
      <c r="AZ21" s="565"/>
      <c r="BA21" s="565"/>
      <c r="BB21" s="565"/>
      <c r="BC21" s="565"/>
      <c r="BD21" s="565"/>
      <c r="BE21" s="565"/>
      <c r="BF21" s="565"/>
      <c r="BG21" s="565"/>
      <c r="BH21" s="565"/>
      <c r="BI21" s="565"/>
      <c r="BJ21" s="565"/>
      <c r="BK21" s="565"/>
      <c r="BL21" s="565"/>
      <c r="BM21" s="565"/>
      <c r="BN21" s="565"/>
      <c r="BO21" s="565"/>
      <c r="BP21" s="565"/>
      <c r="BQ21" s="565"/>
      <c r="BR21" s="565"/>
      <c r="BS21" s="565"/>
      <c r="BT21" s="565"/>
      <c r="BU21" s="565"/>
      <c r="BV21" s="565"/>
      <c r="BW21" s="565"/>
      <c r="BX21" s="565"/>
      <c r="BY21" s="565"/>
      <c r="BZ21" s="565"/>
      <c r="CA21" s="565"/>
      <c r="CB21" s="565"/>
      <c r="CC21" s="565"/>
      <c r="CD21" s="565"/>
      <c r="CE21" s="565"/>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11"/>
      <c r="DD21" s="511"/>
      <c r="DE21" s="511"/>
      <c r="DF21" s="511"/>
      <c r="DG21" s="511"/>
    </row>
    <row r="22" spans="1:111" ht="17.45" customHeight="1">
      <c r="A22" s="505" t="s">
        <v>422</v>
      </c>
      <c r="B22" s="506" t="s">
        <v>423</v>
      </c>
      <c r="C22" s="561">
        <v>0</v>
      </c>
      <c r="D22" s="561">
        <v>0</v>
      </c>
      <c r="E22" s="561">
        <v>0</v>
      </c>
      <c r="F22" s="562">
        <v>0</v>
      </c>
      <c r="G22" s="561">
        <v>0</v>
      </c>
      <c r="H22" s="563">
        <v>0</v>
      </c>
      <c r="I22" s="561">
        <v>0</v>
      </c>
      <c r="J22" s="561">
        <v>0</v>
      </c>
      <c r="K22" s="561">
        <v>0</v>
      </c>
      <c r="L22" s="561">
        <v>0</v>
      </c>
      <c r="M22" s="562">
        <v>0</v>
      </c>
      <c r="N22" s="561">
        <v>0</v>
      </c>
      <c r="O22" s="561">
        <v>0</v>
      </c>
      <c r="P22" s="561">
        <v>0</v>
      </c>
      <c r="Q22" s="561">
        <v>0</v>
      </c>
      <c r="R22" s="561">
        <v>0</v>
      </c>
      <c r="S22" s="561">
        <v>0</v>
      </c>
      <c r="T22" s="561">
        <v>0</v>
      </c>
      <c r="U22" s="561">
        <v>0</v>
      </c>
      <c r="V22" s="561">
        <v>0</v>
      </c>
      <c r="W22" s="561">
        <v>0</v>
      </c>
      <c r="X22" s="561">
        <v>0</v>
      </c>
      <c r="Y22" s="561">
        <v>0</v>
      </c>
      <c r="Z22" s="561">
        <v>0</v>
      </c>
      <c r="AA22" s="561">
        <v>0</v>
      </c>
      <c r="AB22" s="561">
        <v>0</v>
      </c>
      <c r="AC22" s="561">
        <v>0</v>
      </c>
      <c r="AD22" s="563">
        <v>0</v>
      </c>
      <c r="AE22" s="561">
        <v>0</v>
      </c>
      <c r="AF22" s="561">
        <v>0</v>
      </c>
      <c r="AG22" s="561">
        <v>0</v>
      </c>
      <c r="AH22" s="561">
        <v>0</v>
      </c>
      <c r="AI22" s="561">
        <v>0</v>
      </c>
      <c r="AJ22" s="561">
        <v>0</v>
      </c>
      <c r="AK22" s="561">
        <v>0</v>
      </c>
      <c r="AL22" s="561">
        <v>0</v>
      </c>
      <c r="AM22" s="561">
        <v>0</v>
      </c>
      <c r="AN22" s="561">
        <v>0</v>
      </c>
      <c r="AO22" s="563">
        <v>0</v>
      </c>
      <c r="AP22" s="561">
        <v>0</v>
      </c>
      <c r="AQ22" s="561">
        <v>0</v>
      </c>
      <c r="AR22" s="561">
        <v>0</v>
      </c>
      <c r="AS22" s="561">
        <v>0</v>
      </c>
      <c r="AT22" s="561">
        <v>0</v>
      </c>
      <c r="AU22" s="561">
        <v>0</v>
      </c>
      <c r="AV22" s="561">
        <v>0</v>
      </c>
      <c r="AW22" s="561">
        <v>0</v>
      </c>
      <c r="AX22" s="561">
        <v>0</v>
      </c>
      <c r="AY22" s="561">
        <v>0</v>
      </c>
      <c r="AZ22" s="561">
        <v>0</v>
      </c>
      <c r="BA22" s="561">
        <v>0</v>
      </c>
      <c r="BB22" s="561">
        <v>0</v>
      </c>
      <c r="BC22" s="561">
        <v>0</v>
      </c>
      <c r="BD22" s="561">
        <v>0</v>
      </c>
      <c r="BE22" s="561">
        <v>0</v>
      </c>
      <c r="BF22" s="561">
        <v>0</v>
      </c>
      <c r="BG22" s="561">
        <v>0</v>
      </c>
      <c r="BH22" s="561">
        <v>0</v>
      </c>
      <c r="BI22" s="561">
        <v>0</v>
      </c>
      <c r="BJ22" s="561">
        <v>0</v>
      </c>
      <c r="BK22" s="561">
        <v>0</v>
      </c>
      <c r="BL22" s="561">
        <v>0</v>
      </c>
      <c r="BM22" s="561">
        <v>0</v>
      </c>
      <c r="BN22" s="561">
        <v>0</v>
      </c>
      <c r="BO22" s="561">
        <v>0</v>
      </c>
      <c r="BP22" s="561">
        <v>0</v>
      </c>
      <c r="BQ22" s="561">
        <v>0</v>
      </c>
      <c r="BR22" s="561">
        <v>0</v>
      </c>
      <c r="BS22" s="561">
        <v>0</v>
      </c>
      <c r="BT22" s="561">
        <v>0</v>
      </c>
      <c r="BU22" s="561">
        <v>0</v>
      </c>
      <c r="BV22" s="561">
        <v>0</v>
      </c>
      <c r="BW22" s="561">
        <v>0</v>
      </c>
      <c r="BX22" s="561">
        <v>0</v>
      </c>
      <c r="BY22" s="561">
        <v>0</v>
      </c>
      <c r="BZ22" s="561">
        <v>0</v>
      </c>
      <c r="CA22" s="561">
        <v>0</v>
      </c>
      <c r="CB22" s="561">
        <v>0</v>
      </c>
      <c r="CC22" s="561">
        <v>0</v>
      </c>
      <c r="CD22" s="561">
        <v>0</v>
      </c>
      <c r="CE22" s="561">
        <v>0</v>
      </c>
      <c r="CF22" s="561">
        <v>0</v>
      </c>
      <c r="CG22" s="561">
        <v>0</v>
      </c>
      <c r="CH22" s="561">
        <v>0</v>
      </c>
      <c r="CI22" s="561">
        <v>0</v>
      </c>
      <c r="CJ22" s="561">
        <v>0</v>
      </c>
      <c r="CK22" s="561">
        <v>0</v>
      </c>
      <c r="CL22" s="561">
        <v>0</v>
      </c>
      <c r="CM22" s="561">
        <v>0</v>
      </c>
      <c r="CN22" s="561">
        <v>0</v>
      </c>
      <c r="CO22" s="561">
        <v>0</v>
      </c>
      <c r="CP22" s="561">
        <v>0</v>
      </c>
      <c r="CQ22" s="561">
        <v>0</v>
      </c>
      <c r="CR22" s="561">
        <v>0</v>
      </c>
      <c r="CS22" s="561">
        <v>0</v>
      </c>
      <c r="CT22" s="561">
        <v>0</v>
      </c>
      <c r="CU22" s="561">
        <v>0</v>
      </c>
      <c r="CV22" s="561">
        <v>0</v>
      </c>
      <c r="CW22" s="561">
        <v>0</v>
      </c>
      <c r="CX22" s="561">
        <v>0</v>
      </c>
      <c r="CY22" s="561">
        <v>0</v>
      </c>
      <c r="CZ22" s="561">
        <v>0</v>
      </c>
      <c r="DA22" s="561">
        <v>0</v>
      </c>
      <c r="DB22" s="561">
        <v>0</v>
      </c>
      <c r="DC22" s="507">
        <v>0</v>
      </c>
      <c r="DD22" s="507">
        <v>0</v>
      </c>
      <c r="DE22" s="507">
        <v>0</v>
      </c>
      <c r="DF22" s="507">
        <v>0</v>
      </c>
      <c r="DG22" s="507">
        <v>0</v>
      </c>
    </row>
    <row r="23" spans="1:111" ht="17.45" customHeight="1">
      <c r="A23" s="509"/>
      <c r="B23" s="510"/>
      <c r="C23" s="565"/>
      <c r="D23" s="565"/>
      <c r="E23" s="565"/>
      <c r="F23" s="566"/>
      <c r="G23" s="565"/>
      <c r="H23" s="567"/>
      <c r="I23" s="565"/>
      <c r="J23" s="565"/>
      <c r="K23" s="565"/>
      <c r="L23" s="565"/>
      <c r="M23" s="566"/>
      <c r="N23" s="565"/>
      <c r="O23" s="565"/>
      <c r="P23" s="565"/>
      <c r="Q23" s="565"/>
      <c r="R23" s="565"/>
      <c r="S23" s="565"/>
      <c r="T23" s="565"/>
      <c r="U23" s="565"/>
      <c r="V23" s="565"/>
      <c r="W23" s="565"/>
      <c r="X23" s="565"/>
      <c r="Y23" s="565"/>
      <c r="Z23" s="565"/>
      <c r="AA23" s="565"/>
      <c r="AB23" s="565"/>
      <c r="AC23" s="565"/>
      <c r="AD23" s="567"/>
      <c r="AE23" s="565"/>
      <c r="AF23" s="565"/>
      <c r="AG23" s="565"/>
      <c r="AH23" s="565"/>
      <c r="AI23" s="565"/>
      <c r="AJ23" s="565"/>
      <c r="AK23" s="565"/>
      <c r="AL23" s="565"/>
      <c r="AM23" s="565"/>
      <c r="AN23" s="565"/>
      <c r="AO23" s="567"/>
      <c r="AP23" s="565"/>
      <c r="AQ23" s="565"/>
      <c r="AR23" s="565"/>
      <c r="AS23" s="565"/>
      <c r="AT23" s="565"/>
      <c r="AU23" s="565"/>
      <c r="AV23" s="565"/>
      <c r="AW23" s="565"/>
      <c r="AX23" s="565"/>
      <c r="AY23" s="565"/>
      <c r="AZ23" s="565"/>
      <c r="BA23" s="565"/>
      <c r="BB23" s="565"/>
      <c r="BC23" s="565"/>
      <c r="BD23" s="565"/>
      <c r="BE23" s="565"/>
      <c r="BF23" s="565"/>
      <c r="BG23" s="565"/>
      <c r="BH23" s="565"/>
      <c r="BI23" s="565"/>
      <c r="BJ23" s="565"/>
      <c r="BK23" s="565"/>
      <c r="BL23" s="565"/>
      <c r="BM23" s="565"/>
      <c r="BN23" s="565"/>
      <c r="BO23" s="565"/>
      <c r="BP23" s="565"/>
      <c r="BQ23" s="565"/>
      <c r="BR23" s="565"/>
      <c r="BS23" s="565"/>
      <c r="BT23" s="565"/>
      <c r="BU23" s="565"/>
      <c r="BV23" s="565"/>
      <c r="BW23" s="565"/>
      <c r="BX23" s="565"/>
      <c r="BY23" s="565"/>
      <c r="BZ23" s="565"/>
      <c r="CA23" s="565"/>
      <c r="CB23" s="565"/>
      <c r="CC23" s="565"/>
      <c r="CD23" s="565"/>
      <c r="CE23" s="565"/>
      <c r="CF23" s="565"/>
      <c r="CG23" s="565"/>
      <c r="CH23" s="565"/>
      <c r="CI23" s="565"/>
      <c r="CJ23" s="565"/>
      <c r="CK23" s="565"/>
      <c r="CL23" s="565"/>
      <c r="CM23" s="565"/>
      <c r="CN23" s="565"/>
      <c r="CO23" s="565"/>
      <c r="CP23" s="565"/>
      <c r="CQ23" s="565"/>
      <c r="CR23" s="565"/>
      <c r="CS23" s="565"/>
      <c r="CT23" s="565"/>
      <c r="CU23" s="565"/>
      <c r="CV23" s="565"/>
      <c r="CW23" s="565"/>
      <c r="CX23" s="565"/>
      <c r="CY23" s="565"/>
      <c r="CZ23" s="565"/>
      <c r="DA23" s="565"/>
      <c r="DB23" s="565"/>
      <c r="DC23" s="511"/>
      <c r="DD23" s="511"/>
      <c r="DE23" s="511"/>
      <c r="DF23" s="511"/>
      <c r="DG23" s="511"/>
    </row>
    <row r="24" spans="1:111" ht="17.45" customHeight="1">
      <c r="A24" s="505" t="s">
        <v>424</v>
      </c>
      <c r="B24" s="506" t="s">
        <v>425</v>
      </c>
      <c r="C24" s="561">
        <v>796.45017094000002</v>
      </c>
      <c r="D24" s="561">
        <v>979.60223954999992</v>
      </c>
      <c r="E24" s="561">
        <v>997.21485293000012</v>
      </c>
      <c r="F24" s="562">
        <v>1040.0917218500001</v>
      </c>
      <c r="G24" s="561">
        <v>1037.1268500700003</v>
      </c>
      <c r="H24" s="563">
        <v>851.31036162612952</v>
      </c>
      <c r="I24" s="561">
        <v>684.74970462039494</v>
      </c>
      <c r="J24" s="561">
        <v>834.82869019000009</v>
      </c>
      <c r="K24" s="561">
        <v>825.47678508000001</v>
      </c>
      <c r="L24" s="561">
        <v>786.37434413999995</v>
      </c>
      <c r="M24" s="562">
        <v>816.18042160999994</v>
      </c>
      <c r="N24" s="561">
        <v>748.20225219000008</v>
      </c>
      <c r="O24" s="561">
        <v>691.23186471999998</v>
      </c>
      <c r="P24" s="561">
        <v>734.29449133999992</v>
      </c>
      <c r="Q24" s="561">
        <v>693.50511310351249</v>
      </c>
      <c r="R24" s="561">
        <v>734.63536805998967</v>
      </c>
      <c r="S24" s="561">
        <v>634.9800554031475</v>
      </c>
      <c r="T24" s="561">
        <v>720.25609540999994</v>
      </c>
      <c r="U24" s="561">
        <v>777.06029805181356</v>
      </c>
      <c r="V24" s="561">
        <v>767.7393184078735</v>
      </c>
      <c r="W24" s="561">
        <v>772.07908175103421</v>
      </c>
      <c r="X24" s="561">
        <v>856.20225807838733</v>
      </c>
      <c r="Y24" s="561">
        <v>925.02108482320375</v>
      </c>
      <c r="Z24" s="561">
        <v>892.02379216481938</v>
      </c>
      <c r="AA24" s="561">
        <v>927.1397270835663</v>
      </c>
      <c r="AB24" s="561">
        <v>1036.5313028243825</v>
      </c>
      <c r="AC24" s="561">
        <v>1068.8092082708285</v>
      </c>
      <c r="AD24" s="563">
        <v>1279.551493030277</v>
      </c>
      <c r="AE24" s="561">
        <v>1286.691945000277</v>
      </c>
      <c r="AF24" s="561">
        <v>1230.7113013721319</v>
      </c>
      <c r="AG24" s="561">
        <v>1381.7642724575787</v>
      </c>
      <c r="AH24" s="561">
        <v>1393.0794404117642</v>
      </c>
      <c r="AI24" s="561">
        <v>1423.5031556360602</v>
      </c>
      <c r="AJ24" s="561">
        <v>1181.9338197842546</v>
      </c>
      <c r="AK24" s="561">
        <v>1261.424219451611</v>
      </c>
      <c r="AL24" s="561">
        <v>1179.1348022560735</v>
      </c>
      <c r="AM24" s="561">
        <v>1397.2041944211985</v>
      </c>
      <c r="AN24" s="561">
        <v>1382.5741406239601</v>
      </c>
      <c r="AO24" s="563">
        <v>1387.7046340845739</v>
      </c>
      <c r="AP24" s="561">
        <v>2160.671940274106</v>
      </c>
      <c r="AQ24" s="561">
        <v>2128.7386232803319</v>
      </c>
      <c r="AR24" s="561">
        <v>2086.6556444546864</v>
      </c>
      <c r="AS24" s="561">
        <v>1850.8103068426046</v>
      </c>
      <c r="AT24" s="561">
        <v>1953.2600513717628</v>
      </c>
      <c r="AU24" s="561">
        <v>1990.3129869679904</v>
      </c>
      <c r="AV24" s="561">
        <v>1906.8970532572232</v>
      </c>
      <c r="AW24" s="561">
        <v>2011.2033058009724</v>
      </c>
      <c r="AX24" s="561">
        <v>2175.8463446300002</v>
      </c>
      <c r="AY24" s="561">
        <v>1997.4325572499999</v>
      </c>
      <c r="AZ24" s="561">
        <v>2100.8721968333334</v>
      </c>
      <c r="BA24" s="561">
        <v>2284.5153966385801</v>
      </c>
      <c r="BB24" s="561">
        <v>2280.0041008364469</v>
      </c>
      <c r="BC24" s="561">
        <v>1715.6539560495194</v>
      </c>
      <c r="BD24" s="561">
        <v>1855.0126362557824</v>
      </c>
      <c r="BE24" s="561">
        <v>2012.4117108127623</v>
      </c>
      <c r="BF24" s="561">
        <v>1977.3696567283503</v>
      </c>
      <c r="BG24" s="561">
        <v>2019.6368099713454</v>
      </c>
      <c r="BH24" s="561">
        <v>1980.2170409746971</v>
      </c>
      <c r="BI24" s="561">
        <v>2024.92274571247</v>
      </c>
      <c r="BJ24" s="561">
        <v>2062.3232602187622</v>
      </c>
      <c r="BK24" s="561">
        <v>1928.8736858257407</v>
      </c>
      <c r="BL24" s="561">
        <v>1896.327042390162</v>
      </c>
      <c r="BM24" s="561">
        <v>1873.0985046410417</v>
      </c>
      <c r="BN24" s="561">
        <v>2021.7389907063207</v>
      </c>
      <c r="BO24" s="561">
        <v>2046.9895553013121</v>
      </c>
      <c r="BP24" s="561">
        <v>2141.7473167060466</v>
      </c>
      <c r="BQ24" s="561">
        <v>2091.3122061056529</v>
      </c>
      <c r="BR24" s="561">
        <v>1850.2173850255388</v>
      </c>
      <c r="BS24" s="561">
        <v>1973.6947827536092</v>
      </c>
      <c r="BT24" s="561">
        <v>1660.2013850518927</v>
      </c>
      <c r="BU24" s="561">
        <v>1749.3678259069081</v>
      </c>
      <c r="BV24" s="561">
        <v>1699.8519465643112</v>
      </c>
      <c r="BW24" s="561">
        <v>1576.6767759677052</v>
      </c>
      <c r="BX24" s="561">
        <v>1601.9137615094533</v>
      </c>
      <c r="BY24" s="561">
        <v>1571.8714865879758</v>
      </c>
      <c r="BZ24" s="561">
        <v>1575.9284538835002</v>
      </c>
      <c r="CA24" s="561">
        <v>1653.0016384955002</v>
      </c>
      <c r="CB24" s="561">
        <v>1656.2085299939999</v>
      </c>
      <c r="CC24" s="561">
        <v>1582.1377434999999</v>
      </c>
      <c r="CD24" s="561">
        <v>1633.1906272199999</v>
      </c>
      <c r="CE24" s="561">
        <v>1627.1667092961643</v>
      </c>
      <c r="CF24" s="561">
        <v>1858.2166388756166</v>
      </c>
      <c r="CG24" s="561">
        <v>1813.5019208456163</v>
      </c>
      <c r="CH24" s="561">
        <v>1038.1824123056165</v>
      </c>
      <c r="CI24" s="561">
        <v>1209.2406902499999</v>
      </c>
      <c r="CJ24" s="561">
        <v>1103.7259265200003</v>
      </c>
      <c r="CK24" s="561">
        <v>1164.51618261</v>
      </c>
      <c r="CL24" s="561">
        <v>1205.99803557</v>
      </c>
      <c r="CM24" s="561">
        <v>1189.1800216900001</v>
      </c>
      <c r="CN24" s="561">
        <v>1304.2535200900002</v>
      </c>
      <c r="CO24" s="561">
        <v>1443.5806009375342</v>
      </c>
      <c r="CP24" s="561">
        <v>1241.0286417765753</v>
      </c>
      <c r="CQ24" s="561">
        <v>1140.64547971</v>
      </c>
      <c r="CR24" s="561">
        <v>1306.2146795900001</v>
      </c>
      <c r="CS24" s="561">
        <v>1353.2887174699997</v>
      </c>
      <c r="CT24" s="561">
        <v>1365.13883278</v>
      </c>
      <c r="CU24" s="561">
        <v>1440.4637070875342</v>
      </c>
      <c r="CV24" s="561">
        <v>1389.6069717765754</v>
      </c>
      <c r="CW24" s="561">
        <v>1472.8845017099998</v>
      </c>
      <c r="CX24" s="561">
        <v>1244.9441663399998</v>
      </c>
      <c r="CY24" s="561">
        <v>1387.78332901</v>
      </c>
      <c r="CZ24" s="561">
        <v>1412.97049021</v>
      </c>
      <c r="DA24" s="561">
        <v>1599.0416995099999</v>
      </c>
      <c r="DB24" s="561">
        <v>1373.6181660034247</v>
      </c>
      <c r="DC24" s="507">
        <v>1367.4705816014248</v>
      </c>
      <c r="DD24" s="507">
        <v>1320.4646063879452</v>
      </c>
      <c r="DE24" s="507">
        <v>1480.2132683904108</v>
      </c>
      <c r="DF24" s="507">
        <v>1428.2344244930139</v>
      </c>
      <c r="DG24" s="507">
        <v>1376.8976037119176</v>
      </c>
    </row>
    <row r="25" spans="1:111" ht="17.45" customHeight="1">
      <c r="A25" s="509"/>
      <c r="B25" s="510"/>
      <c r="C25" s="565"/>
      <c r="D25" s="565"/>
      <c r="E25" s="565"/>
      <c r="F25" s="566"/>
      <c r="G25" s="565"/>
      <c r="H25" s="567"/>
      <c r="I25" s="565"/>
      <c r="J25" s="565"/>
      <c r="K25" s="565"/>
      <c r="L25" s="565"/>
      <c r="M25" s="566"/>
      <c r="N25" s="565"/>
      <c r="O25" s="565"/>
      <c r="P25" s="565"/>
      <c r="Q25" s="565"/>
      <c r="R25" s="565"/>
      <c r="S25" s="565"/>
      <c r="T25" s="565"/>
      <c r="U25" s="565"/>
      <c r="V25" s="565"/>
      <c r="W25" s="565"/>
      <c r="X25" s="565"/>
      <c r="Y25" s="565"/>
      <c r="Z25" s="565"/>
      <c r="AA25" s="565"/>
      <c r="AB25" s="565"/>
      <c r="AC25" s="565"/>
      <c r="AD25" s="567"/>
      <c r="AE25" s="565"/>
      <c r="AF25" s="565"/>
      <c r="AG25" s="565"/>
      <c r="AH25" s="565"/>
      <c r="AI25" s="565"/>
      <c r="AJ25" s="565"/>
      <c r="AK25" s="565"/>
      <c r="AL25" s="565"/>
      <c r="AM25" s="565"/>
      <c r="AN25" s="565"/>
      <c r="AO25" s="567"/>
      <c r="AP25" s="565"/>
      <c r="AQ25" s="565"/>
      <c r="AR25" s="565"/>
      <c r="AS25" s="565"/>
      <c r="AT25" s="565"/>
      <c r="AU25" s="565"/>
      <c r="AV25" s="565"/>
      <c r="AW25" s="565"/>
      <c r="AX25" s="565"/>
      <c r="AY25" s="565"/>
      <c r="AZ25" s="565"/>
      <c r="BA25" s="565"/>
      <c r="BB25" s="565"/>
      <c r="BC25" s="565"/>
      <c r="BD25" s="565"/>
      <c r="BE25" s="565"/>
      <c r="BF25" s="565"/>
      <c r="BG25" s="565"/>
      <c r="BH25" s="565"/>
      <c r="BI25" s="565"/>
      <c r="BJ25" s="565"/>
      <c r="BK25" s="565"/>
      <c r="BL25" s="565"/>
      <c r="BM25" s="565"/>
      <c r="BN25" s="565"/>
      <c r="BO25" s="565"/>
      <c r="BP25" s="565"/>
      <c r="BQ25" s="565"/>
      <c r="BR25" s="565"/>
      <c r="BS25" s="565"/>
      <c r="BT25" s="565"/>
      <c r="BU25" s="565"/>
      <c r="BV25" s="565"/>
      <c r="BW25" s="565"/>
      <c r="BX25" s="565"/>
      <c r="BY25" s="565"/>
      <c r="BZ25" s="565"/>
      <c r="CA25" s="565"/>
      <c r="CB25" s="565"/>
      <c r="CC25" s="565"/>
      <c r="CD25" s="565"/>
      <c r="CE25" s="565"/>
      <c r="CF25" s="565"/>
      <c r="CG25" s="565"/>
      <c r="CH25" s="565"/>
      <c r="CI25" s="565"/>
      <c r="CJ25" s="565"/>
      <c r="CK25" s="565"/>
      <c r="CL25" s="565"/>
      <c r="CM25" s="565"/>
      <c r="CN25" s="565"/>
      <c r="CO25" s="565"/>
      <c r="CP25" s="565"/>
      <c r="CQ25" s="565"/>
      <c r="CR25" s="565"/>
      <c r="CS25" s="565"/>
      <c r="CT25" s="565"/>
      <c r="CU25" s="565"/>
      <c r="CV25" s="565"/>
      <c r="CW25" s="565"/>
      <c r="CX25" s="565"/>
      <c r="CY25" s="565"/>
      <c r="CZ25" s="565"/>
      <c r="DA25" s="565"/>
      <c r="DB25" s="565"/>
      <c r="DC25" s="511"/>
      <c r="DD25" s="511"/>
      <c r="DE25" s="511"/>
      <c r="DF25" s="511"/>
      <c r="DG25" s="511"/>
    </row>
    <row r="26" spans="1:111" ht="17.45" customHeight="1">
      <c r="A26" s="505" t="s">
        <v>426</v>
      </c>
      <c r="B26" s="506" t="s">
        <v>427</v>
      </c>
      <c r="C26" s="561">
        <v>798.66176589000008</v>
      </c>
      <c r="D26" s="561">
        <v>818.34143132999998</v>
      </c>
      <c r="E26" s="561">
        <v>848.50894108</v>
      </c>
      <c r="F26" s="562">
        <v>860.65597262000006</v>
      </c>
      <c r="G26" s="561">
        <v>938.34058129999994</v>
      </c>
      <c r="H26" s="563">
        <v>905.55076182000016</v>
      </c>
      <c r="I26" s="561">
        <v>1036.3015116499998</v>
      </c>
      <c r="J26" s="561">
        <v>1048.0975827416664</v>
      </c>
      <c r="K26" s="561">
        <v>1053.7272173733331</v>
      </c>
      <c r="L26" s="561">
        <v>1055.8021501362084</v>
      </c>
      <c r="M26" s="562">
        <v>1067.4697196761667</v>
      </c>
      <c r="N26" s="561">
        <v>1080.6473663107499</v>
      </c>
      <c r="O26" s="561">
        <v>1085.7434252170001</v>
      </c>
      <c r="P26" s="561">
        <v>1089.240368233</v>
      </c>
      <c r="Q26" s="561">
        <v>1084.7053925769999</v>
      </c>
      <c r="R26" s="561">
        <v>1174.859283947</v>
      </c>
      <c r="S26" s="561">
        <v>1162.0716037369998</v>
      </c>
      <c r="T26" s="561">
        <v>1140.1834163269998</v>
      </c>
      <c r="U26" s="561">
        <v>1144.9760381469998</v>
      </c>
      <c r="V26" s="561">
        <v>1141.42018381</v>
      </c>
      <c r="W26" s="561">
        <v>1103.5606694299997</v>
      </c>
      <c r="X26" s="561">
        <v>1136.844533967</v>
      </c>
      <c r="Y26" s="561">
        <v>1172.2972192870002</v>
      </c>
      <c r="Z26" s="561">
        <v>1188.103346397</v>
      </c>
      <c r="AA26" s="561">
        <v>1206.9947149098193</v>
      </c>
      <c r="AB26" s="561">
        <v>1202.9055809078752</v>
      </c>
      <c r="AC26" s="561">
        <v>1190.7798150578751</v>
      </c>
      <c r="AD26" s="563">
        <v>1200.2358515878748</v>
      </c>
      <c r="AE26" s="561">
        <v>1213.6941418578751</v>
      </c>
      <c r="AF26" s="561">
        <v>1240.7815538555972</v>
      </c>
      <c r="AG26" s="561">
        <v>1273.9334446088862</v>
      </c>
      <c r="AH26" s="561">
        <v>1301.9613797762777</v>
      </c>
      <c r="AI26" s="561">
        <v>1305.7342663722363</v>
      </c>
      <c r="AJ26" s="561">
        <v>1319.3778603422361</v>
      </c>
      <c r="AK26" s="561">
        <v>1450.174192102236</v>
      </c>
      <c r="AL26" s="561">
        <v>1464.5845102111111</v>
      </c>
      <c r="AM26" s="561">
        <v>1506.7209418017806</v>
      </c>
      <c r="AN26" s="561">
        <v>1509.6718067533195</v>
      </c>
      <c r="AO26" s="563">
        <v>1640.9017202633195</v>
      </c>
      <c r="AP26" s="561">
        <v>1649.8358558927016</v>
      </c>
      <c r="AQ26" s="561">
        <v>1723.713901850921</v>
      </c>
      <c r="AR26" s="561">
        <v>1741.9454046300002</v>
      </c>
      <c r="AS26" s="561">
        <v>1794.5815746000001</v>
      </c>
      <c r="AT26" s="561">
        <v>1784.1996902719227</v>
      </c>
      <c r="AU26" s="561">
        <v>1785.3555368525717</v>
      </c>
      <c r="AV26" s="561">
        <v>1781.6669637746033</v>
      </c>
      <c r="AW26" s="561">
        <v>1832.3927418669684</v>
      </c>
      <c r="AX26" s="561">
        <v>1871.5281054031452</v>
      </c>
      <c r="AY26" s="561">
        <v>1897.6633507960003</v>
      </c>
      <c r="AZ26" s="561">
        <v>1898.7623180645771</v>
      </c>
      <c r="BA26" s="561">
        <v>1909.6142821245771</v>
      </c>
      <c r="BB26" s="561">
        <v>1904.3829170375905</v>
      </c>
      <c r="BC26" s="561">
        <v>1917.9099131275907</v>
      </c>
      <c r="BD26" s="561">
        <v>1919.3687765999998</v>
      </c>
      <c r="BE26" s="561">
        <v>1952.0619545875902</v>
      </c>
      <c r="BF26" s="561">
        <v>1983.9051913003402</v>
      </c>
      <c r="BG26" s="561">
        <v>1966.4163795162663</v>
      </c>
      <c r="BH26" s="561">
        <v>1980.6122895101566</v>
      </c>
      <c r="BI26" s="561">
        <v>1992.0316740371129</v>
      </c>
      <c r="BJ26" s="561">
        <v>1996.2550555074667</v>
      </c>
      <c r="BK26" s="561">
        <v>1974.8197009899436</v>
      </c>
      <c r="BL26" s="561">
        <v>1950.6063891357385</v>
      </c>
      <c r="BM26" s="561">
        <v>1969.0324636723647</v>
      </c>
      <c r="BN26" s="561">
        <v>1997.9577251192154</v>
      </c>
      <c r="BO26" s="561">
        <v>2055.290083288412</v>
      </c>
      <c r="BP26" s="561">
        <v>2074.0863088608066</v>
      </c>
      <c r="BQ26" s="561">
        <v>2099.4644555128061</v>
      </c>
      <c r="BR26" s="561">
        <v>2087.6034940725144</v>
      </c>
      <c r="BS26" s="561">
        <v>2066.9715168600928</v>
      </c>
      <c r="BT26" s="561">
        <v>2063.4325214531573</v>
      </c>
      <c r="BU26" s="561">
        <v>2062.0316981324549</v>
      </c>
      <c r="BV26" s="561">
        <v>2065.3701036383559</v>
      </c>
      <c r="BW26" s="561">
        <v>2182.6521295998391</v>
      </c>
      <c r="BX26" s="561">
        <v>2189.5169024008255</v>
      </c>
      <c r="BY26" s="561">
        <v>2227.5481400218114</v>
      </c>
      <c r="BZ26" s="561">
        <v>2231.2371392199998</v>
      </c>
      <c r="CA26" s="561">
        <v>2242.4848014200002</v>
      </c>
      <c r="CB26" s="561">
        <v>2249.43403339</v>
      </c>
      <c r="CC26" s="561">
        <v>2272.7679836099996</v>
      </c>
      <c r="CD26" s="561">
        <v>2280.0012530800004</v>
      </c>
      <c r="CE26" s="561">
        <v>2284.6163190300008</v>
      </c>
      <c r="CF26" s="561">
        <v>2301.0100345199999</v>
      </c>
      <c r="CG26" s="561">
        <v>2317.0255643800001</v>
      </c>
      <c r="CH26" s="561">
        <v>1911.3204848600001</v>
      </c>
      <c r="CI26" s="561">
        <v>2006.4480427121584</v>
      </c>
      <c r="CJ26" s="561">
        <v>2005.6679920654644</v>
      </c>
      <c r="CK26" s="561">
        <v>1998.7753723499998</v>
      </c>
      <c r="CL26" s="561">
        <v>1985.30133669</v>
      </c>
      <c r="CM26" s="561">
        <v>2003.7474086399998</v>
      </c>
      <c r="CN26" s="561">
        <v>2032.0428959299998</v>
      </c>
      <c r="CO26" s="561">
        <v>2109.2131669999999</v>
      </c>
      <c r="CP26" s="561">
        <v>2255.0842994899999</v>
      </c>
      <c r="CQ26" s="561">
        <v>2254.2136780599994</v>
      </c>
      <c r="CR26" s="561">
        <v>2233.9605649200003</v>
      </c>
      <c r="CS26" s="561">
        <v>2229.0419342399996</v>
      </c>
      <c r="CT26" s="561">
        <v>2243.3304933700001</v>
      </c>
      <c r="CU26" s="561">
        <v>2280.3957223700004</v>
      </c>
      <c r="CV26" s="561">
        <v>2279.7930738883251</v>
      </c>
      <c r="CW26" s="561">
        <v>2259.5736859600001</v>
      </c>
      <c r="CX26" s="561">
        <v>2378.5082998700004</v>
      </c>
      <c r="CY26" s="561">
        <v>2406.9258892999997</v>
      </c>
      <c r="CZ26" s="561">
        <v>2407.1115420900001</v>
      </c>
      <c r="DA26" s="561">
        <v>2394.9404436099999</v>
      </c>
      <c r="DB26" s="561">
        <v>2391.2720558800002</v>
      </c>
      <c r="DC26" s="507">
        <v>2381.1049207200003</v>
      </c>
      <c r="DD26" s="507">
        <v>2404.6822640600003</v>
      </c>
      <c r="DE26" s="507">
        <v>2385.6135435100005</v>
      </c>
      <c r="DF26" s="507">
        <v>2418.2009233199997</v>
      </c>
      <c r="DG26" s="507">
        <v>2437.6288255700001</v>
      </c>
    </row>
    <row r="27" spans="1:111" ht="17.45" customHeight="1">
      <c r="A27" s="509"/>
      <c r="B27" s="510"/>
      <c r="C27" s="530"/>
      <c r="D27" s="530"/>
      <c r="E27" s="530"/>
      <c r="F27" s="569"/>
      <c r="G27" s="530"/>
      <c r="H27" s="570"/>
      <c r="I27" s="530"/>
      <c r="J27" s="530"/>
      <c r="K27" s="530"/>
      <c r="L27" s="530"/>
      <c r="M27" s="569"/>
      <c r="N27" s="530"/>
      <c r="O27" s="530"/>
      <c r="P27" s="530"/>
      <c r="Q27" s="530"/>
      <c r="R27" s="530"/>
      <c r="S27" s="530"/>
      <c r="T27" s="530"/>
      <c r="U27" s="530"/>
      <c r="V27" s="530"/>
      <c r="W27" s="530"/>
      <c r="X27" s="530"/>
      <c r="Y27" s="530"/>
      <c r="Z27" s="530"/>
      <c r="AA27" s="530"/>
      <c r="AB27" s="530"/>
      <c r="AC27" s="530"/>
      <c r="AD27" s="570"/>
      <c r="AE27" s="530"/>
      <c r="AF27" s="530"/>
      <c r="AG27" s="530"/>
      <c r="AH27" s="530"/>
      <c r="AI27" s="530"/>
      <c r="AJ27" s="530"/>
      <c r="AK27" s="530"/>
      <c r="AL27" s="530"/>
      <c r="AM27" s="530"/>
      <c r="AN27" s="530"/>
      <c r="AO27" s="570"/>
      <c r="AP27" s="530"/>
      <c r="AQ27" s="530"/>
      <c r="AR27" s="530"/>
      <c r="AS27" s="530"/>
      <c r="AT27" s="530"/>
      <c r="AU27" s="530"/>
      <c r="AV27" s="530"/>
      <c r="AW27" s="530"/>
      <c r="AX27" s="530"/>
      <c r="AY27" s="530"/>
      <c r="AZ27" s="530"/>
      <c r="BA27" s="530"/>
      <c r="BB27" s="530"/>
      <c r="BC27" s="530"/>
      <c r="BD27" s="530"/>
      <c r="BE27" s="530"/>
      <c r="BF27" s="530"/>
      <c r="BG27" s="530"/>
      <c r="BH27" s="530"/>
      <c r="BI27" s="530"/>
      <c r="BJ27" s="530"/>
      <c r="BK27" s="530"/>
      <c r="BL27" s="530"/>
      <c r="BM27" s="530"/>
      <c r="BN27" s="530"/>
      <c r="BO27" s="530"/>
      <c r="BP27" s="530"/>
      <c r="BQ27" s="530"/>
      <c r="BR27" s="530"/>
      <c r="BS27" s="530"/>
      <c r="BT27" s="530"/>
      <c r="BU27" s="530"/>
      <c r="BV27" s="530"/>
      <c r="BW27" s="530"/>
      <c r="BX27" s="530"/>
      <c r="BY27" s="530"/>
      <c r="BZ27" s="530"/>
      <c r="CA27" s="530"/>
      <c r="CB27" s="530"/>
      <c r="CC27" s="530"/>
      <c r="CD27" s="530"/>
      <c r="CE27" s="530"/>
      <c r="CF27" s="530"/>
      <c r="CG27" s="530"/>
      <c r="CH27" s="530"/>
      <c r="CI27" s="530"/>
      <c r="CJ27" s="530"/>
      <c r="CK27" s="530"/>
      <c r="CL27" s="530"/>
      <c r="CM27" s="530"/>
      <c r="CN27" s="530"/>
      <c r="CO27" s="530"/>
      <c r="CP27" s="530"/>
      <c r="CQ27" s="530"/>
      <c r="CR27" s="530"/>
      <c r="CS27" s="530"/>
      <c r="CT27" s="530"/>
      <c r="CU27" s="530"/>
      <c r="CV27" s="530"/>
      <c r="CW27" s="530"/>
      <c r="CX27" s="530"/>
      <c r="CY27" s="530"/>
      <c r="CZ27" s="530"/>
      <c r="DA27" s="530"/>
      <c r="DB27" s="530"/>
      <c r="DC27" s="512"/>
      <c r="DD27" s="512"/>
      <c r="DE27" s="512"/>
      <c r="DF27" s="512"/>
      <c r="DG27" s="512"/>
    </row>
    <row r="28" spans="1:111" ht="17.25" customHeight="1">
      <c r="A28" s="505"/>
      <c r="B28" s="506" t="s">
        <v>428</v>
      </c>
      <c r="C28" s="561">
        <v>25474.471453387621</v>
      </c>
      <c r="D28" s="561">
        <v>26072.063897466593</v>
      </c>
      <c r="E28" s="561">
        <v>26415.344455611998</v>
      </c>
      <c r="F28" s="562">
        <v>26856.415234532004</v>
      </c>
      <c r="G28" s="561">
        <v>27494.964099592002</v>
      </c>
      <c r="H28" s="563">
        <v>27955.940532505614</v>
      </c>
      <c r="I28" s="561">
        <v>28194.36160220228</v>
      </c>
      <c r="J28" s="561">
        <v>28336.892915150238</v>
      </c>
      <c r="K28" s="561">
        <v>28563.364929097137</v>
      </c>
      <c r="L28" s="561">
        <v>28740.361376655161</v>
      </c>
      <c r="M28" s="562">
        <v>29096.352211839545</v>
      </c>
      <c r="N28" s="561">
        <v>29423.313250850086</v>
      </c>
      <c r="O28" s="561">
        <v>29904.42029326527</v>
      </c>
      <c r="P28" s="561">
        <v>30192.423819530377</v>
      </c>
      <c r="Q28" s="561">
        <v>30534.515540613647</v>
      </c>
      <c r="R28" s="561">
        <v>30645.306163438952</v>
      </c>
      <c r="S28" s="561">
        <v>30723.142804776799</v>
      </c>
      <c r="T28" s="561">
        <v>30582.685571101159</v>
      </c>
      <c r="U28" s="561">
        <v>31026.051215780495</v>
      </c>
      <c r="V28" s="561">
        <v>31204.967849988818</v>
      </c>
      <c r="W28" s="561">
        <v>31436.788752834454</v>
      </c>
      <c r="X28" s="561">
        <v>31766.227602197992</v>
      </c>
      <c r="Y28" s="561">
        <v>32105.986533900035</v>
      </c>
      <c r="Z28" s="561">
        <v>32381.205792132452</v>
      </c>
      <c r="AA28" s="561">
        <v>32750.688683694891</v>
      </c>
      <c r="AB28" s="561">
        <v>33028.065471295486</v>
      </c>
      <c r="AC28" s="561">
        <v>33597.285547495383</v>
      </c>
      <c r="AD28" s="563">
        <v>33479.612832724895</v>
      </c>
      <c r="AE28" s="561">
        <v>33528.234725906776</v>
      </c>
      <c r="AF28" s="561">
        <v>33945.252424287792</v>
      </c>
      <c r="AG28" s="561">
        <v>34531.168338754542</v>
      </c>
      <c r="AH28" s="561">
        <v>35377.395750547446</v>
      </c>
      <c r="AI28" s="561">
        <v>35546.314186166848</v>
      </c>
      <c r="AJ28" s="561">
        <v>36611.78037078894</v>
      </c>
      <c r="AK28" s="561">
        <v>36437.036162345808</v>
      </c>
      <c r="AL28" s="561">
        <v>36579.440661218759</v>
      </c>
      <c r="AM28" s="561">
        <v>37142.506882174122</v>
      </c>
      <c r="AN28" s="561">
        <v>37843.823667295968</v>
      </c>
      <c r="AO28" s="563">
        <v>38957.022860723584</v>
      </c>
      <c r="AP28" s="561">
        <v>39246.418511459175</v>
      </c>
      <c r="AQ28" s="561">
        <v>41293.583775452229</v>
      </c>
      <c r="AR28" s="561">
        <v>41489.26343647539</v>
      </c>
      <c r="AS28" s="561">
        <v>41558.040423602579</v>
      </c>
      <c r="AT28" s="561">
        <v>41583.506601919777</v>
      </c>
      <c r="AU28" s="561">
        <v>41724.410903507502</v>
      </c>
      <c r="AV28" s="561">
        <v>41930.542898092528</v>
      </c>
      <c r="AW28" s="561">
        <v>42394.904266229263</v>
      </c>
      <c r="AX28" s="561">
        <v>42837.91024545479</v>
      </c>
      <c r="AY28" s="561">
        <v>42727.796494547205</v>
      </c>
      <c r="AZ28" s="561">
        <v>43656.647352982647</v>
      </c>
      <c r="BA28" s="561">
        <v>44566.275999888792</v>
      </c>
      <c r="BB28" s="561">
        <v>44600.121654384253</v>
      </c>
      <c r="BC28" s="561">
        <v>44849.659281648565</v>
      </c>
      <c r="BD28" s="561">
        <v>44964.778969543637</v>
      </c>
      <c r="BE28" s="561">
        <v>44265.953944375869</v>
      </c>
      <c r="BF28" s="561">
        <v>44213.112024552087</v>
      </c>
      <c r="BG28" s="561">
        <v>44416.633551285697</v>
      </c>
      <c r="BH28" s="561">
        <v>44552.782203806673</v>
      </c>
      <c r="BI28" s="561">
        <v>45009.054433510879</v>
      </c>
      <c r="BJ28" s="561">
        <v>45312.920665720885</v>
      </c>
      <c r="BK28" s="561">
        <v>43235.787246537468</v>
      </c>
      <c r="BL28" s="561">
        <v>43097.493635641695</v>
      </c>
      <c r="BM28" s="561">
        <v>43203.774808802656</v>
      </c>
      <c r="BN28" s="561">
        <v>43661.834296690322</v>
      </c>
      <c r="BO28" s="561">
        <v>43974.956511792596</v>
      </c>
      <c r="BP28" s="561">
        <v>44381.176626182605</v>
      </c>
      <c r="BQ28" s="561">
        <v>44497.792306656222</v>
      </c>
      <c r="BR28" s="561">
        <v>44816.576913051773</v>
      </c>
      <c r="BS28" s="561">
        <v>45160.287156148086</v>
      </c>
      <c r="BT28" s="561">
        <v>45783.010752826711</v>
      </c>
      <c r="BU28" s="561">
        <v>46501.674702749129</v>
      </c>
      <c r="BV28" s="561">
        <v>47074.090090090831</v>
      </c>
      <c r="BW28" s="561">
        <v>47894.003680056565</v>
      </c>
      <c r="BX28" s="561">
        <v>47942.826131287773</v>
      </c>
      <c r="BY28" s="561">
        <v>48371.125311231954</v>
      </c>
      <c r="BZ28" s="561">
        <v>48916.095700244558</v>
      </c>
      <c r="CA28" s="561">
        <v>49255.747115471298</v>
      </c>
      <c r="CB28" s="561">
        <v>49659.184363918161</v>
      </c>
      <c r="CC28" s="561">
        <v>48698.191212044672</v>
      </c>
      <c r="CD28" s="561">
        <v>48761.357791877977</v>
      </c>
      <c r="CE28" s="561">
        <v>49222.686064576381</v>
      </c>
      <c r="CF28" s="561">
        <v>49905.491819247851</v>
      </c>
      <c r="CG28" s="561">
        <v>50217.162325058016</v>
      </c>
      <c r="CH28" s="561">
        <v>46912.906297951318</v>
      </c>
      <c r="CI28" s="561">
        <v>47409.792135606658</v>
      </c>
      <c r="CJ28" s="561">
        <v>47875.192855011861</v>
      </c>
      <c r="CK28" s="561">
        <v>48388.659544880466</v>
      </c>
      <c r="CL28" s="561">
        <v>48971.714602314467</v>
      </c>
      <c r="CM28" s="561">
        <v>49487.1971983275</v>
      </c>
      <c r="CN28" s="561">
        <v>49783.066298351274</v>
      </c>
      <c r="CO28" s="561">
        <v>50852.368546919279</v>
      </c>
      <c r="CP28" s="561">
        <v>51434.678699088639</v>
      </c>
      <c r="CQ28" s="561">
        <v>53196.983415460469</v>
      </c>
      <c r="CR28" s="561">
        <v>53885.432491896601</v>
      </c>
      <c r="CS28" s="561">
        <v>53522.373322656596</v>
      </c>
      <c r="CT28" s="561">
        <v>53888.210782272996</v>
      </c>
      <c r="CU28" s="561">
        <v>54959.281300599185</v>
      </c>
      <c r="CV28" s="561">
        <v>54870.586194875425</v>
      </c>
      <c r="CW28" s="561">
        <v>55943.655790590841</v>
      </c>
      <c r="CX28" s="561">
        <v>56793.800619202106</v>
      </c>
      <c r="CY28" s="561">
        <v>57326.641862917459</v>
      </c>
      <c r="CZ28" s="561">
        <v>57678.5768539407</v>
      </c>
      <c r="DA28" s="561">
        <v>58472.529792396519</v>
      </c>
      <c r="DB28" s="561">
        <v>58061.34014949351</v>
      </c>
      <c r="DC28" s="507">
        <v>58439.562505916503</v>
      </c>
      <c r="DD28" s="507">
        <v>59188.973477736508</v>
      </c>
      <c r="DE28" s="507">
        <v>59922.185491184253</v>
      </c>
      <c r="DF28" s="507">
        <v>60473.288929080234</v>
      </c>
      <c r="DG28" s="507">
        <v>61496.319550096516</v>
      </c>
    </row>
    <row r="29" spans="1:111" ht="16.5" thickBot="1">
      <c r="A29" s="515"/>
      <c r="B29" s="516"/>
      <c r="C29" s="572"/>
      <c r="D29" s="572"/>
      <c r="E29" s="572"/>
      <c r="F29" s="573"/>
      <c r="G29" s="572"/>
      <c r="H29" s="574"/>
      <c r="I29" s="572"/>
      <c r="J29" s="572"/>
      <c r="K29" s="572"/>
      <c r="L29" s="572"/>
      <c r="M29" s="573"/>
      <c r="N29" s="572"/>
      <c r="O29" s="572"/>
      <c r="P29" s="572"/>
      <c r="Q29" s="572"/>
      <c r="R29" s="572"/>
      <c r="S29" s="572"/>
      <c r="T29" s="572"/>
      <c r="U29" s="572"/>
      <c r="V29" s="572"/>
      <c r="W29" s="572"/>
      <c r="X29" s="572"/>
      <c r="Y29" s="572"/>
      <c r="Z29" s="572"/>
      <c r="AA29" s="572"/>
      <c r="AB29" s="572"/>
      <c r="AC29" s="572"/>
      <c r="AD29" s="574"/>
      <c r="AE29" s="572"/>
      <c r="AF29" s="572"/>
      <c r="AG29" s="572"/>
      <c r="AH29" s="572"/>
      <c r="AI29" s="572"/>
      <c r="AJ29" s="572"/>
      <c r="AK29" s="572"/>
      <c r="AL29" s="572"/>
      <c r="AM29" s="572"/>
      <c r="AN29" s="572"/>
      <c r="AO29" s="574"/>
      <c r="AP29" s="572"/>
      <c r="AQ29" s="572"/>
      <c r="AR29" s="572"/>
      <c r="AS29" s="572"/>
      <c r="AT29" s="572"/>
      <c r="AU29" s="572"/>
      <c r="AV29" s="572"/>
      <c r="AW29" s="572"/>
      <c r="AX29" s="572"/>
      <c r="AY29" s="572"/>
      <c r="AZ29" s="572"/>
      <c r="BA29" s="572"/>
      <c r="BB29" s="572"/>
      <c r="BC29" s="572"/>
      <c r="BD29" s="572"/>
      <c r="BE29" s="572"/>
      <c r="BF29" s="572"/>
      <c r="BG29" s="572"/>
      <c r="BH29" s="572"/>
      <c r="BI29" s="572"/>
      <c r="BJ29" s="572"/>
      <c r="BK29" s="572"/>
      <c r="BL29" s="572"/>
      <c r="BM29" s="572"/>
      <c r="BN29" s="572"/>
      <c r="BO29" s="572"/>
      <c r="BP29" s="572"/>
      <c r="BQ29" s="572"/>
      <c r="BR29" s="572"/>
      <c r="BS29" s="572"/>
      <c r="BT29" s="572"/>
      <c r="BU29" s="572"/>
      <c r="BV29" s="572"/>
      <c r="BW29" s="572"/>
      <c r="BX29" s="572"/>
      <c r="BY29" s="572"/>
      <c r="BZ29" s="572"/>
      <c r="CA29" s="572"/>
      <c r="CB29" s="572"/>
      <c r="CC29" s="572"/>
      <c r="CD29" s="572"/>
      <c r="CE29" s="572"/>
      <c r="CF29" s="572"/>
      <c r="CG29" s="572"/>
      <c r="CH29" s="572"/>
      <c r="CI29" s="572"/>
      <c r="CJ29" s="572"/>
      <c r="CK29" s="572"/>
      <c r="CL29" s="572"/>
      <c r="CM29" s="572"/>
      <c r="CN29" s="572"/>
      <c r="CO29" s="572"/>
      <c r="CP29" s="572"/>
      <c r="CQ29" s="572"/>
      <c r="CR29" s="572"/>
      <c r="CS29" s="572"/>
      <c r="CT29" s="572"/>
      <c r="CU29" s="572"/>
      <c r="CV29" s="572"/>
      <c r="CW29" s="572"/>
      <c r="CX29" s="572"/>
      <c r="CY29" s="572"/>
      <c r="CZ29" s="572"/>
      <c r="DA29" s="572"/>
      <c r="DB29" s="572"/>
      <c r="DC29" s="576"/>
      <c r="DD29" s="576"/>
      <c r="DE29" s="576"/>
      <c r="DF29" s="576"/>
      <c r="DG29" s="576"/>
    </row>
    <row r="30" spans="1:111" s="403" customFormat="1" ht="16.5" hidden="1" thickTop="1">
      <c r="A30" s="577"/>
      <c r="B30" s="577"/>
      <c r="C30" s="578"/>
      <c r="D30" s="578"/>
      <c r="E30" s="578"/>
      <c r="F30" s="578"/>
      <c r="G30" s="578"/>
      <c r="H30" s="579"/>
      <c r="I30" s="578"/>
      <c r="J30" s="578"/>
      <c r="K30" s="578"/>
      <c r="L30" s="578"/>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c r="AL30" s="578"/>
      <c r="AM30" s="578"/>
      <c r="AN30" s="578"/>
      <c r="AO30" s="579"/>
      <c r="AP30" s="578"/>
      <c r="AQ30" s="578"/>
      <c r="AR30" s="578"/>
      <c r="AS30" s="578"/>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c r="BP30" s="578"/>
      <c r="BQ30" s="578"/>
      <c r="BR30" s="578"/>
      <c r="BS30" s="578"/>
      <c r="BT30" s="578"/>
      <c r="BU30" s="578"/>
      <c r="BV30" s="578"/>
      <c r="BW30" s="578"/>
      <c r="BX30" s="578"/>
      <c r="BY30" s="578"/>
      <c r="BZ30" s="578"/>
      <c r="CA30" s="578"/>
      <c r="CB30" s="578"/>
      <c r="CC30" s="578"/>
      <c r="CD30" s="578"/>
      <c r="CE30" s="578"/>
      <c r="CF30" s="578"/>
      <c r="CG30" s="578"/>
      <c r="CH30" s="578"/>
      <c r="CI30" s="578"/>
      <c r="CJ30" s="578"/>
      <c r="CK30" s="578"/>
      <c r="CL30" s="578"/>
      <c r="CM30" s="578"/>
      <c r="CN30" s="578"/>
      <c r="CO30" s="578"/>
      <c r="CP30" s="578"/>
      <c r="CQ30" s="578"/>
      <c r="CR30" s="578"/>
      <c r="CS30" s="578"/>
      <c r="CT30" s="578"/>
      <c r="CU30" s="578"/>
      <c r="CV30" s="578"/>
      <c r="CW30" s="578"/>
      <c r="CX30" s="578"/>
      <c r="CY30" s="578"/>
      <c r="CZ30" s="578"/>
      <c r="DA30" s="578"/>
      <c r="DB30" s="578"/>
      <c r="DC30" s="609"/>
      <c r="DD30" s="609"/>
      <c r="DE30" s="609"/>
      <c r="DF30" s="609"/>
      <c r="DG30" s="609"/>
    </row>
    <row r="31" spans="1:111" s="403" customFormat="1" ht="16.5" thickTop="1">
      <c r="A31" s="578"/>
      <c r="B31" s="578"/>
      <c r="C31" s="578"/>
      <c r="D31" s="578"/>
      <c r="E31" s="578"/>
      <c r="F31" s="578"/>
      <c r="G31" s="578"/>
      <c r="H31" s="580"/>
      <c r="I31" s="578"/>
      <c r="J31" s="578"/>
      <c r="K31" s="578"/>
      <c r="L31" s="578"/>
      <c r="M31" s="578"/>
      <c r="N31" s="578"/>
      <c r="O31" s="578"/>
      <c r="P31" s="578"/>
      <c r="Q31" s="578"/>
      <c r="R31" s="578"/>
      <c r="S31" s="578"/>
      <c r="T31" s="578"/>
      <c r="U31" s="578"/>
      <c r="V31" s="578"/>
      <c r="W31" s="578"/>
      <c r="X31" s="578"/>
      <c r="Y31" s="578"/>
      <c r="Z31" s="578"/>
      <c r="AA31" s="578"/>
      <c r="AB31" s="578"/>
      <c r="AC31" s="578"/>
      <c r="AD31" s="578"/>
      <c r="AE31" s="578"/>
      <c r="AF31" s="578"/>
      <c r="AG31" s="578"/>
      <c r="AH31" s="578"/>
      <c r="AI31" s="578"/>
      <c r="AJ31" s="578"/>
      <c r="AK31" s="578"/>
      <c r="AL31" s="578"/>
      <c r="AM31" s="578"/>
      <c r="AN31" s="578"/>
      <c r="AO31" s="579"/>
      <c r="AP31" s="578"/>
      <c r="AQ31" s="578"/>
      <c r="AR31" s="578"/>
      <c r="AS31" s="578"/>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c r="BP31" s="578"/>
      <c r="BQ31" s="578"/>
      <c r="BR31" s="578"/>
      <c r="BS31" s="578"/>
      <c r="BT31" s="578"/>
      <c r="BU31" s="578"/>
      <c r="BV31" s="578"/>
      <c r="BW31" s="578"/>
      <c r="BX31" s="578"/>
      <c r="BY31" s="578"/>
      <c r="BZ31" s="578"/>
      <c r="CA31" s="578"/>
      <c r="CB31" s="578"/>
      <c r="CC31" s="578"/>
      <c r="CD31" s="578"/>
      <c r="CE31" s="578"/>
      <c r="CF31" s="578"/>
      <c r="CG31" s="578"/>
      <c r="CH31" s="578"/>
      <c r="CI31" s="578"/>
      <c r="CJ31" s="578"/>
      <c r="CK31" s="578"/>
      <c r="CL31" s="578"/>
      <c r="CM31" s="578"/>
      <c r="CN31" s="578"/>
      <c r="CO31" s="578"/>
      <c r="CP31" s="578"/>
      <c r="CQ31" s="578"/>
      <c r="CR31" s="578"/>
      <c r="CS31" s="578"/>
      <c r="CT31" s="578"/>
      <c r="CU31" s="578"/>
      <c r="CV31" s="578"/>
      <c r="CW31" s="578"/>
      <c r="CX31" s="578"/>
      <c r="CY31" s="578"/>
      <c r="CZ31" s="578"/>
      <c r="DA31" s="578"/>
      <c r="DB31" s="578"/>
      <c r="DC31" s="609"/>
      <c r="DD31" s="609"/>
      <c r="DE31" s="609"/>
      <c r="DF31" s="609"/>
      <c r="DG31" s="609"/>
    </row>
    <row r="32" spans="1:111" s="403" customFormat="1" ht="16.5" thickBot="1">
      <c r="A32" s="581"/>
      <c r="B32" s="581"/>
      <c r="C32" s="581"/>
      <c r="D32" s="581"/>
      <c r="E32" s="581"/>
      <c r="F32" s="581"/>
      <c r="G32" s="581"/>
      <c r="H32" s="582"/>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1"/>
      <c r="AI32" s="581"/>
      <c r="AJ32" s="581"/>
      <c r="AK32" s="581"/>
      <c r="AL32" s="581"/>
      <c r="AM32" s="581"/>
      <c r="AN32" s="581"/>
      <c r="AO32" s="610"/>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1"/>
      <c r="CV32" s="581"/>
      <c r="CW32" s="581"/>
      <c r="CX32" s="581"/>
      <c r="CY32" s="581"/>
      <c r="CZ32" s="581"/>
      <c r="DA32" s="581"/>
      <c r="DB32" s="581"/>
      <c r="DC32" s="609"/>
      <c r="DD32" s="609"/>
      <c r="DE32" s="609"/>
      <c r="DF32" s="609"/>
      <c r="DG32" s="609"/>
    </row>
    <row r="33" spans="1:111" ht="25.5" customHeight="1" thickTop="1" thickBot="1">
      <c r="A33" s="491" t="s">
        <v>401</v>
      </c>
      <c r="B33" s="492" t="s">
        <v>429</v>
      </c>
      <c r="C33" s="525">
        <v>38504</v>
      </c>
      <c r="D33" s="525">
        <v>38534</v>
      </c>
      <c r="E33" s="525">
        <v>38565</v>
      </c>
      <c r="F33" s="584">
        <v>38596</v>
      </c>
      <c r="G33" s="525">
        <v>38626</v>
      </c>
      <c r="H33" s="585">
        <v>38657</v>
      </c>
      <c r="I33" s="525">
        <v>38687</v>
      </c>
      <c r="J33" s="525">
        <v>38718</v>
      </c>
      <c r="K33" s="525">
        <v>38749</v>
      </c>
      <c r="L33" s="525">
        <v>38777</v>
      </c>
      <c r="M33" s="584">
        <v>38808</v>
      </c>
      <c r="N33" s="525">
        <v>38838</v>
      </c>
      <c r="O33" s="525">
        <v>38869</v>
      </c>
      <c r="P33" s="525">
        <v>38899</v>
      </c>
      <c r="Q33" s="525">
        <v>38930</v>
      </c>
      <c r="R33" s="525">
        <v>38961</v>
      </c>
      <c r="S33" s="525">
        <v>38991</v>
      </c>
      <c r="T33" s="525">
        <v>39022</v>
      </c>
      <c r="U33" s="525">
        <v>39052</v>
      </c>
      <c r="V33" s="525">
        <v>39083</v>
      </c>
      <c r="W33" s="525">
        <v>39114</v>
      </c>
      <c r="X33" s="525">
        <v>39142</v>
      </c>
      <c r="Y33" s="525">
        <v>39173</v>
      </c>
      <c r="Z33" s="525">
        <v>39203</v>
      </c>
      <c r="AA33" s="525">
        <v>39234</v>
      </c>
      <c r="AB33" s="525">
        <v>39264</v>
      </c>
      <c r="AC33" s="525">
        <v>39295</v>
      </c>
      <c r="AD33" s="585">
        <v>39326</v>
      </c>
      <c r="AE33" s="525">
        <v>39356</v>
      </c>
      <c r="AF33" s="525">
        <v>39387</v>
      </c>
      <c r="AG33" s="525">
        <v>39417</v>
      </c>
      <c r="AH33" s="525">
        <v>39448</v>
      </c>
      <c r="AI33" s="525">
        <v>39479</v>
      </c>
      <c r="AJ33" s="525">
        <v>39508</v>
      </c>
      <c r="AK33" s="525">
        <v>39539</v>
      </c>
      <c r="AL33" s="525">
        <v>39569</v>
      </c>
      <c r="AM33" s="525">
        <f t="shared" ref="AM33:CT33" si="0">AM4</f>
        <v>39600</v>
      </c>
      <c r="AN33" s="525">
        <f t="shared" si="0"/>
        <v>39630</v>
      </c>
      <c r="AO33" s="585">
        <f t="shared" si="0"/>
        <v>39661</v>
      </c>
      <c r="AP33" s="525">
        <f t="shared" si="0"/>
        <v>39692</v>
      </c>
      <c r="AQ33" s="525">
        <f t="shared" si="0"/>
        <v>39722</v>
      </c>
      <c r="AR33" s="525">
        <f t="shared" si="0"/>
        <v>39753</v>
      </c>
      <c r="AS33" s="525">
        <f t="shared" si="0"/>
        <v>39783</v>
      </c>
      <c r="AT33" s="525">
        <f t="shared" si="0"/>
        <v>39814</v>
      </c>
      <c r="AU33" s="525">
        <f t="shared" si="0"/>
        <v>39845</v>
      </c>
      <c r="AV33" s="525">
        <f t="shared" si="0"/>
        <v>39873</v>
      </c>
      <c r="AW33" s="525">
        <f t="shared" si="0"/>
        <v>39904</v>
      </c>
      <c r="AX33" s="525">
        <f t="shared" si="0"/>
        <v>39934</v>
      </c>
      <c r="AY33" s="525">
        <f t="shared" si="0"/>
        <v>39965</v>
      </c>
      <c r="AZ33" s="525">
        <f t="shared" si="0"/>
        <v>39995</v>
      </c>
      <c r="BA33" s="525">
        <f t="shared" si="0"/>
        <v>40026</v>
      </c>
      <c r="BB33" s="525">
        <f t="shared" si="0"/>
        <v>40057</v>
      </c>
      <c r="BC33" s="525">
        <f t="shared" si="0"/>
        <v>40087</v>
      </c>
      <c r="BD33" s="525">
        <f t="shared" si="0"/>
        <v>40118</v>
      </c>
      <c r="BE33" s="525">
        <f t="shared" si="0"/>
        <v>40148</v>
      </c>
      <c r="BF33" s="525">
        <f t="shared" si="0"/>
        <v>40179</v>
      </c>
      <c r="BG33" s="525">
        <f t="shared" si="0"/>
        <v>40210</v>
      </c>
      <c r="BH33" s="525">
        <f t="shared" si="0"/>
        <v>40238</v>
      </c>
      <c r="BI33" s="525">
        <f t="shared" si="0"/>
        <v>40269</v>
      </c>
      <c r="BJ33" s="525">
        <f t="shared" si="0"/>
        <v>40299</v>
      </c>
      <c r="BK33" s="525">
        <f t="shared" si="0"/>
        <v>40330</v>
      </c>
      <c r="BL33" s="525">
        <f t="shared" si="0"/>
        <v>40360</v>
      </c>
      <c r="BM33" s="525">
        <f t="shared" si="0"/>
        <v>40391</v>
      </c>
      <c r="BN33" s="525">
        <f t="shared" si="0"/>
        <v>40422</v>
      </c>
      <c r="BO33" s="525">
        <f t="shared" si="0"/>
        <v>40452</v>
      </c>
      <c r="BP33" s="525">
        <f t="shared" si="0"/>
        <v>40483</v>
      </c>
      <c r="BQ33" s="525">
        <f t="shared" si="0"/>
        <v>40513</v>
      </c>
      <c r="BR33" s="525">
        <f t="shared" si="0"/>
        <v>40544</v>
      </c>
      <c r="BS33" s="525">
        <f t="shared" si="0"/>
        <v>40575</v>
      </c>
      <c r="BT33" s="525">
        <f t="shared" si="0"/>
        <v>40603</v>
      </c>
      <c r="BU33" s="525">
        <f t="shared" si="0"/>
        <v>40634</v>
      </c>
      <c r="BV33" s="525">
        <f t="shared" si="0"/>
        <v>40664</v>
      </c>
      <c r="BW33" s="525">
        <f t="shared" si="0"/>
        <v>40695</v>
      </c>
      <c r="BX33" s="525">
        <f t="shared" si="0"/>
        <v>40725</v>
      </c>
      <c r="BY33" s="525">
        <f t="shared" si="0"/>
        <v>40756</v>
      </c>
      <c r="BZ33" s="525">
        <f t="shared" si="0"/>
        <v>40787</v>
      </c>
      <c r="CA33" s="525">
        <f t="shared" si="0"/>
        <v>40817</v>
      </c>
      <c r="CB33" s="525">
        <f t="shared" si="0"/>
        <v>40848</v>
      </c>
      <c r="CC33" s="525">
        <f t="shared" si="0"/>
        <v>40878</v>
      </c>
      <c r="CD33" s="525">
        <f t="shared" si="0"/>
        <v>40909</v>
      </c>
      <c r="CE33" s="525">
        <f t="shared" si="0"/>
        <v>40940</v>
      </c>
      <c r="CF33" s="525">
        <f t="shared" si="0"/>
        <v>40969</v>
      </c>
      <c r="CG33" s="525">
        <f t="shared" si="0"/>
        <v>41000</v>
      </c>
      <c r="CH33" s="525">
        <f t="shared" si="0"/>
        <v>41030</v>
      </c>
      <c r="CI33" s="525">
        <f t="shared" si="0"/>
        <v>41061</v>
      </c>
      <c r="CJ33" s="525">
        <f t="shared" si="0"/>
        <v>41091</v>
      </c>
      <c r="CK33" s="525">
        <f t="shared" si="0"/>
        <v>41122</v>
      </c>
      <c r="CL33" s="525">
        <f t="shared" si="0"/>
        <v>41153</v>
      </c>
      <c r="CM33" s="525">
        <f t="shared" si="0"/>
        <v>41183</v>
      </c>
      <c r="CN33" s="525">
        <f t="shared" si="0"/>
        <v>41214</v>
      </c>
      <c r="CO33" s="525">
        <f t="shared" si="0"/>
        <v>41244</v>
      </c>
      <c r="CP33" s="525">
        <f t="shared" si="0"/>
        <v>41275</v>
      </c>
      <c r="CQ33" s="525">
        <f t="shared" si="0"/>
        <v>41306</v>
      </c>
      <c r="CR33" s="525">
        <f t="shared" si="0"/>
        <v>41334</v>
      </c>
      <c r="CS33" s="495">
        <f t="shared" si="0"/>
        <v>41365</v>
      </c>
      <c r="CT33" s="495">
        <f t="shared" si="0"/>
        <v>41395</v>
      </c>
      <c r="CU33" s="495">
        <f>CU4</f>
        <v>41426</v>
      </c>
      <c r="CV33" s="495">
        <f>CV4</f>
        <v>41456</v>
      </c>
      <c r="CW33" s="495">
        <f>CW4</f>
        <v>41487</v>
      </c>
      <c r="CX33" s="495">
        <v>41518</v>
      </c>
      <c r="CY33" s="495">
        <f>CY4</f>
        <v>41548</v>
      </c>
      <c r="CZ33" s="495">
        <f>CZ4</f>
        <v>41579</v>
      </c>
      <c r="DA33" s="495">
        <f>DA4</f>
        <v>41609</v>
      </c>
      <c r="DB33" s="495">
        <f>DB4</f>
        <v>41640</v>
      </c>
      <c r="DC33" s="493">
        <v>41671</v>
      </c>
      <c r="DD33" s="493">
        <v>41699</v>
      </c>
      <c r="DE33" s="493">
        <v>41730</v>
      </c>
      <c r="DF33" s="493">
        <v>41760</v>
      </c>
      <c r="DG33" s="493">
        <v>41791</v>
      </c>
    </row>
    <row r="34" spans="1:111" ht="17.25" customHeight="1" thickTop="1">
      <c r="A34" s="509"/>
      <c r="B34" s="528"/>
      <c r="C34" s="530"/>
      <c r="D34" s="530"/>
      <c r="E34" s="530"/>
      <c r="F34" s="569"/>
      <c r="G34" s="530"/>
      <c r="H34" s="570"/>
      <c r="I34" s="530"/>
      <c r="J34" s="530"/>
      <c r="K34" s="530"/>
      <c r="L34" s="530"/>
      <c r="M34" s="569"/>
      <c r="N34" s="530"/>
      <c r="O34" s="530"/>
      <c r="P34" s="530"/>
      <c r="Q34" s="530"/>
      <c r="R34" s="530"/>
      <c r="S34" s="530"/>
      <c r="T34" s="530"/>
      <c r="U34" s="530"/>
      <c r="V34" s="530"/>
      <c r="W34" s="530"/>
      <c r="X34" s="530"/>
      <c r="Y34" s="530"/>
      <c r="Z34" s="530"/>
      <c r="AA34" s="530"/>
      <c r="AB34" s="530"/>
      <c r="AC34" s="530"/>
      <c r="AD34" s="570"/>
      <c r="AE34" s="530"/>
      <c r="AF34" s="530"/>
      <c r="AG34" s="530"/>
      <c r="AH34" s="530"/>
      <c r="AI34" s="530"/>
      <c r="AJ34" s="530"/>
      <c r="AK34" s="530"/>
      <c r="AL34" s="530"/>
      <c r="AM34" s="530"/>
      <c r="AN34" s="530"/>
      <c r="AO34" s="570"/>
      <c r="AP34" s="530"/>
      <c r="AQ34" s="530"/>
      <c r="AR34" s="530"/>
      <c r="AS34" s="530"/>
      <c r="AT34" s="530"/>
      <c r="AU34" s="530"/>
      <c r="AV34" s="530"/>
      <c r="AW34" s="530"/>
      <c r="AX34" s="530"/>
      <c r="AY34" s="530"/>
      <c r="AZ34" s="530"/>
      <c r="BA34" s="530"/>
      <c r="BB34" s="530"/>
      <c r="BC34" s="530"/>
      <c r="BD34" s="530"/>
      <c r="BE34" s="530"/>
      <c r="BF34" s="530"/>
      <c r="BG34" s="530"/>
      <c r="BH34" s="530"/>
      <c r="BI34" s="530"/>
      <c r="BJ34" s="530"/>
      <c r="BK34" s="530"/>
      <c r="BL34" s="530"/>
      <c r="BM34" s="530"/>
      <c r="BN34" s="530"/>
      <c r="BO34" s="530"/>
      <c r="BP34" s="530"/>
      <c r="BQ34" s="530"/>
      <c r="BR34" s="530"/>
      <c r="BS34" s="530"/>
      <c r="BT34" s="530"/>
      <c r="BU34" s="530"/>
      <c r="BV34" s="530"/>
      <c r="BW34" s="530"/>
      <c r="BX34" s="530"/>
      <c r="BY34" s="530"/>
      <c r="BZ34" s="530"/>
      <c r="CA34" s="530"/>
      <c r="CB34" s="530"/>
      <c r="CC34" s="530"/>
      <c r="CD34" s="530"/>
      <c r="CE34" s="530"/>
      <c r="CF34" s="530"/>
      <c r="CG34" s="530"/>
      <c r="CH34" s="530"/>
      <c r="CI34" s="530"/>
      <c r="CJ34" s="530"/>
      <c r="CK34" s="530"/>
      <c r="CL34" s="530"/>
      <c r="CM34" s="530"/>
      <c r="CN34" s="530"/>
      <c r="CO34" s="530"/>
      <c r="CP34" s="530"/>
      <c r="CQ34" s="530"/>
      <c r="CR34" s="530"/>
      <c r="CS34" s="530"/>
      <c r="CT34" s="530"/>
      <c r="CU34" s="530"/>
      <c r="CV34" s="530"/>
      <c r="CW34" s="530"/>
      <c r="CX34" s="530"/>
      <c r="CY34" s="530"/>
      <c r="CZ34" s="530"/>
      <c r="DA34" s="530"/>
      <c r="DB34" s="530"/>
      <c r="DC34" s="512"/>
      <c r="DD34" s="512"/>
      <c r="DE34" s="512"/>
      <c r="DF34" s="512"/>
      <c r="DG34" s="512"/>
    </row>
    <row r="35" spans="1:111" ht="17.25" customHeight="1">
      <c r="A35" s="505" t="s">
        <v>430</v>
      </c>
      <c r="B35" s="506" t="s">
        <v>431</v>
      </c>
      <c r="C35" s="561">
        <v>0</v>
      </c>
      <c r="D35" s="561">
        <v>0</v>
      </c>
      <c r="E35" s="561">
        <v>0</v>
      </c>
      <c r="F35" s="562">
        <v>0</v>
      </c>
      <c r="G35" s="561">
        <v>0</v>
      </c>
      <c r="H35" s="563">
        <v>0</v>
      </c>
      <c r="I35" s="561">
        <v>0</v>
      </c>
      <c r="J35" s="561">
        <v>0</v>
      </c>
      <c r="K35" s="561">
        <v>0</v>
      </c>
      <c r="L35" s="561">
        <v>0</v>
      </c>
      <c r="M35" s="562">
        <v>0</v>
      </c>
      <c r="N35" s="561">
        <v>0</v>
      </c>
      <c r="O35" s="561">
        <v>0</v>
      </c>
      <c r="P35" s="561">
        <v>0</v>
      </c>
      <c r="Q35" s="561">
        <v>0</v>
      </c>
      <c r="R35" s="561">
        <v>0</v>
      </c>
      <c r="S35" s="561">
        <v>0</v>
      </c>
      <c r="T35" s="561">
        <v>0</v>
      </c>
      <c r="U35" s="561">
        <v>0</v>
      </c>
      <c r="V35" s="561">
        <v>0</v>
      </c>
      <c r="W35" s="561">
        <v>0</v>
      </c>
      <c r="X35" s="561">
        <v>0</v>
      </c>
      <c r="Y35" s="561">
        <v>0</v>
      </c>
      <c r="Z35" s="561">
        <v>0</v>
      </c>
      <c r="AA35" s="561">
        <v>0</v>
      </c>
      <c r="AB35" s="561">
        <v>0</v>
      </c>
      <c r="AC35" s="561">
        <v>0</v>
      </c>
      <c r="AD35" s="563">
        <v>0</v>
      </c>
      <c r="AE35" s="561">
        <v>0</v>
      </c>
      <c r="AF35" s="561">
        <v>0</v>
      </c>
      <c r="AG35" s="561">
        <v>0</v>
      </c>
      <c r="AH35" s="561">
        <v>0</v>
      </c>
      <c r="AI35" s="561">
        <v>0</v>
      </c>
      <c r="AJ35" s="561">
        <v>0</v>
      </c>
      <c r="AK35" s="561">
        <v>0</v>
      </c>
      <c r="AL35" s="561">
        <v>0</v>
      </c>
      <c r="AM35" s="561">
        <v>0</v>
      </c>
      <c r="AN35" s="561">
        <v>0</v>
      </c>
      <c r="AO35" s="563">
        <v>0</v>
      </c>
      <c r="AP35" s="561">
        <v>0</v>
      </c>
      <c r="AQ35" s="561">
        <v>0</v>
      </c>
      <c r="AR35" s="561">
        <v>0</v>
      </c>
      <c r="AS35" s="561">
        <v>0</v>
      </c>
      <c r="AT35" s="561">
        <v>0</v>
      </c>
      <c r="AU35" s="561">
        <v>0</v>
      </c>
      <c r="AV35" s="561">
        <v>0</v>
      </c>
      <c r="AW35" s="561">
        <v>0</v>
      </c>
      <c r="AX35" s="561">
        <v>0</v>
      </c>
      <c r="AY35" s="561">
        <v>0</v>
      </c>
      <c r="AZ35" s="561">
        <v>0</v>
      </c>
      <c r="BA35" s="561">
        <v>0</v>
      </c>
      <c r="BB35" s="561">
        <v>0</v>
      </c>
      <c r="BC35" s="561">
        <v>0</v>
      </c>
      <c r="BD35" s="561">
        <v>0</v>
      </c>
      <c r="BE35" s="561">
        <v>0</v>
      </c>
      <c r="BF35" s="561">
        <v>0</v>
      </c>
      <c r="BG35" s="561">
        <v>0</v>
      </c>
      <c r="BH35" s="561">
        <v>0</v>
      </c>
      <c r="BI35" s="561">
        <v>0</v>
      </c>
      <c r="BJ35" s="561">
        <v>0</v>
      </c>
      <c r="BK35" s="561">
        <v>0</v>
      </c>
      <c r="BL35" s="561">
        <v>0</v>
      </c>
      <c r="BM35" s="561">
        <v>0</v>
      </c>
      <c r="BN35" s="561">
        <v>0</v>
      </c>
      <c r="BO35" s="561">
        <v>0</v>
      </c>
      <c r="BP35" s="561">
        <v>0</v>
      </c>
      <c r="BQ35" s="561">
        <v>0</v>
      </c>
      <c r="BR35" s="561">
        <v>0</v>
      </c>
      <c r="BS35" s="561">
        <v>0</v>
      </c>
      <c r="BT35" s="561">
        <v>0</v>
      </c>
      <c r="BU35" s="561">
        <v>0</v>
      </c>
      <c r="BV35" s="561">
        <v>0</v>
      </c>
      <c r="BW35" s="561">
        <v>0</v>
      </c>
      <c r="BX35" s="561">
        <v>0</v>
      </c>
      <c r="BY35" s="561">
        <v>0</v>
      </c>
      <c r="BZ35" s="561">
        <v>0</v>
      </c>
      <c r="CA35" s="561">
        <v>0</v>
      </c>
      <c r="CB35" s="561">
        <v>0</v>
      </c>
      <c r="CC35" s="561">
        <v>0</v>
      </c>
      <c r="CD35" s="561">
        <v>0</v>
      </c>
      <c r="CE35" s="561">
        <v>0</v>
      </c>
      <c r="CF35" s="561">
        <v>0</v>
      </c>
      <c r="CG35" s="561">
        <v>0</v>
      </c>
      <c r="CH35" s="561">
        <v>0</v>
      </c>
      <c r="CI35" s="561">
        <v>0</v>
      </c>
      <c r="CJ35" s="561">
        <v>0</v>
      </c>
      <c r="CK35" s="561">
        <v>0</v>
      </c>
      <c r="CL35" s="561">
        <v>0</v>
      </c>
      <c r="CM35" s="561">
        <v>0</v>
      </c>
      <c r="CN35" s="561">
        <v>0</v>
      </c>
      <c r="CO35" s="561">
        <v>0</v>
      </c>
      <c r="CP35" s="561">
        <v>0</v>
      </c>
      <c r="CQ35" s="561">
        <v>0</v>
      </c>
      <c r="CR35" s="561">
        <v>0</v>
      </c>
      <c r="CS35" s="561">
        <v>0</v>
      </c>
      <c r="CT35" s="561">
        <v>0</v>
      </c>
      <c r="CU35" s="561">
        <v>0</v>
      </c>
      <c r="CV35" s="561">
        <v>0</v>
      </c>
      <c r="CW35" s="561">
        <v>0</v>
      </c>
      <c r="CX35" s="561">
        <v>0</v>
      </c>
      <c r="CY35" s="561">
        <v>0</v>
      </c>
      <c r="CZ35" s="561">
        <v>0</v>
      </c>
      <c r="DA35" s="561">
        <v>0</v>
      </c>
      <c r="DB35" s="561">
        <v>0</v>
      </c>
      <c r="DC35" s="507">
        <v>0</v>
      </c>
      <c r="DD35" s="507">
        <v>0</v>
      </c>
      <c r="DE35" s="507">
        <v>0</v>
      </c>
      <c r="DF35" s="507">
        <v>0</v>
      </c>
      <c r="DG35" s="507">
        <v>0</v>
      </c>
    </row>
    <row r="36" spans="1:111" ht="17.25" customHeight="1">
      <c r="A36" s="509"/>
      <c r="B36" s="510"/>
      <c r="C36" s="589"/>
      <c r="D36" s="589"/>
      <c r="E36" s="589"/>
      <c r="F36" s="590"/>
      <c r="G36" s="589"/>
      <c r="H36" s="591"/>
      <c r="I36" s="589"/>
      <c r="J36" s="589"/>
      <c r="K36" s="589"/>
      <c r="L36" s="589"/>
      <c r="M36" s="590"/>
      <c r="N36" s="589"/>
      <c r="O36" s="589"/>
      <c r="P36" s="589"/>
      <c r="Q36" s="589"/>
      <c r="R36" s="589"/>
      <c r="S36" s="589"/>
      <c r="T36" s="589"/>
      <c r="U36" s="589"/>
      <c r="V36" s="589"/>
      <c r="W36" s="589"/>
      <c r="X36" s="589"/>
      <c r="Y36" s="589"/>
      <c r="Z36" s="589"/>
      <c r="AA36" s="589"/>
      <c r="AB36" s="589"/>
      <c r="AC36" s="589"/>
      <c r="AD36" s="591"/>
      <c r="AE36" s="589"/>
      <c r="AF36" s="589"/>
      <c r="AG36" s="589"/>
      <c r="AH36" s="589"/>
      <c r="AI36" s="589"/>
      <c r="AJ36" s="589"/>
      <c r="AK36" s="589"/>
      <c r="AL36" s="589"/>
      <c r="AM36" s="589"/>
      <c r="AN36" s="589"/>
      <c r="AO36" s="591"/>
      <c r="AP36" s="589"/>
      <c r="AQ36" s="589"/>
      <c r="AR36" s="589"/>
      <c r="AS36" s="589"/>
      <c r="AT36" s="589"/>
      <c r="AU36" s="589"/>
      <c r="AV36" s="589"/>
      <c r="AW36" s="589"/>
      <c r="AX36" s="589"/>
      <c r="AY36" s="589"/>
      <c r="AZ36" s="589"/>
      <c r="BA36" s="589"/>
      <c r="BB36" s="589"/>
      <c r="BC36" s="589"/>
      <c r="BD36" s="589"/>
      <c r="BE36" s="589"/>
      <c r="BF36" s="589"/>
      <c r="BG36" s="589"/>
      <c r="BH36" s="589"/>
      <c r="BI36" s="589"/>
      <c r="BJ36" s="589"/>
      <c r="BK36" s="589"/>
      <c r="BL36" s="589"/>
      <c r="BM36" s="589"/>
      <c r="BN36" s="589"/>
      <c r="BO36" s="589"/>
      <c r="BP36" s="589"/>
      <c r="BQ36" s="589"/>
      <c r="BR36" s="589"/>
      <c r="BS36" s="589"/>
      <c r="BT36" s="589"/>
      <c r="BU36" s="589"/>
      <c r="BV36" s="589"/>
      <c r="BW36" s="589"/>
      <c r="BX36" s="589"/>
      <c r="BY36" s="589"/>
      <c r="BZ36" s="589"/>
      <c r="CA36" s="589"/>
      <c r="CB36" s="589"/>
      <c r="CC36" s="589"/>
      <c r="CD36" s="589"/>
      <c r="CE36" s="589"/>
      <c r="CF36" s="589"/>
      <c r="CG36" s="589"/>
      <c r="CH36" s="589"/>
      <c r="CI36" s="589"/>
      <c r="CJ36" s="589"/>
      <c r="CK36" s="589"/>
      <c r="CL36" s="589"/>
      <c r="CM36" s="589"/>
      <c r="CN36" s="589"/>
      <c r="CO36" s="589"/>
      <c r="CP36" s="589"/>
      <c r="CQ36" s="589"/>
      <c r="CR36" s="589"/>
      <c r="CS36" s="589"/>
      <c r="CT36" s="589"/>
      <c r="CU36" s="589"/>
      <c r="CV36" s="589"/>
      <c r="CW36" s="589"/>
      <c r="CX36" s="589"/>
      <c r="CY36" s="589"/>
      <c r="CZ36" s="589"/>
      <c r="DA36" s="589"/>
      <c r="DB36" s="589"/>
      <c r="DC36" s="592"/>
      <c r="DD36" s="592"/>
      <c r="DE36" s="592"/>
      <c r="DF36" s="592"/>
      <c r="DG36" s="592"/>
    </row>
    <row r="37" spans="1:111" ht="17.25" customHeight="1">
      <c r="A37" s="505" t="s">
        <v>432</v>
      </c>
      <c r="B37" s="506" t="s">
        <v>433</v>
      </c>
      <c r="C37" s="561">
        <v>15799.149194481233</v>
      </c>
      <c r="D37" s="561">
        <v>16169.179850439999</v>
      </c>
      <c r="E37" s="561">
        <v>16470.980071780799</v>
      </c>
      <c r="F37" s="562">
        <v>16636.22470409</v>
      </c>
      <c r="G37" s="561">
        <v>17336.911325442426</v>
      </c>
      <c r="H37" s="563">
        <v>17621.08317719779</v>
      </c>
      <c r="I37" s="561">
        <v>17976.722737839998</v>
      </c>
      <c r="J37" s="561">
        <v>18157.790333569999</v>
      </c>
      <c r="K37" s="561">
        <v>18335.985190060004</v>
      </c>
      <c r="L37" s="561">
        <v>18549.640972419998</v>
      </c>
      <c r="M37" s="562">
        <v>18880.5665577</v>
      </c>
      <c r="N37" s="561">
        <v>19071.319829940003</v>
      </c>
      <c r="O37" s="561">
        <v>19297.275861840004</v>
      </c>
      <c r="P37" s="561">
        <v>19136.13135666</v>
      </c>
      <c r="Q37" s="561">
        <v>19083.714532799997</v>
      </c>
      <c r="R37" s="561">
        <v>19012.076992410002</v>
      </c>
      <c r="S37" s="561">
        <v>19070.259877590001</v>
      </c>
      <c r="T37" s="561">
        <v>18720.492429410002</v>
      </c>
      <c r="U37" s="561">
        <v>18897.772434309998</v>
      </c>
      <c r="V37" s="561">
        <v>18974.689284550001</v>
      </c>
      <c r="W37" s="561">
        <v>18875.298141160005</v>
      </c>
      <c r="X37" s="561">
        <v>19109.760161150003</v>
      </c>
      <c r="Y37" s="561">
        <v>19397.538455869995</v>
      </c>
      <c r="Z37" s="561">
        <v>19622.466289479995</v>
      </c>
      <c r="AA37" s="561">
        <v>19605.421284829998</v>
      </c>
      <c r="AB37" s="561">
        <v>19949.571433349996</v>
      </c>
      <c r="AC37" s="561">
        <v>20638.88987119</v>
      </c>
      <c r="AD37" s="563">
        <v>21100.987314209997</v>
      </c>
      <c r="AE37" s="561">
        <v>21179.326419770001</v>
      </c>
      <c r="AF37" s="561">
        <v>21646.820736129997</v>
      </c>
      <c r="AG37" s="561">
        <v>21997.084448519996</v>
      </c>
      <c r="AH37" s="561">
        <v>22688.649136959997</v>
      </c>
      <c r="AI37" s="561">
        <v>23144.079793360001</v>
      </c>
      <c r="AJ37" s="561">
        <v>23844.757203950001</v>
      </c>
      <c r="AK37" s="561">
        <v>24134.54750004</v>
      </c>
      <c r="AL37" s="561">
        <v>24094.181698996279</v>
      </c>
      <c r="AM37" s="561">
        <v>24201.054660370006</v>
      </c>
      <c r="AN37" s="561">
        <v>24365.110072246986</v>
      </c>
      <c r="AO37" s="563">
        <v>24634.230153650002</v>
      </c>
      <c r="AP37" s="561">
        <v>25287.988227423422</v>
      </c>
      <c r="AQ37" s="561">
        <v>25451.666864573563</v>
      </c>
      <c r="AR37" s="561">
        <v>25546.325413546438</v>
      </c>
      <c r="AS37" s="561">
        <v>25563.73240122644</v>
      </c>
      <c r="AT37" s="561">
        <v>26145.79971450644</v>
      </c>
      <c r="AU37" s="561">
        <v>26344.983763667358</v>
      </c>
      <c r="AV37" s="561">
        <v>26672.525094012803</v>
      </c>
      <c r="AW37" s="561">
        <v>26977.356744399996</v>
      </c>
      <c r="AX37" s="561">
        <v>26974.364925166959</v>
      </c>
      <c r="AY37" s="561">
        <v>26824.513714374112</v>
      </c>
      <c r="AZ37" s="561">
        <v>27398.278850339721</v>
      </c>
      <c r="BA37" s="561">
        <v>28129.365552115341</v>
      </c>
      <c r="BB37" s="561">
        <v>28352.395736190276</v>
      </c>
      <c r="BC37" s="561">
        <v>28532.668559512604</v>
      </c>
      <c r="BD37" s="561">
        <v>28470.215146898361</v>
      </c>
      <c r="BE37" s="561">
        <v>27629.527628826301</v>
      </c>
      <c r="BF37" s="561">
        <v>28023.493279000279</v>
      </c>
      <c r="BG37" s="561">
        <v>28195.26444483066</v>
      </c>
      <c r="BH37" s="561">
        <v>28131.045045772058</v>
      </c>
      <c r="BI37" s="561">
        <v>28630.365817431099</v>
      </c>
      <c r="BJ37" s="561">
        <v>29023.617727045261</v>
      </c>
      <c r="BK37" s="561">
        <v>27119.395050939998</v>
      </c>
      <c r="BL37" s="561">
        <v>27253.477460423252</v>
      </c>
      <c r="BM37" s="561">
        <v>27318.428225325686</v>
      </c>
      <c r="BN37" s="561">
        <v>27655.349700076469</v>
      </c>
      <c r="BO37" s="561">
        <v>27798.282589510545</v>
      </c>
      <c r="BP37" s="561">
        <v>28013.511867805624</v>
      </c>
      <c r="BQ37" s="561">
        <v>27734.163991005971</v>
      </c>
      <c r="BR37" s="561">
        <v>28118.068396404382</v>
      </c>
      <c r="BS37" s="561">
        <v>28493.457864095479</v>
      </c>
      <c r="BT37" s="561">
        <v>28669.465014519032</v>
      </c>
      <c r="BU37" s="561">
        <v>29204.886515387007</v>
      </c>
      <c r="BV37" s="561">
        <v>29736.414999691919</v>
      </c>
      <c r="BW37" s="561">
        <v>29923.454019163</v>
      </c>
      <c r="BX37" s="561">
        <v>30278.285729713709</v>
      </c>
      <c r="BY37" s="561">
        <v>30566.841783963864</v>
      </c>
      <c r="BZ37" s="561">
        <v>30695.496710676489</v>
      </c>
      <c r="CA37" s="561">
        <v>31251.36911350596</v>
      </c>
      <c r="CB37" s="561">
        <v>31547.546822615455</v>
      </c>
      <c r="CC37" s="561">
        <v>31343.913305010537</v>
      </c>
      <c r="CD37" s="561">
        <v>31704.459293510416</v>
      </c>
      <c r="CE37" s="561">
        <v>32092.06592451657</v>
      </c>
      <c r="CF37" s="561">
        <v>32865.138393912137</v>
      </c>
      <c r="CG37" s="561">
        <v>33111.096678597103</v>
      </c>
      <c r="CH37" s="561">
        <v>30665.521759812567</v>
      </c>
      <c r="CI37" s="561">
        <v>30330.845762194986</v>
      </c>
      <c r="CJ37" s="561">
        <v>31166.967891049753</v>
      </c>
      <c r="CK37" s="561">
        <v>31699.140142656495</v>
      </c>
      <c r="CL37" s="561">
        <v>32088.920303265593</v>
      </c>
      <c r="CM37" s="561">
        <v>32445.50560581663</v>
      </c>
      <c r="CN37" s="561">
        <v>32375.944620440227</v>
      </c>
      <c r="CO37" s="561">
        <v>32834.166035920804</v>
      </c>
      <c r="CP37" s="561">
        <v>33675.579012320646</v>
      </c>
      <c r="CQ37" s="561">
        <v>34097.504615011778</v>
      </c>
      <c r="CR37" s="561">
        <v>34756.433183906054</v>
      </c>
      <c r="CS37" s="561">
        <v>34443.636242859648</v>
      </c>
      <c r="CT37" s="561">
        <v>34759.41984395156</v>
      </c>
      <c r="CU37" s="561">
        <v>35335.886810203214</v>
      </c>
      <c r="CV37" s="561">
        <v>35251.577306225729</v>
      </c>
      <c r="CW37" s="561">
        <v>35675.347456142546</v>
      </c>
      <c r="CX37" s="561">
        <v>36152.183348764265</v>
      </c>
      <c r="CY37" s="561">
        <v>36470.473275948214</v>
      </c>
      <c r="CZ37" s="561">
        <v>36591.132997355278</v>
      </c>
      <c r="DA37" s="561">
        <v>36678.635610563666</v>
      </c>
      <c r="DB37" s="561">
        <v>36549.015655932468</v>
      </c>
      <c r="DC37" s="507">
        <v>36545.178328842492</v>
      </c>
      <c r="DD37" s="507">
        <v>37052.763291480776</v>
      </c>
      <c r="DE37" s="507">
        <v>37480.150531716623</v>
      </c>
      <c r="DF37" s="507">
        <v>37558.62155065449</v>
      </c>
      <c r="DG37" s="507">
        <v>38052.053750429244</v>
      </c>
    </row>
    <row r="38" spans="1:111" ht="17.25" customHeight="1">
      <c r="A38" s="509" t="s">
        <v>434</v>
      </c>
      <c r="B38" s="510" t="s">
        <v>435</v>
      </c>
      <c r="C38" s="530">
        <v>0</v>
      </c>
      <c r="D38" s="530">
        <v>0</v>
      </c>
      <c r="E38" s="530">
        <v>0</v>
      </c>
      <c r="F38" s="569">
        <v>0</v>
      </c>
      <c r="G38" s="530">
        <v>0</v>
      </c>
      <c r="H38" s="570">
        <v>0</v>
      </c>
      <c r="I38" s="530">
        <v>0</v>
      </c>
      <c r="J38" s="530">
        <v>0</v>
      </c>
      <c r="K38" s="530">
        <v>0</v>
      </c>
      <c r="L38" s="530">
        <v>0</v>
      </c>
      <c r="M38" s="569">
        <v>0</v>
      </c>
      <c r="N38" s="530">
        <v>0</v>
      </c>
      <c r="O38" s="530">
        <v>0</v>
      </c>
      <c r="P38" s="530">
        <v>0</v>
      </c>
      <c r="Q38" s="530">
        <v>0</v>
      </c>
      <c r="R38" s="530">
        <v>0</v>
      </c>
      <c r="S38" s="530">
        <v>0</v>
      </c>
      <c r="T38" s="530">
        <v>0</v>
      </c>
      <c r="U38" s="530">
        <v>0</v>
      </c>
      <c r="V38" s="530">
        <v>0</v>
      </c>
      <c r="W38" s="530">
        <v>0</v>
      </c>
      <c r="X38" s="530">
        <v>0</v>
      </c>
      <c r="Y38" s="530">
        <v>0</v>
      </c>
      <c r="Z38" s="530">
        <v>0</v>
      </c>
      <c r="AA38" s="530">
        <v>0</v>
      </c>
      <c r="AB38" s="530">
        <v>0</v>
      </c>
      <c r="AC38" s="530">
        <v>0</v>
      </c>
      <c r="AD38" s="570">
        <v>0</v>
      </c>
      <c r="AE38" s="530">
        <v>0</v>
      </c>
      <c r="AF38" s="530">
        <v>0</v>
      </c>
      <c r="AG38" s="530">
        <v>0</v>
      </c>
      <c r="AH38" s="530">
        <v>0</v>
      </c>
      <c r="AI38" s="530">
        <v>0</v>
      </c>
      <c r="AJ38" s="530">
        <v>0</v>
      </c>
      <c r="AK38" s="530">
        <v>0</v>
      </c>
      <c r="AL38" s="530">
        <v>0</v>
      </c>
      <c r="AM38" s="530">
        <v>0</v>
      </c>
      <c r="AN38" s="530">
        <v>0</v>
      </c>
      <c r="AO38" s="570">
        <v>0</v>
      </c>
      <c r="AP38" s="530">
        <v>0</v>
      </c>
      <c r="AQ38" s="530">
        <v>0</v>
      </c>
      <c r="AR38" s="530">
        <v>0</v>
      </c>
      <c r="AS38" s="530">
        <v>0</v>
      </c>
      <c r="AT38" s="530">
        <v>0</v>
      </c>
      <c r="AU38" s="530">
        <v>0</v>
      </c>
      <c r="AV38" s="530">
        <v>0</v>
      </c>
      <c r="AW38" s="530">
        <v>0</v>
      </c>
      <c r="AX38" s="530">
        <v>0</v>
      </c>
      <c r="AY38" s="530">
        <v>0</v>
      </c>
      <c r="AZ38" s="530">
        <v>0</v>
      </c>
      <c r="BA38" s="530">
        <v>0</v>
      </c>
      <c r="BB38" s="530">
        <v>0</v>
      </c>
      <c r="BC38" s="530">
        <v>0</v>
      </c>
      <c r="BD38" s="530">
        <v>0</v>
      </c>
      <c r="BE38" s="530">
        <v>0</v>
      </c>
      <c r="BF38" s="530">
        <v>0</v>
      </c>
      <c r="BG38" s="530">
        <v>0</v>
      </c>
      <c r="BH38" s="530">
        <v>0</v>
      </c>
      <c r="BI38" s="530">
        <v>0</v>
      </c>
      <c r="BJ38" s="530">
        <v>0</v>
      </c>
      <c r="BK38" s="530">
        <v>0</v>
      </c>
      <c r="BL38" s="530">
        <v>0</v>
      </c>
      <c r="BM38" s="530">
        <v>0</v>
      </c>
      <c r="BN38" s="530">
        <v>0</v>
      </c>
      <c r="BO38" s="530">
        <v>0</v>
      </c>
      <c r="BP38" s="530">
        <v>0</v>
      </c>
      <c r="BQ38" s="530">
        <v>0</v>
      </c>
      <c r="BR38" s="530">
        <v>0</v>
      </c>
      <c r="BS38" s="530">
        <v>0</v>
      </c>
      <c r="BT38" s="530">
        <v>0</v>
      </c>
      <c r="BU38" s="530">
        <v>0</v>
      </c>
      <c r="BV38" s="530">
        <v>0</v>
      </c>
      <c r="BW38" s="530">
        <v>0</v>
      </c>
      <c r="BX38" s="530">
        <v>0</v>
      </c>
      <c r="BY38" s="530">
        <v>0</v>
      </c>
      <c r="BZ38" s="530">
        <v>0</v>
      </c>
      <c r="CA38" s="530">
        <v>0</v>
      </c>
      <c r="CB38" s="530">
        <v>0</v>
      </c>
      <c r="CC38" s="530">
        <v>0</v>
      </c>
      <c r="CD38" s="530">
        <v>0</v>
      </c>
      <c r="CE38" s="530">
        <v>0</v>
      </c>
      <c r="CF38" s="530">
        <v>0</v>
      </c>
      <c r="CG38" s="530">
        <v>0</v>
      </c>
      <c r="CH38" s="530">
        <v>0</v>
      </c>
      <c r="CI38" s="530">
        <v>25.442443999999998</v>
      </c>
      <c r="CJ38" s="530">
        <v>0</v>
      </c>
      <c r="CK38" s="530">
        <v>0</v>
      </c>
      <c r="CL38" s="530">
        <v>0</v>
      </c>
      <c r="CM38" s="530">
        <v>0</v>
      </c>
      <c r="CN38" s="530">
        <v>0</v>
      </c>
      <c r="CO38" s="530">
        <v>0</v>
      </c>
      <c r="CP38" s="530">
        <v>0</v>
      </c>
      <c r="CQ38" s="530">
        <v>0</v>
      </c>
      <c r="CR38" s="530">
        <v>0</v>
      </c>
      <c r="CS38" s="530">
        <v>0</v>
      </c>
      <c r="CT38" s="530">
        <v>0</v>
      </c>
      <c r="CU38" s="530">
        <v>0</v>
      </c>
      <c r="CV38" s="530">
        <v>0</v>
      </c>
      <c r="CW38" s="530">
        <v>0</v>
      </c>
      <c r="CX38" s="530">
        <v>0</v>
      </c>
      <c r="CY38" s="530">
        <v>0</v>
      </c>
      <c r="CZ38" s="530">
        <v>0</v>
      </c>
      <c r="DA38" s="530">
        <v>0</v>
      </c>
      <c r="DB38" s="530">
        <v>0</v>
      </c>
      <c r="DC38" s="512">
        <v>0</v>
      </c>
      <c r="DD38" s="512">
        <v>0</v>
      </c>
      <c r="DE38" s="512">
        <v>0</v>
      </c>
      <c r="DF38" s="512">
        <v>0</v>
      </c>
      <c r="DG38" s="512">
        <v>0</v>
      </c>
    </row>
    <row r="39" spans="1:111" ht="17.25" customHeight="1">
      <c r="A39" s="509" t="s">
        <v>436</v>
      </c>
      <c r="B39" s="510" t="s">
        <v>437</v>
      </c>
      <c r="C39" s="530">
        <v>1056.237871</v>
      </c>
      <c r="D39" s="530">
        <v>1045.2836600000001</v>
      </c>
      <c r="E39" s="530">
        <v>1037.5757599999999</v>
      </c>
      <c r="F39" s="569">
        <v>1046.279935</v>
      </c>
      <c r="G39" s="530">
        <v>1066.9397759999999</v>
      </c>
      <c r="H39" s="570">
        <v>1067.2254459999999</v>
      </c>
      <c r="I39" s="530">
        <v>1077.0044459999999</v>
      </c>
      <c r="J39" s="530">
        <v>1080.5659430000001</v>
      </c>
      <c r="K39" s="530">
        <v>1086.0685539999999</v>
      </c>
      <c r="L39" s="530">
        <v>1051.344378</v>
      </c>
      <c r="M39" s="569">
        <v>1096.0337440000001</v>
      </c>
      <c r="N39" s="530">
        <v>1099.370502</v>
      </c>
      <c r="O39" s="530">
        <v>1108.70407</v>
      </c>
      <c r="P39" s="530">
        <v>1118.4946110000001</v>
      </c>
      <c r="Q39" s="530">
        <v>1106.0855670000001</v>
      </c>
      <c r="R39" s="530">
        <v>1101.062396</v>
      </c>
      <c r="S39" s="530">
        <v>1106.408987</v>
      </c>
      <c r="T39" s="530">
        <v>1124.7896040000001</v>
      </c>
      <c r="U39" s="530">
        <v>1129.6805569999999</v>
      </c>
      <c r="V39" s="530">
        <v>1161.2475649999999</v>
      </c>
      <c r="W39" s="530">
        <v>1155.363417</v>
      </c>
      <c r="X39" s="530">
        <v>1120.5326399999999</v>
      </c>
      <c r="Y39" s="530">
        <v>1112.9681869999999</v>
      </c>
      <c r="Z39" s="530">
        <v>1132.677878</v>
      </c>
      <c r="AA39" s="530">
        <v>1119.8491120000001</v>
      </c>
      <c r="AB39" s="530">
        <v>1128.4988470000001</v>
      </c>
      <c r="AC39" s="530">
        <v>1148.39096</v>
      </c>
      <c r="AD39" s="570">
        <v>1151.0812470000001</v>
      </c>
      <c r="AE39" s="530">
        <v>718.87731099999996</v>
      </c>
      <c r="AF39" s="530">
        <v>719.50127199999997</v>
      </c>
      <c r="AG39" s="530">
        <v>731.07004600000005</v>
      </c>
      <c r="AH39" s="530">
        <v>743.04621399999996</v>
      </c>
      <c r="AI39" s="530">
        <v>734.68812500000001</v>
      </c>
      <c r="AJ39" s="530">
        <v>743.68994399999997</v>
      </c>
      <c r="AK39" s="530">
        <v>730.23049600000002</v>
      </c>
      <c r="AL39" s="530">
        <v>744.61600199999998</v>
      </c>
      <c r="AM39" s="530">
        <v>761.51917400000002</v>
      </c>
      <c r="AN39" s="530">
        <v>767.09057600000006</v>
      </c>
      <c r="AO39" s="570">
        <v>766.42712400000005</v>
      </c>
      <c r="AP39" s="530">
        <v>1239.94310767</v>
      </c>
      <c r="AQ39" s="530">
        <v>1264.7914020000001</v>
      </c>
      <c r="AR39" s="530">
        <v>1274.3618821799998</v>
      </c>
      <c r="AS39" s="530">
        <v>1280.3042612500001</v>
      </c>
      <c r="AT39" s="530">
        <v>1306.7337675699998</v>
      </c>
      <c r="AU39" s="530">
        <v>1315.4817282500001</v>
      </c>
      <c r="AV39" s="530">
        <v>1319.3545815999998</v>
      </c>
      <c r="AW39" s="530">
        <v>1343.6667809600001</v>
      </c>
      <c r="AX39" s="530">
        <v>1342.82876171</v>
      </c>
      <c r="AY39" s="530">
        <v>1333.55312157</v>
      </c>
      <c r="AZ39" s="530">
        <v>1321.98492667</v>
      </c>
      <c r="BA39" s="530">
        <v>1319.2038304699997</v>
      </c>
      <c r="BB39" s="530">
        <v>1316.27753026</v>
      </c>
      <c r="BC39" s="530">
        <v>1336.1415414000001</v>
      </c>
      <c r="BD39" s="530">
        <v>1326.1321629700001</v>
      </c>
      <c r="BE39" s="530">
        <v>1325.2187798299999</v>
      </c>
      <c r="BF39" s="530">
        <v>1348.37139327</v>
      </c>
      <c r="BG39" s="530">
        <v>1358.8976903400001</v>
      </c>
      <c r="BH39" s="530">
        <v>1361.9308844500001</v>
      </c>
      <c r="BI39" s="530">
        <v>1361.8634456999998</v>
      </c>
      <c r="BJ39" s="530">
        <v>1370.59309803</v>
      </c>
      <c r="BK39" s="530">
        <v>1368.9030226</v>
      </c>
      <c r="BL39" s="530">
        <v>1377.67640314</v>
      </c>
      <c r="BM39" s="530">
        <v>1375.0246028900001</v>
      </c>
      <c r="BN39" s="530">
        <v>1392.0549100999999</v>
      </c>
      <c r="BO39" s="530">
        <v>1390.05763207</v>
      </c>
      <c r="BP39" s="530">
        <v>1393.6426739799999</v>
      </c>
      <c r="BQ39" s="530">
        <v>1390.7978904500001</v>
      </c>
      <c r="BR39" s="530">
        <v>1420.1508568899999</v>
      </c>
      <c r="BS39" s="530">
        <v>1406.46209548</v>
      </c>
      <c r="BT39" s="530">
        <v>1411.92561019</v>
      </c>
      <c r="BU39" s="530">
        <v>1441.8969315300001</v>
      </c>
      <c r="BV39" s="530">
        <v>1445.21796255</v>
      </c>
      <c r="BW39" s="530">
        <v>1438.9158322999999</v>
      </c>
      <c r="BX39" s="530">
        <v>1443.3061501599998</v>
      </c>
      <c r="BY39" s="530">
        <v>1450.0951263499999</v>
      </c>
      <c r="BZ39" s="530">
        <v>1417.7307113899999</v>
      </c>
      <c r="CA39" s="530">
        <v>1423.0068311500002</v>
      </c>
      <c r="CB39" s="530">
        <v>1420.0494755900002</v>
      </c>
      <c r="CC39" s="530">
        <v>1406.58910814</v>
      </c>
      <c r="CD39" s="530">
        <v>1433.9771584299999</v>
      </c>
      <c r="CE39" s="530">
        <v>1433.53684172</v>
      </c>
      <c r="CF39" s="530">
        <v>1425.6899541300002</v>
      </c>
      <c r="CG39" s="530">
        <v>1444.9201396299998</v>
      </c>
      <c r="CH39" s="530">
        <v>1445.02268033</v>
      </c>
      <c r="CI39" s="530">
        <v>1433.827867</v>
      </c>
      <c r="CJ39" s="530">
        <v>1444.8126629999999</v>
      </c>
      <c r="CK39" s="530">
        <v>1447.9274459999999</v>
      </c>
      <c r="CL39" s="530">
        <v>1423.7086429999999</v>
      </c>
      <c r="CM39" s="530">
        <v>1441.364472</v>
      </c>
      <c r="CN39" s="530">
        <v>1445.6515450899999</v>
      </c>
      <c r="CO39" s="530">
        <v>1432.0482320000001</v>
      </c>
      <c r="CP39" s="530">
        <v>1441.5702060000001</v>
      </c>
      <c r="CQ39" s="530">
        <v>1462.131445</v>
      </c>
      <c r="CR39" s="530">
        <v>1456.2139990000001</v>
      </c>
      <c r="CS39" s="530">
        <v>1466.2230400000001</v>
      </c>
      <c r="CT39" s="530">
        <v>1468.834036</v>
      </c>
      <c r="CU39" s="530">
        <v>1469.54766</v>
      </c>
      <c r="CV39" s="530">
        <v>1464.757014</v>
      </c>
      <c r="CW39" s="530">
        <v>1453.2769040000001</v>
      </c>
      <c r="CX39" s="530">
        <v>1433.9829420000001</v>
      </c>
      <c r="CY39" s="530">
        <v>1446.461695</v>
      </c>
      <c r="CZ39" s="530">
        <v>1431.3545360000001</v>
      </c>
      <c r="DA39" s="530">
        <v>1434.973129</v>
      </c>
      <c r="DB39" s="530">
        <v>1448.14832</v>
      </c>
      <c r="DC39" s="512">
        <v>1463.003573</v>
      </c>
      <c r="DD39" s="512">
        <v>1463.571326</v>
      </c>
      <c r="DE39" s="512">
        <v>1466.816681</v>
      </c>
      <c r="DF39" s="512">
        <v>1468.5239730000001</v>
      </c>
      <c r="DG39" s="512">
        <v>1481.9985790000001</v>
      </c>
    </row>
    <row r="40" spans="1:111" ht="17.25" customHeight="1">
      <c r="A40" s="509" t="s">
        <v>438</v>
      </c>
      <c r="B40" s="510" t="s">
        <v>439</v>
      </c>
      <c r="C40" s="530">
        <v>14742.911323481234</v>
      </c>
      <c r="D40" s="530">
        <v>15123.896190439998</v>
      </c>
      <c r="E40" s="530">
        <v>15433.4043117808</v>
      </c>
      <c r="F40" s="569">
        <v>15589.94476909</v>
      </c>
      <c r="G40" s="530">
        <v>16269.971549442425</v>
      </c>
      <c r="H40" s="570">
        <v>16553.85773119779</v>
      </c>
      <c r="I40" s="530">
        <v>16899.718291839999</v>
      </c>
      <c r="J40" s="530">
        <v>17077.224390569998</v>
      </c>
      <c r="K40" s="530">
        <v>17249.916636060003</v>
      </c>
      <c r="L40" s="530">
        <v>17498.296594419997</v>
      </c>
      <c r="M40" s="569">
        <v>17784.5328137</v>
      </c>
      <c r="N40" s="530">
        <v>17971.949327940001</v>
      </c>
      <c r="O40" s="530">
        <v>18188.571791840004</v>
      </c>
      <c r="P40" s="530">
        <v>18017.636745659998</v>
      </c>
      <c r="Q40" s="530">
        <v>17977.628965799999</v>
      </c>
      <c r="R40" s="530">
        <v>17911.014596410001</v>
      </c>
      <c r="S40" s="530">
        <v>17963.850890590002</v>
      </c>
      <c r="T40" s="530">
        <v>17595.702825410001</v>
      </c>
      <c r="U40" s="530">
        <v>17768.091877309998</v>
      </c>
      <c r="V40" s="530">
        <v>17813.441719549999</v>
      </c>
      <c r="W40" s="530">
        <v>17719.934724160004</v>
      </c>
      <c r="X40" s="530">
        <v>17989.227521150002</v>
      </c>
      <c r="Y40" s="530">
        <v>18284.570268869997</v>
      </c>
      <c r="Z40" s="530">
        <v>18489.788411479996</v>
      </c>
      <c r="AA40" s="530">
        <v>18485.572172829998</v>
      </c>
      <c r="AB40" s="530">
        <v>18821.072586349997</v>
      </c>
      <c r="AC40" s="530">
        <v>19490.498911189999</v>
      </c>
      <c r="AD40" s="570">
        <v>19949.906067209999</v>
      </c>
      <c r="AE40" s="530">
        <v>20460.449108770001</v>
      </c>
      <c r="AF40" s="530">
        <v>20927.319464129996</v>
      </c>
      <c r="AG40" s="530">
        <v>21266.014402519995</v>
      </c>
      <c r="AH40" s="530">
        <v>21945.602922959999</v>
      </c>
      <c r="AI40" s="530">
        <v>22409.39166836</v>
      </c>
      <c r="AJ40" s="530">
        <v>23101.067259949999</v>
      </c>
      <c r="AK40" s="530">
        <v>23404.31700404</v>
      </c>
      <c r="AL40" s="530">
        <v>23349.56569699628</v>
      </c>
      <c r="AM40" s="530">
        <v>23439.535486370005</v>
      </c>
      <c r="AN40" s="530">
        <v>23598.019496246987</v>
      </c>
      <c r="AO40" s="570">
        <v>23867.80302965</v>
      </c>
      <c r="AP40" s="530">
        <v>24048.045119753424</v>
      </c>
      <c r="AQ40" s="530">
        <v>24186.875462573564</v>
      </c>
      <c r="AR40" s="530">
        <v>24271.963531366437</v>
      </c>
      <c r="AS40" s="530">
        <v>24283.42813997644</v>
      </c>
      <c r="AT40" s="530">
        <v>24839.06594693644</v>
      </c>
      <c r="AU40" s="530">
        <v>25029.502035417358</v>
      </c>
      <c r="AV40" s="530">
        <v>25353.170512412802</v>
      </c>
      <c r="AW40" s="530">
        <v>25633.689963439996</v>
      </c>
      <c r="AX40" s="530">
        <v>25631.53616345696</v>
      </c>
      <c r="AY40" s="530">
        <v>25490.960592804113</v>
      </c>
      <c r="AZ40" s="530">
        <v>26076.29392366972</v>
      </c>
      <c r="BA40" s="530">
        <v>26810.161721645341</v>
      </c>
      <c r="BB40" s="530">
        <v>27036.118205930277</v>
      </c>
      <c r="BC40" s="530">
        <v>27196.527018112603</v>
      </c>
      <c r="BD40" s="530">
        <v>27144.082983928362</v>
      </c>
      <c r="BE40" s="530">
        <v>26304.308848996301</v>
      </c>
      <c r="BF40" s="530">
        <v>26675.121885730277</v>
      </c>
      <c r="BG40" s="530">
        <v>26836.36675449066</v>
      </c>
      <c r="BH40" s="530">
        <v>26769.114161322057</v>
      </c>
      <c r="BI40" s="530">
        <v>27268.502371731098</v>
      </c>
      <c r="BJ40" s="530">
        <v>27653.024629015261</v>
      </c>
      <c r="BK40" s="530">
        <v>25750.492028339999</v>
      </c>
      <c r="BL40" s="530">
        <v>25875.80105728325</v>
      </c>
      <c r="BM40" s="530">
        <v>25943.403622435686</v>
      </c>
      <c r="BN40" s="530">
        <v>26263.294789976469</v>
      </c>
      <c r="BO40" s="530">
        <v>26408.224957440547</v>
      </c>
      <c r="BP40" s="530">
        <v>26619.869193825623</v>
      </c>
      <c r="BQ40" s="530">
        <v>26343.36610055597</v>
      </c>
      <c r="BR40" s="530">
        <v>26697.917539514383</v>
      </c>
      <c r="BS40" s="530">
        <v>27086.995768615478</v>
      </c>
      <c r="BT40" s="530">
        <v>27257.539404329033</v>
      </c>
      <c r="BU40" s="530">
        <v>27762.989583857008</v>
      </c>
      <c r="BV40" s="530">
        <v>28291.197037141919</v>
      </c>
      <c r="BW40" s="530">
        <v>28484.538186862999</v>
      </c>
      <c r="BX40" s="530">
        <v>28834.97957955371</v>
      </c>
      <c r="BY40" s="530">
        <v>29116.746657613865</v>
      </c>
      <c r="BZ40" s="530">
        <v>29277.76599928649</v>
      </c>
      <c r="CA40" s="530">
        <v>29828.36228235596</v>
      </c>
      <c r="CB40" s="530">
        <v>30127.497347025455</v>
      </c>
      <c r="CC40" s="530">
        <v>29937.324196870537</v>
      </c>
      <c r="CD40" s="530">
        <v>30270.482135080416</v>
      </c>
      <c r="CE40" s="530">
        <v>30658.529082796569</v>
      </c>
      <c r="CF40" s="530">
        <v>31439.44843978214</v>
      </c>
      <c r="CG40" s="530">
        <v>31666.176538967102</v>
      </c>
      <c r="CH40" s="530">
        <v>29220.499079482568</v>
      </c>
      <c r="CI40" s="530">
        <v>28871.575451194985</v>
      </c>
      <c r="CJ40" s="530">
        <v>29722.155228049753</v>
      </c>
      <c r="CK40" s="530">
        <v>30251.212696656494</v>
      </c>
      <c r="CL40" s="530">
        <v>30665.211660265595</v>
      </c>
      <c r="CM40" s="530">
        <v>31004.141133816629</v>
      </c>
      <c r="CN40" s="530">
        <v>30930.293075350226</v>
      </c>
      <c r="CO40" s="530">
        <v>31402.117803920803</v>
      </c>
      <c r="CP40" s="530">
        <v>32234.008806320646</v>
      </c>
      <c r="CQ40" s="530">
        <v>32635.373170011779</v>
      </c>
      <c r="CR40" s="530">
        <v>33300.219184906055</v>
      </c>
      <c r="CS40" s="530">
        <v>32977.41320285965</v>
      </c>
      <c r="CT40" s="530">
        <v>33290.58580795156</v>
      </c>
      <c r="CU40" s="530">
        <v>33866.339150203217</v>
      </c>
      <c r="CV40" s="530">
        <v>33786.820292225726</v>
      </c>
      <c r="CW40" s="530">
        <v>34222.070552142548</v>
      </c>
      <c r="CX40" s="530">
        <v>34718.200406764263</v>
      </c>
      <c r="CY40" s="530">
        <v>35024.011580948216</v>
      </c>
      <c r="CZ40" s="530">
        <v>35159.778461355279</v>
      </c>
      <c r="DA40" s="530">
        <v>35243.662481563668</v>
      </c>
      <c r="DB40" s="530">
        <v>35100.867335932468</v>
      </c>
      <c r="DC40" s="512">
        <v>35082.17475584249</v>
      </c>
      <c r="DD40" s="512">
        <v>35589.191965480779</v>
      </c>
      <c r="DE40" s="512">
        <v>36013.333850716626</v>
      </c>
      <c r="DF40" s="512">
        <v>36090.097577654487</v>
      </c>
      <c r="DG40" s="512">
        <v>36570.055171429245</v>
      </c>
    </row>
    <row r="41" spans="1:111" ht="17.25" customHeight="1">
      <c r="A41" s="509"/>
      <c r="B41" s="510"/>
      <c r="C41" s="589"/>
      <c r="D41" s="589"/>
      <c r="E41" s="589"/>
      <c r="F41" s="590"/>
      <c r="G41" s="589"/>
      <c r="H41" s="591"/>
      <c r="I41" s="589"/>
      <c r="J41" s="589"/>
      <c r="K41" s="589"/>
      <c r="L41" s="589"/>
      <c r="M41" s="590"/>
      <c r="N41" s="589"/>
      <c r="O41" s="589"/>
      <c r="P41" s="589"/>
      <c r="Q41" s="589"/>
      <c r="R41" s="589"/>
      <c r="S41" s="589"/>
      <c r="T41" s="589"/>
      <c r="U41" s="589"/>
      <c r="V41" s="589"/>
      <c r="W41" s="589"/>
      <c r="X41" s="589"/>
      <c r="Y41" s="589"/>
      <c r="Z41" s="589"/>
      <c r="AA41" s="589"/>
      <c r="AB41" s="589"/>
      <c r="AC41" s="589"/>
      <c r="AD41" s="591"/>
      <c r="AE41" s="589"/>
      <c r="AF41" s="589"/>
      <c r="AG41" s="589"/>
      <c r="AH41" s="589"/>
      <c r="AI41" s="589"/>
      <c r="AJ41" s="589"/>
      <c r="AK41" s="589"/>
      <c r="AL41" s="589"/>
      <c r="AM41" s="589"/>
      <c r="AN41" s="589"/>
      <c r="AO41" s="591"/>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89"/>
      <c r="CE41" s="589"/>
      <c r="CF41" s="589"/>
      <c r="CG41" s="589"/>
      <c r="CH41" s="589"/>
      <c r="CI41" s="589"/>
      <c r="CJ41" s="589"/>
      <c r="CK41" s="589"/>
      <c r="CL41" s="589"/>
      <c r="CM41" s="589"/>
      <c r="CN41" s="589"/>
      <c r="CO41" s="589"/>
      <c r="CP41" s="589"/>
      <c r="CQ41" s="589"/>
      <c r="CR41" s="589"/>
      <c r="CS41" s="589"/>
      <c r="CT41" s="589"/>
      <c r="CU41" s="589"/>
      <c r="CV41" s="589"/>
      <c r="CW41" s="589"/>
      <c r="CX41" s="589"/>
      <c r="CY41" s="589"/>
      <c r="CZ41" s="589"/>
      <c r="DA41" s="589"/>
      <c r="DB41" s="589"/>
      <c r="DC41" s="592"/>
      <c r="DD41" s="592"/>
      <c r="DE41" s="592"/>
      <c r="DF41" s="592"/>
      <c r="DG41" s="592"/>
    </row>
    <row r="42" spans="1:111" ht="17.25" customHeight="1">
      <c r="A42" s="505" t="s">
        <v>440</v>
      </c>
      <c r="B42" s="506" t="s">
        <v>464</v>
      </c>
      <c r="C42" s="561">
        <v>726.30212647999997</v>
      </c>
      <c r="D42" s="561">
        <v>730.39840418000006</v>
      </c>
      <c r="E42" s="561">
        <v>618.43484755920008</v>
      </c>
      <c r="F42" s="562">
        <v>740.38654256999996</v>
      </c>
      <c r="G42" s="561">
        <v>646.78364239999996</v>
      </c>
      <c r="H42" s="563">
        <v>572.08562338000002</v>
      </c>
      <c r="I42" s="561">
        <v>550.23047771000006</v>
      </c>
      <c r="J42" s="561">
        <v>558.05042742000001</v>
      </c>
      <c r="K42" s="561">
        <v>552.97945962000006</v>
      </c>
      <c r="L42" s="561">
        <v>559.17220728999996</v>
      </c>
      <c r="M42" s="562">
        <v>562.7922152000001</v>
      </c>
      <c r="N42" s="561">
        <v>565.61743013</v>
      </c>
      <c r="O42" s="561">
        <v>563.79909946999999</v>
      </c>
      <c r="P42" s="561">
        <v>567.45060109999997</v>
      </c>
      <c r="Q42" s="561">
        <v>621.18159661000004</v>
      </c>
      <c r="R42" s="561">
        <v>623.94371149000006</v>
      </c>
      <c r="S42" s="561">
        <v>664.89246536999997</v>
      </c>
      <c r="T42" s="561">
        <v>675.52734220000002</v>
      </c>
      <c r="U42" s="561">
        <v>741.88147501000003</v>
      </c>
      <c r="V42" s="561">
        <v>735.36646825999992</v>
      </c>
      <c r="W42" s="561">
        <v>865.76031336000005</v>
      </c>
      <c r="X42" s="561">
        <v>805.0815020199999</v>
      </c>
      <c r="Y42" s="561">
        <v>810.36657187000003</v>
      </c>
      <c r="Z42" s="561">
        <v>816.01652031999993</v>
      </c>
      <c r="AA42" s="561">
        <v>818.70660423999993</v>
      </c>
      <c r="AB42" s="561">
        <v>854.49913663000007</v>
      </c>
      <c r="AC42" s="561">
        <v>887.07480782000016</v>
      </c>
      <c r="AD42" s="563">
        <v>861.51725778999992</v>
      </c>
      <c r="AE42" s="561">
        <v>640.37404246999995</v>
      </c>
      <c r="AF42" s="561">
        <v>658.00162995000005</v>
      </c>
      <c r="AG42" s="561">
        <v>762.05223934000003</v>
      </c>
      <c r="AH42" s="561">
        <v>763.29237933000002</v>
      </c>
      <c r="AI42" s="561">
        <v>600.11227621</v>
      </c>
      <c r="AJ42" s="561">
        <v>516.71647100999996</v>
      </c>
      <c r="AK42" s="561">
        <v>549.01104077999992</v>
      </c>
      <c r="AL42" s="561">
        <v>596.4233511138641</v>
      </c>
      <c r="AM42" s="561">
        <v>597.49639311999999</v>
      </c>
      <c r="AN42" s="561">
        <v>650.72847651301367</v>
      </c>
      <c r="AO42" s="563">
        <v>682.70512811999993</v>
      </c>
      <c r="AP42" s="561">
        <v>702.43963852657532</v>
      </c>
      <c r="AQ42" s="561">
        <v>705.04451739643832</v>
      </c>
      <c r="AR42" s="561">
        <v>748.63081716356169</v>
      </c>
      <c r="AS42" s="561">
        <v>850.48227772356165</v>
      </c>
      <c r="AT42" s="561">
        <v>768.55162236356159</v>
      </c>
      <c r="AU42" s="561">
        <v>770.49015616356155</v>
      </c>
      <c r="AV42" s="561">
        <v>783.15680260356169</v>
      </c>
      <c r="AW42" s="561">
        <v>1068.16589727</v>
      </c>
      <c r="AX42" s="561">
        <v>1149.4411638230399</v>
      </c>
      <c r="AY42" s="561">
        <v>1253.6824820458903</v>
      </c>
      <c r="AZ42" s="561">
        <v>1439.0540885602738</v>
      </c>
      <c r="BA42" s="561">
        <v>1474.4996932746578</v>
      </c>
      <c r="BB42" s="561">
        <v>1483.081225139726</v>
      </c>
      <c r="BC42" s="561">
        <v>1652.7592729373973</v>
      </c>
      <c r="BD42" s="561">
        <v>1671.2450031816438</v>
      </c>
      <c r="BE42" s="561">
        <v>1687.9613241436987</v>
      </c>
      <c r="BF42" s="561">
        <v>1369.9318237097261</v>
      </c>
      <c r="BG42" s="561">
        <v>1465.100625689337</v>
      </c>
      <c r="BH42" s="561">
        <v>1567.3237158879451</v>
      </c>
      <c r="BI42" s="561">
        <v>1570.457439008904</v>
      </c>
      <c r="BJ42" s="561">
        <v>1406.0268968034973</v>
      </c>
      <c r="BK42" s="561">
        <v>1405.76249001</v>
      </c>
      <c r="BL42" s="561">
        <v>1311.9401975067515</v>
      </c>
      <c r="BM42" s="561">
        <v>1290.9991546943181</v>
      </c>
      <c r="BN42" s="561">
        <v>1407.1600321024355</v>
      </c>
      <c r="BO42" s="561">
        <v>1422.0426776094539</v>
      </c>
      <c r="BP42" s="561">
        <v>1439.8729521815442</v>
      </c>
      <c r="BQ42" s="561">
        <v>1445.9378724651376</v>
      </c>
      <c r="BR42" s="561">
        <v>1379.3190071556162</v>
      </c>
      <c r="BS42" s="561">
        <v>1386.5160951345206</v>
      </c>
      <c r="BT42" s="561">
        <v>1403.7218646380384</v>
      </c>
      <c r="BU42" s="561">
        <v>1393.7948318676224</v>
      </c>
      <c r="BV42" s="561">
        <v>1521.7152890270499</v>
      </c>
      <c r="BW42" s="561">
        <v>1933.11199854705</v>
      </c>
      <c r="BX42" s="561">
        <v>1912.0727801009612</v>
      </c>
      <c r="BY42" s="561">
        <v>1921.6358240507996</v>
      </c>
      <c r="BZ42" s="561">
        <v>1990.6143178181733</v>
      </c>
      <c r="CA42" s="561">
        <v>1975.146650228706</v>
      </c>
      <c r="CB42" s="561">
        <v>1976.1102385692122</v>
      </c>
      <c r="CC42" s="561">
        <v>1549.53095162095</v>
      </c>
      <c r="CD42" s="561">
        <v>1451.2084267842474</v>
      </c>
      <c r="CE42" s="561">
        <v>1462.7293710680965</v>
      </c>
      <c r="CF42" s="561">
        <v>1468.7169780747017</v>
      </c>
      <c r="CG42" s="561">
        <v>1371.7919477338276</v>
      </c>
      <c r="CH42" s="561">
        <v>1301.3431934843293</v>
      </c>
      <c r="CI42" s="561">
        <v>1435.6952422045135</v>
      </c>
      <c r="CJ42" s="561">
        <v>1423.1869166581421</v>
      </c>
      <c r="CK42" s="561">
        <v>1431.8376136449285</v>
      </c>
      <c r="CL42" s="561">
        <v>1432.2704903741173</v>
      </c>
      <c r="CM42" s="561">
        <v>1524.088442361897</v>
      </c>
      <c r="CN42" s="561">
        <v>1532.8938521289851</v>
      </c>
      <c r="CO42" s="561">
        <v>1532.9577735925491</v>
      </c>
      <c r="CP42" s="561">
        <v>1715.827919374251</v>
      </c>
      <c r="CQ42" s="561">
        <v>1649.1695327521491</v>
      </c>
      <c r="CR42" s="561">
        <v>1460.7716587237439</v>
      </c>
      <c r="CS42" s="561">
        <v>1438.3533015501523</v>
      </c>
      <c r="CT42" s="561">
        <v>1386.4952811582689</v>
      </c>
      <c r="CU42" s="561">
        <v>1332.9707305499999</v>
      </c>
      <c r="CV42" s="561">
        <v>1308.9182295701269</v>
      </c>
      <c r="CW42" s="561">
        <v>1316.1312103094506</v>
      </c>
      <c r="CX42" s="561">
        <v>1318.5360748386327</v>
      </c>
      <c r="CY42" s="561">
        <v>1323.9944375765087</v>
      </c>
      <c r="CZ42" s="561">
        <v>1328.110314419614</v>
      </c>
      <c r="DA42" s="561">
        <v>1202.7802076645592</v>
      </c>
      <c r="DB42" s="561">
        <v>1221.9853446457637</v>
      </c>
      <c r="DC42" s="507">
        <v>1398.6084791614201</v>
      </c>
      <c r="DD42" s="507">
        <v>1388.9988532843061</v>
      </c>
      <c r="DE42" s="507">
        <v>1404.8856212686744</v>
      </c>
      <c r="DF42" s="507">
        <v>1503.8777184331655</v>
      </c>
      <c r="DG42" s="507">
        <v>1503.1837323446</v>
      </c>
    </row>
    <row r="43" spans="1:111" ht="17.25" customHeight="1">
      <c r="A43" s="509" t="s">
        <v>442</v>
      </c>
      <c r="B43" s="510" t="s">
        <v>435</v>
      </c>
      <c r="C43" s="530">
        <v>0</v>
      </c>
      <c r="D43" s="530">
        <v>0</v>
      </c>
      <c r="E43" s="530">
        <v>0</v>
      </c>
      <c r="F43" s="569">
        <v>0</v>
      </c>
      <c r="G43" s="530">
        <v>0</v>
      </c>
      <c r="H43" s="570">
        <v>0</v>
      </c>
      <c r="I43" s="530">
        <v>0</v>
      </c>
      <c r="J43" s="530">
        <v>0</v>
      </c>
      <c r="K43" s="530">
        <v>0</v>
      </c>
      <c r="L43" s="530">
        <v>0</v>
      </c>
      <c r="M43" s="569">
        <v>0</v>
      </c>
      <c r="N43" s="530">
        <v>0</v>
      </c>
      <c r="O43" s="530">
        <v>0</v>
      </c>
      <c r="P43" s="530">
        <v>0</v>
      </c>
      <c r="Q43" s="530">
        <v>0</v>
      </c>
      <c r="R43" s="530">
        <v>50.744235000000003</v>
      </c>
      <c r="S43" s="530">
        <v>50.042693999999997</v>
      </c>
      <c r="T43" s="530">
        <v>50.392009000000002</v>
      </c>
      <c r="U43" s="530">
        <v>474.76731388000002</v>
      </c>
      <c r="V43" s="530">
        <v>470.10381735999999</v>
      </c>
      <c r="W43" s="530">
        <v>472.09503471000005</v>
      </c>
      <c r="X43" s="530">
        <v>526.16627173999996</v>
      </c>
      <c r="Y43" s="530">
        <v>528.76367500000003</v>
      </c>
      <c r="Z43" s="530">
        <v>532.00065072999996</v>
      </c>
      <c r="AA43" s="530">
        <v>533.52308487999994</v>
      </c>
      <c r="AB43" s="530">
        <v>566.93726500000002</v>
      </c>
      <c r="AC43" s="530">
        <v>569.51741500000003</v>
      </c>
      <c r="AD43" s="570">
        <v>572.79224699999997</v>
      </c>
      <c r="AE43" s="530">
        <v>318.27837499999998</v>
      </c>
      <c r="AF43" s="530">
        <v>318.83748400000002</v>
      </c>
      <c r="AG43" s="530">
        <v>320.07963599999999</v>
      </c>
      <c r="AH43" s="530">
        <v>320.17100299999998</v>
      </c>
      <c r="AI43" s="530">
        <v>158.364294</v>
      </c>
      <c r="AJ43" s="530">
        <v>79.922224</v>
      </c>
      <c r="AK43" s="530">
        <v>0</v>
      </c>
      <c r="AL43" s="530">
        <v>0</v>
      </c>
      <c r="AM43" s="530">
        <v>0</v>
      </c>
      <c r="AN43" s="530">
        <v>0</v>
      </c>
      <c r="AO43" s="570">
        <v>0</v>
      </c>
      <c r="AP43" s="530">
        <v>0</v>
      </c>
      <c r="AQ43" s="530">
        <v>0</v>
      </c>
      <c r="AR43" s="530">
        <v>0</v>
      </c>
      <c r="AS43" s="530">
        <v>0</v>
      </c>
      <c r="AT43" s="530">
        <v>0</v>
      </c>
      <c r="AU43" s="530">
        <v>0</v>
      </c>
      <c r="AV43" s="530">
        <v>0</v>
      </c>
      <c r="AW43" s="530">
        <v>0</v>
      </c>
      <c r="AX43" s="530">
        <v>0</v>
      </c>
      <c r="AY43" s="530">
        <v>0</v>
      </c>
      <c r="AZ43" s="530">
        <v>0</v>
      </c>
      <c r="BA43" s="530">
        <v>0</v>
      </c>
      <c r="BB43" s="530">
        <v>0</v>
      </c>
      <c r="BC43" s="530">
        <v>0</v>
      </c>
      <c r="BD43" s="530">
        <v>0</v>
      </c>
      <c r="BE43" s="530">
        <v>0</v>
      </c>
      <c r="BF43" s="530">
        <v>0</v>
      </c>
      <c r="BG43" s="530">
        <v>0</v>
      </c>
      <c r="BH43" s="530">
        <v>0</v>
      </c>
      <c r="BI43" s="530">
        <v>0</v>
      </c>
      <c r="BJ43" s="530">
        <v>0</v>
      </c>
      <c r="BK43" s="530">
        <v>0</v>
      </c>
      <c r="BL43" s="530">
        <v>0</v>
      </c>
      <c r="BM43" s="530">
        <v>0</v>
      </c>
      <c r="BN43" s="530">
        <v>0</v>
      </c>
      <c r="BO43" s="530">
        <v>0</v>
      </c>
      <c r="BP43" s="530">
        <v>0</v>
      </c>
      <c r="BQ43" s="530">
        <v>0</v>
      </c>
      <c r="BR43" s="530">
        <v>0</v>
      </c>
      <c r="BS43" s="530">
        <v>0</v>
      </c>
      <c r="BT43" s="530">
        <v>0</v>
      </c>
      <c r="BU43" s="530">
        <v>0</v>
      </c>
      <c r="BV43" s="530">
        <v>0</v>
      </c>
      <c r="BW43" s="530">
        <v>0</v>
      </c>
      <c r="BX43" s="530">
        <v>0</v>
      </c>
      <c r="BY43" s="530">
        <v>0</v>
      </c>
      <c r="BZ43" s="530">
        <v>0</v>
      </c>
      <c r="CA43" s="530">
        <v>0</v>
      </c>
      <c r="CB43" s="530">
        <v>0</v>
      </c>
      <c r="CC43" s="530">
        <v>0</v>
      </c>
      <c r="CD43" s="530">
        <v>0</v>
      </c>
      <c r="CE43" s="530">
        <v>0</v>
      </c>
      <c r="CF43" s="530">
        <v>0</v>
      </c>
      <c r="CG43" s="530">
        <v>0</v>
      </c>
      <c r="CH43" s="530">
        <v>0</v>
      </c>
      <c r="CI43" s="530">
        <v>0</v>
      </c>
      <c r="CJ43" s="530">
        <v>0</v>
      </c>
      <c r="CK43" s="530">
        <v>0</v>
      </c>
      <c r="CL43" s="530">
        <v>0</v>
      </c>
      <c r="CM43" s="530">
        <v>0</v>
      </c>
      <c r="CN43" s="530">
        <v>0</v>
      </c>
      <c r="CO43" s="530">
        <v>0</v>
      </c>
      <c r="CP43" s="530">
        <v>0</v>
      </c>
      <c r="CQ43" s="530">
        <v>0</v>
      </c>
      <c r="CR43" s="530">
        <v>0</v>
      </c>
      <c r="CS43" s="530">
        <v>0</v>
      </c>
      <c r="CT43" s="530">
        <v>0</v>
      </c>
      <c r="CU43" s="530">
        <v>0</v>
      </c>
      <c r="CV43" s="530">
        <v>0</v>
      </c>
      <c r="CW43" s="530">
        <v>0</v>
      </c>
      <c r="CX43" s="530">
        <v>0</v>
      </c>
      <c r="CY43" s="530">
        <v>0</v>
      </c>
      <c r="CZ43" s="530">
        <v>0</v>
      </c>
      <c r="DA43" s="530">
        <v>0</v>
      </c>
      <c r="DB43" s="530">
        <v>0</v>
      </c>
      <c r="DC43" s="512">
        <v>0</v>
      </c>
      <c r="DD43" s="512">
        <v>0</v>
      </c>
      <c r="DE43" s="512">
        <v>0</v>
      </c>
      <c r="DF43" s="512">
        <v>0</v>
      </c>
      <c r="DG43" s="512">
        <v>0</v>
      </c>
    </row>
    <row r="44" spans="1:111" ht="17.25" customHeight="1">
      <c r="A44" s="509" t="s">
        <v>443</v>
      </c>
      <c r="B44" s="510" t="s">
        <v>437</v>
      </c>
      <c r="C44" s="530">
        <v>0</v>
      </c>
      <c r="D44" s="530">
        <v>0</v>
      </c>
      <c r="E44" s="530">
        <v>0</v>
      </c>
      <c r="F44" s="569">
        <v>0</v>
      </c>
      <c r="G44" s="530">
        <v>0</v>
      </c>
      <c r="H44" s="570">
        <v>0</v>
      </c>
      <c r="I44" s="530">
        <v>0.33796700000000002</v>
      </c>
      <c r="J44" s="530">
        <v>0</v>
      </c>
      <c r="K44" s="530">
        <v>0</v>
      </c>
      <c r="L44" s="530">
        <v>0</v>
      </c>
      <c r="M44" s="569">
        <v>0</v>
      </c>
      <c r="N44" s="530">
        <v>0</v>
      </c>
      <c r="O44" s="530">
        <v>0</v>
      </c>
      <c r="P44" s="530">
        <v>0</v>
      </c>
      <c r="Q44" s="530">
        <v>0</v>
      </c>
      <c r="R44" s="530">
        <v>0</v>
      </c>
      <c r="S44" s="530">
        <v>0</v>
      </c>
      <c r="T44" s="530">
        <v>0</v>
      </c>
      <c r="U44" s="530">
        <v>0</v>
      </c>
      <c r="V44" s="530">
        <v>0</v>
      </c>
      <c r="W44" s="530">
        <v>0</v>
      </c>
      <c r="X44" s="530">
        <v>0</v>
      </c>
      <c r="Y44" s="530">
        <v>0</v>
      </c>
      <c r="Z44" s="530">
        <v>0</v>
      </c>
      <c r="AA44" s="530">
        <v>0</v>
      </c>
      <c r="AB44" s="530">
        <v>0</v>
      </c>
      <c r="AC44" s="530">
        <v>0</v>
      </c>
      <c r="AD44" s="570">
        <v>0</v>
      </c>
      <c r="AE44" s="530">
        <v>18.91917617</v>
      </c>
      <c r="AF44" s="530">
        <v>0</v>
      </c>
      <c r="AG44" s="530">
        <v>0</v>
      </c>
      <c r="AH44" s="530">
        <v>0</v>
      </c>
      <c r="AI44" s="530">
        <v>0</v>
      </c>
      <c r="AJ44" s="530">
        <v>0</v>
      </c>
      <c r="AK44" s="530">
        <v>0</v>
      </c>
      <c r="AL44" s="530">
        <v>0</v>
      </c>
      <c r="AM44" s="530">
        <v>0</v>
      </c>
      <c r="AN44" s="530">
        <v>0</v>
      </c>
      <c r="AO44" s="570">
        <v>0</v>
      </c>
      <c r="AP44" s="530">
        <v>0</v>
      </c>
      <c r="AQ44" s="530">
        <v>0</v>
      </c>
      <c r="AR44" s="530">
        <v>0</v>
      </c>
      <c r="AS44" s="530">
        <v>0</v>
      </c>
      <c r="AT44" s="530">
        <v>0</v>
      </c>
      <c r="AU44" s="530">
        <v>0</v>
      </c>
      <c r="AV44" s="530">
        <v>0</v>
      </c>
      <c r="AW44" s="530">
        <v>0</v>
      </c>
      <c r="AX44" s="530">
        <v>0</v>
      </c>
      <c r="AY44" s="530">
        <v>0</v>
      </c>
      <c r="AZ44" s="530">
        <v>0</v>
      </c>
      <c r="BA44" s="530">
        <v>0</v>
      </c>
      <c r="BB44" s="530">
        <v>1.321191</v>
      </c>
      <c r="BC44" s="530">
        <v>0</v>
      </c>
      <c r="BD44" s="530">
        <v>0</v>
      </c>
      <c r="BE44" s="530">
        <v>0</v>
      </c>
      <c r="BF44" s="530">
        <v>0</v>
      </c>
      <c r="BG44" s="530">
        <v>0</v>
      </c>
      <c r="BH44" s="530">
        <v>0</v>
      </c>
      <c r="BI44" s="530">
        <v>0</v>
      </c>
      <c r="BJ44" s="530">
        <v>0</v>
      </c>
      <c r="BK44" s="530">
        <v>0</v>
      </c>
      <c r="BL44" s="530">
        <v>0</v>
      </c>
      <c r="BM44" s="530">
        <v>0</v>
      </c>
      <c r="BN44" s="530">
        <v>0</v>
      </c>
      <c r="BO44" s="530">
        <v>0</v>
      </c>
      <c r="BP44" s="530">
        <v>0</v>
      </c>
      <c r="BQ44" s="530">
        <v>0</v>
      </c>
      <c r="BR44" s="530">
        <v>0</v>
      </c>
      <c r="BS44" s="530">
        <v>0</v>
      </c>
      <c r="BT44" s="530">
        <v>0</v>
      </c>
      <c r="BU44" s="530">
        <v>0</v>
      </c>
      <c r="BV44" s="530">
        <v>0</v>
      </c>
      <c r="BW44" s="530">
        <v>0</v>
      </c>
      <c r="BX44" s="530">
        <v>0</v>
      </c>
      <c r="BY44" s="530">
        <v>0</v>
      </c>
      <c r="BZ44" s="530">
        <v>0</v>
      </c>
      <c r="CA44" s="530">
        <v>0</v>
      </c>
      <c r="CB44" s="530">
        <v>0</v>
      </c>
      <c r="CC44" s="530">
        <v>0</v>
      </c>
      <c r="CD44" s="530">
        <v>0</v>
      </c>
      <c r="CE44" s="530">
        <v>0</v>
      </c>
      <c r="CF44" s="530">
        <v>0</v>
      </c>
      <c r="CG44" s="530">
        <v>0</v>
      </c>
      <c r="CH44" s="530">
        <v>0</v>
      </c>
      <c r="CI44" s="530">
        <v>0</v>
      </c>
      <c r="CJ44" s="530">
        <v>0</v>
      </c>
      <c r="CK44" s="530">
        <v>0</v>
      </c>
      <c r="CL44" s="530">
        <v>0</v>
      </c>
      <c r="CM44" s="530">
        <v>0</v>
      </c>
      <c r="CN44" s="530">
        <v>0</v>
      </c>
      <c r="CO44" s="530">
        <v>0</v>
      </c>
      <c r="CP44" s="530">
        <v>0</v>
      </c>
      <c r="CQ44" s="530">
        <v>0</v>
      </c>
      <c r="CR44" s="530">
        <v>0</v>
      </c>
      <c r="CS44" s="530">
        <v>0</v>
      </c>
      <c r="CT44" s="530">
        <v>0</v>
      </c>
      <c r="CU44" s="530">
        <v>0</v>
      </c>
      <c r="CV44" s="530">
        <v>0</v>
      </c>
      <c r="CW44" s="530">
        <v>0</v>
      </c>
      <c r="CX44" s="530">
        <v>0</v>
      </c>
      <c r="CY44" s="530">
        <v>0</v>
      </c>
      <c r="CZ44" s="530">
        <v>0</v>
      </c>
      <c r="DA44" s="530">
        <v>0</v>
      </c>
      <c r="DB44" s="530">
        <v>0</v>
      </c>
      <c r="DC44" s="512">
        <v>24.383328767123288</v>
      </c>
      <c r="DD44" s="512">
        <v>0</v>
      </c>
      <c r="DE44" s="512">
        <v>0</v>
      </c>
      <c r="DF44" s="512">
        <v>0</v>
      </c>
      <c r="DG44" s="512">
        <v>0</v>
      </c>
    </row>
    <row r="45" spans="1:111" ht="17.25" customHeight="1">
      <c r="A45" s="509" t="s">
        <v>444</v>
      </c>
      <c r="B45" s="510" t="s">
        <v>439</v>
      </c>
      <c r="C45" s="530">
        <v>726.30212647999997</v>
      </c>
      <c r="D45" s="530">
        <v>730.39840418000006</v>
      </c>
      <c r="E45" s="530">
        <v>618.43484755920008</v>
      </c>
      <c r="F45" s="569">
        <v>740.38654256999996</v>
      </c>
      <c r="G45" s="530">
        <v>646.78364239999996</v>
      </c>
      <c r="H45" s="570">
        <v>572.08562338000002</v>
      </c>
      <c r="I45" s="530">
        <v>549.89251071000001</v>
      </c>
      <c r="J45" s="530">
        <v>558.05042742000001</v>
      </c>
      <c r="K45" s="530">
        <v>552.97945962000006</v>
      </c>
      <c r="L45" s="530">
        <v>559.17220728999996</v>
      </c>
      <c r="M45" s="569">
        <v>562.7922152000001</v>
      </c>
      <c r="N45" s="530">
        <v>565.61743013</v>
      </c>
      <c r="O45" s="530">
        <v>563.79909946999999</v>
      </c>
      <c r="P45" s="530">
        <v>567.45060109999997</v>
      </c>
      <c r="Q45" s="530">
        <v>621.18159661000004</v>
      </c>
      <c r="R45" s="530">
        <v>573.19947649000005</v>
      </c>
      <c r="S45" s="530">
        <v>614.84977136999998</v>
      </c>
      <c r="T45" s="530">
        <v>625.13533319999999</v>
      </c>
      <c r="U45" s="530">
        <v>267.11416113000001</v>
      </c>
      <c r="V45" s="530">
        <v>265.26265089999998</v>
      </c>
      <c r="W45" s="530">
        <v>393.66527865000006</v>
      </c>
      <c r="X45" s="530">
        <v>278.91523027999995</v>
      </c>
      <c r="Y45" s="530">
        <v>281.60289687</v>
      </c>
      <c r="Z45" s="530">
        <v>284.01586959000002</v>
      </c>
      <c r="AA45" s="530">
        <v>285.18351935999999</v>
      </c>
      <c r="AB45" s="530">
        <v>287.56187162999998</v>
      </c>
      <c r="AC45" s="530">
        <v>317.55739282000008</v>
      </c>
      <c r="AD45" s="570">
        <v>288.72501078999994</v>
      </c>
      <c r="AE45" s="530">
        <v>303.17649130000001</v>
      </c>
      <c r="AF45" s="530">
        <v>339.16414594999998</v>
      </c>
      <c r="AG45" s="530">
        <v>441.97260334000003</v>
      </c>
      <c r="AH45" s="530">
        <v>443.12137633000003</v>
      </c>
      <c r="AI45" s="530">
        <v>441.74798221000003</v>
      </c>
      <c r="AJ45" s="530">
        <v>436.79424700999999</v>
      </c>
      <c r="AK45" s="530">
        <v>549.01104077999992</v>
      </c>
      <c r="AL45" s="530">
        <v>596.4233511138641</v>
      </c>
      <c r="AM45" s="530">
        <v>597.49639311999999</v>
      </c>
      <c r="AN45" s="530">
        <v>650.72847651301367</v>
      </c>
      <c r="AO45" s="570">
        <v>682.70512811999993</v>
      </c>
      <c r="AP45" s="530">
        <v>702.43963852657532</v>
      </c>
      <c r="AQ45" s="530">
        <v>705.04451739643832</v>
      </c>
      <c r="AR45" s="530">
        <v>748.63081716356169</v>
      </c>
      <c r="AS45" s="530">
        <v>850.48227772356165</v>
      </c>
      <c r="AT45" s="530">
        <v>768.55162236356159</v>
      </c>
      <c r="AU45" s="530">
        <v>770.49015616356155</v>
      </c>
      <c r="AV45" s="530">
        <v>783.15680260356169</v>
      </c>
      <c r="AW45" s="530">
        <v>1068.16589727</v>
      </c>
      <c r="AX45" s="530">
        <v>1149.4411638230399</v>
      </c>
      <c r="AY45" s="530">
        <v>1253.6824820458903</v>
      </c>
      <c r="AZ45" s="530">
        <v>1439.0540885602738</v>
      </c>
      <c r="BA45" s="530">
        <v>1474.4996932746578</v>
      </c>
      <c r="BB45" s="530">
        <v>1481.760034139726</v>
      </c>
      <c r="BC45" s="530">
        <v>1652.7592729373973</v>
      </c>
      <c r="BD45" s="530">
        <v>1671.2450031816438</v>
      </c>
      <c r="BE45" s="530">
        <v>1687.9613241436987</v>
      </c>
      <c r="BF45" s="530">
        <v>1369.9318237097261</v>
      </c>
      <c r="BG45" s="530">
        <v>1465.100625689337</v>
      </c>
      <c r="BH45" s="530">
        <v>1567.3237158879451</v>
      </c>
      <c r="BI45" s="530">
        <v>1570.457439008904</v>
      </c>
      <c r="BJ45" s="530">
        <v>1406.0268968034973</v>
      </c>
      <c r="BK45" s="530">
        <v>1405.76249001</v>
      </c>
      <c r="BL45" s="530">
        <v>1311.9401975067515</v>
      </c>
      <c r="BM45" s="530">
        <v>1290.9991546943181</v>
      </c>
      <c r="BN45" s="530">
        <v>1407.1600321024355</v>
      </c>
      <c r="BO45" s="530">
        <v>1422.0426776094539</v>
      </c>
      <c r="BP45" s="530">
        <v>1439.8729521815442</v>
      </c>
      <c r="BQ45" s="530">
        <v>1445.9378724651376</v>
      </c>
      <c r="BR45" s="530">
        <v>1379.3190071556162</v>
      </c>
      <c r="BS45" s="530">
        <v>1386.5160951345206</v>
      </c>
      <c r="BT45" s="530">
        <v>1403.7218646380384</v>
      </c>
      <c r="BU45" s="530">
        <v>1393.7948318676224</v>
      </c>
      <c r="BV45" s="530">
        <v>1521.7152890270499</v>
      </c>
      <c r="BW45" s="530">
        <v>1933.11199854705</v>
      </c>
      <c r="BX45" s="530">
        <v>1912.0727801009612</v>
      </c>
      <c r="BY45" s="530">
        <v>1921.6358240507996</v>
      </c>
      <c r="BZ45" s="530">
        <v>1990.6143178181733</v>
      </c>
      <c r="CA45" s="530">
        <v>1975.146650228706</v>
      </c>
      <c r="CB45" s="530">
        <v>1976.1102385692122</v>
      </c>
      <c r="CC45" s="530">
        <v>1549.53095162095</v>
      </c>
      <c r="CD45" s="530">
        <v>1451.2084267842474</v>
      </c>
      <c r="CE45" s="530">
        <v>1462.7293710680965</v>
      </c>
      <c r="CF45" s="530">
        <v>1468.7169780747017</v>
      </c>
      <c r="CG45" s="530">
        <v>1371.7919477338276</v>
      </c>
      <c r="CH45" s="530">
        <v>1301.3431934843293</v>
      </c>
      <c r="CI45" s="530">
        <v>1435.6952422045135</v>
      </c>
      <c r="CJ45" s="530">
        <v>1423.1869166581421</v>
      </c>
      <c r="CK45" s="530">
        <v>1431.8376136449285</v>
      </c>
      <c r="CL45" s="530">
        <v>1432.2704903741173</v>
      </c>
      <c r="CM45" s="530">
        <v>1524.088442361897</v>
      </c>
      <c r="CN45" s="530">
        <v>1532.8938521289851</v>
      </c>
      <c r="CO45" s="530">
        <v>1532.9577735925491</v>
      </c>
      <c r="CP45" s="530">
        <v>1715.827919374251</v>
      </c>
      <c r="CQ45" s="530">
        <v>1649.1695327521491</v>
      </c>
      <c r="CR45" s="530">
        <v>1460.7716587237439</v>
      </c>
      <c r="CS45" s="530">
        <v>1438.3533015501523</v>
      </c>
      <c r="CT45" s="530">
        <v>1386.4952811582689</v>
      </c>
      <c r="CU45" s="530">
        <v>1332.9707305499999</v>
      </c>
      <c r="CV45" s="530">
        <v>1308.9182295701269</v>
      </c>
      <c r="CW45" s="530">
        <v>1316.1312103094506</v>
      </c>
      <c r="CX45" s="530">
        <v>1318.5360748386327</v>
      </c>
      <c r="CY45" s="530">
        <v>1323.9944375765087</v>
      </c>
      <c r="CZ45" s="530">
        <v>1328.110314419614</v>
      </c>
      <c r="DA45" s="530">
        <v>1202.7802076645592</v>
      </c>
      <c r="DB45" s="530">
        <v>1221.9853446457637</v>
      </c>
      <c r="DC45" s="512">
        <v>1374.2251503942969</v>
      </c>
      <c r="DD45" s="512">
        <v>1388.9988532843061</v>
      </c>
      <c r="DE45" s="512">
        <v>1404.8856212686744</v>
      </c>
      <c r="DF45" s="512">
        <v>1503.8777184331655</v>
      </c>
      <c r="DG45" s="512">
        <v>1503.1837323446</v>
      </c>
    </row>
    <row r="46" spans="1:111" ht="17.25" customHeight="1">
      <c r="A46" s="509"/>
      <c r="B46" s="510"/>
      <c r="C46" s="589"/>
      <c r="D46" s="589"/>
      <c r="E46" s="589"/>
      <c r="F46" s="590"/>
      <c r="G46" s="589"/>
      <c r="H46" s="591"/>
      <c r="I46" s="589"/>
      <c r="J46" s="589"/>
      <c r="K46" s="589"/>
      <c r="L46" s="589"/>
      <c r="M46" s="590"/>
      <c r="N46" s="589"/>
      <c r="O46" s="589"/>
      <c r="P46" s="589"/>
      <c r="Q46" s="589"/>
      <c r="R46" s="589"/>
      <c r="S46" s="589"/>
      <c r="T46" s="589"/>
      <c r="U46" s="589"/>
      <c r="V46" s="589"/>
      <c r="W46" s="589"/>
      <c r="X46" s="589"/>
      <c r="Y46" s="589"/>
      <c r="Z46" s="589"/>
      <c r="AA46" s="589"/>
      <c r="AB46" s="589"/>
      <c r="AC46" s="589"/>
      <c r="AD46" s="591"/>
      <c r="AE46" s="589"/>
      <c r="AF46" s="589"/>
      <c r="AG46" s="589"/>
      <c r="AH46" s="589"/>
      <c r="AI46" s="589"/>
      <c r="AJ46" s="589"/>
      <c r="AK46" s="589"/>
      <c r="AL46" s="589"/>
      <c r="AM46" s="589"/>
      <c r="AN46" s="589"/>
      <c r="AO46" s="591"/>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89"/>
      <c r="CV46" s="589"/>
      <c r="CW46" s="589"/>
      <c r="CX46" s="589"/>
      <c r="CY46" s="589"/>
      <c r="CZ46" s="589"/>
      <c r="DA46" s="589"/>
      <c r="DB46" s="589"/>
      <c r="DC46" s="592"/>
      <c r="DD46" s="592"/>
      <c r="DE46" s="592"/>
      <c r="DF46" s="592"/>
      <c r="DG46" s="592"/>
    </row>
    <row r="47" spans="1:111" ht="17.25" customHeight="1">
      <c r="A47" s="505" t="s">
        <v>445</v>
      </c>
      <c r="B47" s="506" t="s">
        <v>446</v>
      </c>
      <c r="C47" s="561">
        <v>231.56321800000001</v>
      </c>
      <c r="D47" s="561">
        <v>244.56903</v>
      </c>
      <c r="E47" s="561">
        <v>243.88480200000001</v>
      </c>
      <c r="F47" s="562">
        <v>254.87686330000002</v>
      </c>
      <c r="G47" s="561">
        <v>261.02242823</v>
      </c>
      <c r="H47" s="563">
        <v>267.73320560000002</v>
      </c>
      <c r="I47" s="561">
        <v>275.04052743</v>
      </c>
      <c r="J47" s="561">
        <v>282.31181935000001</v>
      </c>
      <c r="K47" s="561">
        <v>289.80162895000007</v>
      </c>
      <c r="L47" s="561">
        <v>297.32200588000001</v>
      </c>
      <c r="M47" s="562">
        <v>304.61871102999999</v>
      </c>
      <c r="N47" s="561">
        <v>312.86439624000002</v>
      </c>
      <c r="O47" s="561">
        <v>355.71567060000001</v>
      </c>
      <c r="P47" s="561">
        <v>360.58522907999998</v>
      </c>
      <c r="Q47" s="561">
        <v>371.85660204000004</v>
      </c>
      <c r="R47" s="561">
        <v>377.38239969</v>
      </c>
      <c r="S47" s="561">
        <v>384.55283004</v>
      </c>
      <c r="T47" s="561">
        <v>392.83459299999998</v>
      </c>
      <c r="U47" s="561">
        <v>401.13427152999998</v>
      </c>
      <c r="V47" s="561">
        <v>409.26100296999999</v>
      </c>
      <c r="W47" s="561">
        <v>417.49837152999999</v>
      </c>
      <c r="X47" s="561">
        <v>428.14300871999995</v>
      </c>
      <c r="Y47" s="561">
        <v>440.10148677000001</v>
      </c>
      <c r="Z47" s="561">
        <v>451.12151657999993</v>
      </c>
      <c r="AA47" s="561">
        <v>464.7323165468012</v>
      </c>
      <c r="AB47" s="561">
        <v>472.71757152260756</v>
      </c>
      <c r="AC47" s="561">
        <v>483.25531720112178</v>
      </c>
      <c r="AD47" s="563">
        <v>490.05508636967824</v>
      </c>
      <c r="AE47" s="561">
        <v>490.05508636967824</v>
      </c>
      <c r="AF47" s="561">
        <v>510.40847064355597</v>
      </c>
      <c r="AG47" s="561">
        <v>522.70660879719185</v>
      </c>
      <c r="AH47" s="561">
        <v>531.99716621448056</v>
      </c>
      <c r="AI47" s="561">
        <v>542.1180730656896</v>
      </c>
      <c r="AJ47" s="561">
        <v>554.99149347934485</v>
      </c>
      <c r="AK47" s="561">
        <v>565.67439563025982</v>
      </c>
      <c r="AL47" s="561">
        <v>576.60892327325655</v>
      </c>
      <c r="AM47" s="561">
        <v>587.19330397957037</v>
      </c>
      <c r="AN47" s="561">
        <v>598.07582635165284</v>
      </c>
      <c r="AO47" s="563">
        <v>597.27096200000005</v>
      </c>
      <c r="AP47" s="561">
        <v>616.6490233267084</v>
      </c>
      <c r="AQ47" s="561">
        <v>623.19187332676222</v>
      </c>
      <c r="AR47" s="561">
        <v>634.66276787486925</v>
      </c>
      <c r="AS47" s="561">
        <v>647.0725286951448</v>
      </c>
      <c r="AT47" s="561">
        <v>659.28995629436088</v>
      </c>
      <c r="AU47" s="561">
        <v>672.32849999999996</v>
      </c>
      <c r="AV47" s="561">
        <v>682.70006847057846</v>
      </c>
      <c r="AW47" s="561">
        <v>676.41281135999998</v>
      </c>
      <c r="AX47" s="561">
        <v>687.06705868999995</v>
      </c>
      <c r="AY47" s="561">
        <v>704.40739228999996</v>
      </c>
      <c r="AZ47" s="561">
        <v>713.35561501999996</v>
      </c>
      <c r="BA47" s="561">
        <v>723.75272247999999</v>
      </c>
      <c r="BB47" s="561">
        <v>735.30842346999998</v>
      </c>
      <c r="BC47" s="561">
        <v>747.63109256000007</v>
      </c>
      <c r="BD47" s="561">
        <v>759.73270224999999</v>
      </c>
      <c r="BE47" s="561">
        <v>772.19647421000002</v>
      </c>
      <c r="BF47" s="561">
        <v>783.64372535000007</v>
      </c>
      <c r="BG47" s="561">
        <v>795.03426162999995</v>
      </c>
      <c r="BH47" s="561">
        <v>806.36142286999996</v>
      </c>
      <c r="BI47" s="561">
        <v>817.11920386999998</v>
      </c>
      <c r="BJ47" s="561">
        <v>829.69099343000005</v>
      </c>
      <c r="BK47" s="561">
        <v>841.75958768999999</v>
      </c>
      <c r="BL47" s="561">
        <v>841.34192214999996</v>
      </c>
      <c r="BM47" s="561">
        <v>850.71337003999997</v>
      </c>
      <c r="BN47" s="561">
        <v>860.90493549999997</v>
      </c>
      <c r="BO47" s="561">
        <v>871.46817457999987</v>
      </c>
      <c r="BP47" s="561">
        <v>882.04527719000009</v>
      </c>
      <c r="BQ47" s="561">
        <v>892.00809130000005</v>
      </c>
      <c r="BR47" s="561">
        <v>903.91998393000006</v>
      </c>
      <c r="BS47" s="561">
        <v>913.01940185000001</v>
      </c>
      <c r="BT47" s="561">
        <v>921.02394779999997</v>
      </c>
      <c r="BU47" s="561">
        <v>929.69761502000006</v>
      </c>
      <c r="BV47" s="561">
        <v>941.94318427000007</v>
      </c>
      <c r="BW47" s="561">
        <v>951.54407246999995</v>
      </c>
      <c r="BX47" s="561">
        <v>951.26087802999996</v>
      </c>
      <c r="BY47" s="561">
        <v>960.51654225000004</v>
      </c>
      <c r="BZ47" s="561">
        <v>959.27091482999992</v>
      </c>
      <c r="CA47" s="561">
        <v>968.69937096000001</v>
      </c>
      <c r="CB47" s="561">
        <v>976.84763184999997</v>
      </c>
      <c r="CC47" s="561">
        <v>987.94876218999991</v>
      </c>
      <c r="CD47" s="561">
        <v>997.67433128999994</v>
      </c>
      <c r="CE47" s="561">
        <v>1008.3339269400001</v>
      </c>
      <c r="CF47" s="561">
        <v>1018.04001825</v>
      </c>
      <c r="CG47" s="561">
        <v>1027.9046779100001</v>
      </c>
      <c r="CH47" s="561">
        <v>1034.54105153</v>
      </c>
      <c r="CI47" s="561">
        <v>1046.3292143400001</v>
      </c>
      <c r="CJ47" s="561">
        <v>1056.93696527</v>
      </c>
      <c r="CK47" s="561">
        <v>1068.1048831099999</v>
      </c>
      <c r="CL47" s="561">
        <v>1086.2447271100002</v>
      </c>
      <c r="CM47" s="561">
        <v>1094.89581032</v>
      </c>
      <c r="CN47" s="561">
        <v>1103.7077119</v>
      </c>
      <c r="CO47" s="561">
        <v>1114.0039380399999</v>
      </c>
      <c r="CP47" s="561">
        <v>1126.4172563299999</v>
      </c>
      <c r="CQ47" s="561">
        <v>1136.3494650599998</v>
      </c>
      <c r="CR47" s="561">
        <v>1148.6181616200001</v>
      </c>
      <c r="CS47" s="561">
        <v>1159.7702537600001</v>
      </c>
      <c r="CT47" s="561">
        <v>1170.5591787599999</v>
      </c>
      <c r="CU47" s="561">
        <v>1181.90419982</v>
      </c>
      <c r="CV47" s="561">
        <v>1190.8741275899999</v>
      </c>
      <c r="CW47" s="561">
        <v>1201.6446606699999</v>
      </c>
      <c r="CX47" s="561">
        <v>1213.0932805299999</v>
      </c>
      <c r="CY47" s="561">
        <v>1224.16639169</v>
      </c>
      <c r="CZ47" s="561">
        <v>1235.9602562800001</v>
      </c>
      <c r="DA47" s="561">
        <v>1250.3412743499998</v>
      </c>
      <c r="DB47" s="561">
        <v>1263.11193826</v>
      </c>
      <c r="DC47" s="507">
        <v>1275.6406891000001</v>
      </c>
      <c r="DD47" s="507">
        <v>1286.59783924</v>
      </c>
      <c r="DE47" s="507">
        <v>1297.00956477</v>
      </c>
      <c r="DF47" s="507">
        <v>1309.7397866099998</v>
      </c>
      <c r="DG47" s="507">
        <v>1321.1902400800002</v>
      </c>
    </row>
    <row r="48" spans="1:111" ht="17.25" customHeight="1">
      <c r="A48" s="509"/>
      <c r="B48" s="510"/>
      <c r="C48" s="589"/>
      <c r="D48" s="589"/>
      <c r="E48" s="589"/>
      <c r="F48" s="590"/>
      <c r="G48" s="589"/>
      <c r="H48" s="591"/>
      <c r="I48" s="589"/>
      <c r="J48" s="589"/>
      <c r="K48" s="589"/>
      <c r="L48" s="589"/>
      <c r="M48" s="590"/>
      <c r="N48" s="589"/>
      <c r="O48" s="589"/>
      <c r="P48" s="589"/>
      <c r="Q48" s="589"/>
      <c r="R48" s="589"/>
      <c r="S48" s="589"/>
      <c r="T48" s="589"/>
      <c r="U48" s="589"/>
      <c r="V48" s="589"/>
      <c r="W48" s="589"/>
      <c r="X48" s="589"/>
      <c r="Y48" s="589"/>
      <c r="Z48" s="589"/>
      <c r="AA48" s="589"/>
      <c r="AB48" s="589"/>
      <c r="AC48" s="589"/>
      <c r="AD48" s="591"/>
      <c r="AE48" s="589"/>
      <c r="AF48" s="589"/>
      <c r="AG48" s="589"/>
      <c r="AH48" s="589"/>
      <c r="AI48" s="589"/>
      <c r="AJ48" s="589"/>
      <c r="AK48" s="589"/>
      <c r="AL48" s="589"/>
      <c r="AM48" s="589"/>
      <c r="AN48" s="589"/>
      <c r="AO48" s="591"/>
      <c r="AP48" s="589"/>
      <c r="AQ48" s="589"/>
      <c r="AR48" s="589"/>
      <c r="AS48" s="589"/>
      <c r="AT48" s="589"/>
      <c r="AU48" s="589"/>
      <c r="AV48" s="589"/>
      <c r="AW48" s="589"/>
      <c r="AX48" s="589"/>
      <c r="AY48" s="589"/>
      <c r="AZ48" s="589"/>
      <c r="BA48" s="589"/>
      <c r="BB48" s="589"/>
      <c r="BC48" s="589"/>
      <c r="BD48" s="589"/>
      <c r="BE48" s="589"/>
      <c r="BF48" s="589"/>
      <c r="BG48" s="589"/>
      <c r="BH48" s="589"/>
      <c r="BI48" s="589"/>
      <c r="BJ48" s="589"/>
      <c r="BK48" s="589"/>
      <c r="BL48" s="589"/>
      <c r="BM48" s="589"/>
      <c r="BN48" s="589"/>
      <c r="BO48" s="589"/>
      <c r="BP48" s="589"/>
      <c r="BQ48" s="589"/>
      <c r="BR48" s="589"/>
      <c r="BS48" s="589"/>
      <c r="BT48" s="589"/>
      <c r="BU48" s="589"/>
      <c r="BV48" s="589"/>
      <c r="BW48" s="589"/>
      <c r="BX48" s="589"/>
      <c r="BY48" s="589"/>
      <c r="BZ48" s="589"/>
      <c r="CA48" s="589"/>
      <c r="CB48" s="589"/>
      <c r="CC48" s="589"/>
      <c r="CD48" s="589"/>
      <c r="CE48" s="589"/>
      <c r="CF48" s="589"/>
      <c r="CG48" s="589"/>
      <c r="CH48" s="589"/>
      <c r="CI48" s="589"/>
      <c r="CJ48" s="589"/>
      <c r="CK48" s="589"/>
      <c r="CL48" s="589"/>
      <c r="CM48" s="589"/>
      <c r="CN48" s="589"/>
      <c r="CO48" s="589"/>
      <c r="CP48" s="589"/>
      <c r="CQ48" s="589"/>
      <c r="CR48" s="589"/>
      <c r="CS48" s="589"/>
      <c r="CT48" s="589"/>
      <c r="CU48" s="589"/>
      <c r="CV48" s="589"/>
      <c r="CW48" s="589"/>
      <c r="CX48" s="589"/>
      <c r="CY48" s="589"/>
      <c r="CZ48" s="589"/>
      <c r="DA48" s="589"/>
      <c r="DB48" s="589"/>
      <c r="DC48" s="592"/>
      <c r="DD48" s="592"/>
      <c r="DE48" s="592"/>
      <c r="DF48" s="592"/>
      <c r="DG48" s="592"/>
    </row>
    <row r="49" spans="1:111" ht="17.25" customHeight="1">
      <c r="A49" s="505" t="s">
        <v>447</v>
      </c>
      <c r="B49" s="506" t="s">
        <v>465</v>
      </c>
      <c r="C49" s="561">
        <v>600.40865150000002</v>
      </c>
      <c r="D49" s="561">
        <v>631.80492100000004</v>
      </c>
      <c r="E49" s="561">
        <v>442.22716700000001</v>
      </c>
      <c r="F49" s="562">
        <v>426.5625</v>
      </c>
      <c r="G49" s="561">
        <v>401.52750700000001</v>
      </c>
      <c r="H49" s="563">
        <v>394.97407600000003</v>
      </c>
      <c r="I49" s="561">
        <v>385.5</v>
      </c>
      <c r="J49" s="561">
        <v>405.88484299931508</v>
      </c>
      <c r="K49" s="561">
        <v>409.48247814999996</v>
      </c>
      <c r="L49" s="561">
        <v>427.01206814999995</v>
      </c>
      <c r="M49" s="562">
        <v>394.37107414999997</v>
      </c>
      <c r="N49" s="561">
        <v>409.44987114999998</v>
      </c>
      <c r="O49" s="561">
        <v>344.957334</v>
      </c>
      <c r="P49" s="561">
        <v>352.348794</v>
      </c>
      <c r="Q49" s="561">
        <v>355.197587</v>
      </c>
      <c r="R49" s="561">
        <v>348.09178100000003</v>
      </c>
      <c r="S49" s="561">
        <v>312.91891399999997</v>
      </c>
      <c r="T49" s="561">
        <v>332.280823</v>
      </c>
      <c r="U49" s="561">
        <v>307</v>
      </c>
      <c r="V49" s="561">
        <v>309.41836999999998</v>
      </c>
      <c r="W49" s="561">
        <v>311.67551500000002</v>
      </c>
      <c r="X49" s="561">
        <v>310.55273999999997</v>
      </c>
      <c r="Y49" s="561">
        <v>290.30972700000001</v>
      </c>
      <c r="Z49" s="561">
        <v>287.501938</v>
      </c>
      <c r="AA49" s="561">
        <v>271</v>
      </c>
      <c r="AB49" s="561">
        <v>273.26852000000002</v>
      </c>
      <c r="AC49" s="561">
        <v>275.53704199999999</v>
      </c>
      <c r="AD49" s="563">
        <v>269.59178100000003</v>
      </c>
      <c r="AE49" s="561">
        <v>233.88992500000001</v>
      </c>
      <c r="AF49" s="561">
        <v>235.720541</v>
      </c>
      <c r="AG49" s="561">
        <v>228.5</v>
      </c>
      <c r="AH49" s="561">
        <v>230.391638</v>
      </c>
      <c r="AI49" s="561">
        <v>232.16123400000001</v>
      </c>
      <c r="AJ49" s="561">
        <v>228.66123400000001</v>
      </c>
      <c r="AK49" s="561">
        <v>233.814549</v>
      </c>
      <c r="AL49" s="561">
        <v>229.394836</v>
      </c>
      <c r="AM49" s="561">
        <v>192.57786899999999</v>
      </c>
      <c r="AN49" s="561">
        <v>194.14480900000001</v>
      </c>
      <c r="AO49" s="563">
        <v>195.711748</v>
      </c>
      <c r="AP49" s="561">
        <v>153.65983600000001</v>
      </c>
      <c r="AQ49" s="561">
        <v>153.65983600000001</v>
      </c>
      <c r="AR49" s="561">
        <v>0</v>
      </c>
      <c r="AS49" s="561">
        <v>0</v>
      </c>
      <c r="AT49" s="561">
        <v>0</v>
      </c>
      <c r="AU49" s="561">
        <v>0</v>
      </c>
      <c r="AV49" s="561">
        <v>0</v>
      </c>
      <c r="AW49" s="561">
        <v>0</v>
      </c>
      <c r="AX49" s="561">
        <v>0</v>
      </c>
      <c r="AY49" s="561">
        <v>0</v>
      </c>
      <c r="AZ49" s="561">
        <v>0</v>
      </c>
      <c r="BA49" s="561">
        <v>0</v>
      </c>
      <c r="BB49" s="561">
        <v>0</v>
      </c>
      <c r="BC49" s="561">
        <v>0</v>
      </c>
      <c r="BD49" s="561">
        <v>0</v>
      </c>
      <c r="BE49" s="561">
        <v>0</v>
      </c>
      <c r="BF49" s="561">
        <v>0</v>
      </c>
      <c r="BG49" s="561">
        <v>0</v>
      </c>
      <c r="BH49" s="561">
        <v>0</v>
      </c>
      <c r="BI49" s="561">
        <v>0</v>
      </c>
      <c r="BJ49" s="561">
        <v>0</v>
      </c>
      <c r="BK49" s="561">
        <v>0</v>
      </c>
      <c r="BL49" s="561">
        <v>0</v>
      </c>
      <c r="BM49" s="561">
        <v>0</v>
      </c>
      <c r="BN49" s="561">
        <v>0</v>
      </c>
      <c r="BO49" s="561">
        <v>0</v>
      </c>
      <c r="BP49" s="561">
        <v>0</v>
      </c>
      <c r="BQ49" s="561">
        <v>0</v>
      </c>
      <c r="BR49" s="561">
        <v>0</v>
      </c>
      <c r="BS49" s="561">
        <v>0</v>
      </c>
      <c r="BT49" s="561">
        <v>0</v>
      </c>
      <c r="BU49" s="561">
        <v>0</v>
      </c>
      <c r="BV49" s="561">
        <v>0</v>
      </c>
      <c r="BW49" s="561">
        <v>0</v>
      </c>
      <c r="BX49" s="561">
        <v>0</v>
      </c>
      <c r="BY49" s="561">
        <v>0</v>
      </c>
      <c r="BZ49" s="561">
        <v>0</v>
      </c>
      <c r="CA49" s="561">
        <v>0</v>
      </c>
      <c r="CB49" s="561">
        <v>0</v>
      </c>
      <c r="CC49" s="561">
        <v>0</v>
      </c>
      <c r="CD49" s="561">
        <v>0</v>
      </c>
      <c r="CE49" s="561">
        <v>0</v>
      </c>
      <c r="CF49" s="561">
        <v>0</v>
      </c>
      <c r="CG49" s="561">
        <v>0</v>
      </c>
      <c r="CH49" s="561">
        <v>0</v>
      </c>
      <c r="CI49" s="561">
        <v>0</v>
      </c>
      <c r="CJ49" s="561">
        <v>0</v>
      </c>
      <c r="CK49" s="561">
        <v>0</v>
      </c>
      <c r="CL49" s="561">
        <v>0</v>
      </c>
      <c r="CM49" s="561">
        <v>0</v>
      </c>
      <c r="CN49" s="561">
        <v>0</v>
      </c>
      <c r="CO49" s="561">
        <v>0</v>
      </c>
      <c r="CP49" s="561">
        <v>0</v>
      </c>
      <c r="CQ49" s="561">
        <v>0</v>
      </c>
      <c r="CR49" s="561">
        <v>0</v>
      </c>
      <c r="CS49" s="561">
        <v>0</v>
      </c>
      <c r="CT49" s="561">
        <v>0</v>
      </c>
      <c r="CU49" s="561">
        <v>0</v>
      </c>
      <c r="CV49" s="561">
        <v>0</v>
      </c>
      <c r="CW49" s="561">
        <v>0</v>
      </c>
      <c r="CX49" s="561">
        <v>0</v>
      </c>
      <c r="CY49" s="561">
        <v>0</v>
      </c>
      <c r="CZ49" s="561">
        <v>0</v>
      </c>
      <c r="DA49" s="561">
        <v>0</v>
      </c>
      <c r="DB49" s="561">
        <v>0</v>
      </c>
      <c r="DC49" s="507">
        <v>0</v>
      </c>
      <c r="DD49" s="507">
        <v>0</v>
      </c>
      <c r="DE49" s="507">
        <v>0</v>
      </c>
      <c r="DF49" s="507">
        <v>0</v>
      </c>
      <c r="DG49" s="507">
        <v>0</v>
      </c>
    </row>
    <row r="50" spans="1:111" ht="17.25" customHeight="1">
      <c r="A50" s="509"/>
      <c r="B50" s="510"/>
      <c r="C50" s="589"/>
      <c r="D50" s="589"/>
      <c r="E50" s="589"/>
      <c r="F50" s="590"/>
      <c r="G50" s="589"/>
      <c r="H50" s="591"/>
      <c r="I50" s="589"/>
      <c r="J50" s="589"/>
      <c r="K50" s="589"/>
      <c r="L50" s="589"/>
      <c r="M50" s="590"/>
      <c r="N50" s="589"/>
      <c r="O50" s="589"/>
      <c r="P50" s="589"/>
      <c r="Q50" s="589"/>
      <c r="R50" s="589"/>
      <c r="S50" s="589"/>
      <c r="T50" s="589"/>
      <c r="U50" s="589"/>
      <c r="V50" s="589"/>
      <c r="W50" s="589"/>
      <c r="X50" s="589"/>
      <c r="Y50" s="589"/>
      <c r="Z50" s="589"/>
      <c r="AA50" s="589"/>
      <c r="AB50" s="589"/>
      <c r="AC50" s="589"/>
      <c r="AD50" s="591"/>
      <c r="AE50" s="589"/>
      <c r="AF50" s="589"/>
      <c r="AG50" s="589"/>
      <c r="AH50" s="589"/>
      <c r="AI50" s="589"/>
      <c r="AJ50" s="589"/>
      <c r="AK50" s="589"/>
      <c r="AL50" s="589"/>
      <c r="AM50" s="589"/>
      <c r="AN50" s="589"/>
      <c r="AO50" s="591"/>
      <c r="AP50" s="589"/>
      <c r="AQ50" s="589"/>
      <c r="AR50" s="589"/>
      <c r="AS50" s="589"/>
      <c r="AT50" s="589"/>
      <c r="AU50" s="589"/>
      <c r="AV50" s="589"/>
      <c r="AW50" s="589"/>
      <c r="AX50" s="589"/>
      <c r="AY50" s="589"/>
      <c r="AZ50" s="589"/>
      <c r="BA50" s="589"/>
      <c r="BB50" s="589"/>
      <c r="BC50" s="589"/>
      <c r="BD50" s="589"/>
      <c r="BE50" s="589"/>
      <c r="BF50" s="589"/>
      <c r="BG50" s="589"/>
      <c r="BH50" s="589"/>
      <c r="BI50" s="589"/>
      <c r="BJ50" s="589"/>
      <c r="BK50" s="589"/>
      <c r="BL50" s="589"/>
      <c r="BM50" s="589"/>
      <c r="BN50" s="589"/>
      <c r="BO50" s="589"/>
      <c r="BP50" s="589"/>
      <c r="BQ50" s="589"/>
      <c r="BR50" s="589"/>
      <c r="BS50" s="589"/>
      <c r="BT50" s="589"/>
      <c r="BU50" s="589"/>
      <c r="BV50" s="589"/>
      <c r="BW50" s="589"/>
      <c r="BX50" s="589"/>
      <c r="BY50" s="589"/>
      <c r="BZ50" s="589"/>
      <c r="CA50" s="589"/>
      <c r="CB50" s="589"/>
      <c r="CC50" s="589"/>
      <c r="CD50" s="589"/>
      <c r="CE50" s="589"/>
      <c r="CF50" s="589"/>
      <c r="CG50" s="589"/>
      <c r="CH50" s="589"/>
      <c r="CI50" s="589"/>
      <c r="CJ50" s="589"/>
      <c r="CK50" s="589"/>
      <c r="CL50" s="589"/>
      <c r="CM50" s="589"/>
      <c r="CN50" s="589"/>
      <c r="CO50" s="589"/>
      <c r="CP50" s="589"/>
      <c r="CQ50" s="589"/>
      <c r="CR50" s="589"/>
      <c r="CS50" s="589"/>
      <c r="CT50" s="589"/>
      <c r="CU50" s="589"/>
      <c r="CV50" s="589"/>
      <c r="CW50" s="589"/>
      <c r="CX50" s="589"/>
      <c r="CY50" s="589"/>
      <c r="CZ50" s="589"/>
      <c r="DA50" s="589"/>
      <c r="DB50" s="589"/>
      <c r="DC50" s="592"/>
      <c r="DD50" s="592"/>
      <c r="DE50" s="592"/>
      <c r="DF50" s="592"/>
      <c r="DG50" s="592"/>
    </row>
    <row r="51" spans="1:111" ht="17.25" customHeight="1">
      <c r="A51" s="505" t="s">
        <v>449</v>
      </c>
      <c r="B51" s="506" t="s">
        <v>201</v>
      </c>
      <c r="C51" s="561">
        <v>2630.68074501</v>
      </c>
      <c r="D51" s="561">
        <v>2630.0928586</v>
      </c>
      <c r="E51" s="561">
        <v>2788.2714956599998</v>
      </c>
      <c r="F51" s="562">
        <v>2937.78657587</v>
      </c>
      <c r="G51" s="561">
        <v>3136.29602462</v>
      </c>
      <c r="H51" s="563">
        <v>3221.8251217100001</v>
      </c>
      <c r="I51" s="561">
        <v>3192.1693638599995</v>
      </c>
      <c r="J51" s="561">
        <v>3147.4126953200002</v>
      </c>
      <c r="K51" s="561">
        <v>3180.08305728</v>
      </c>
      <c r="L51" s="561">
        <v>3063.57494008</v>
      </c>
      <c r="M51" s="562">
        <v>3079.9941545900001</v>
      </c>
      <c r="N51" s="561">
        <v>3152.0075121699997</v>
      </c>
      <c r="O51" s="561">
        <v>3330.3147581099997</v>
      </c>
      <c r="P51" s="561">
        <v>3770.2093561700008</v>
      </c>
      <c r="Q51" s="561">
        <v>4070.7419166169207</v>
      </c>
      <c r="R51" s="561">
        <v>4102.3249012710303</v>
      </c>
      <c r="S51" s="561">
        <v>4117.7779041700005</v>
      </c>
      <c r="T51" s="561">
        <v>4092.9335569362497</v>
      </c>
      <c r="U51" s="561">
        <v>4260.7382215410007</v>
      </c>
      <c r="V51" s="561">
        <v>4441.7436501800003</v>
      </c>
      <c r="W51" s="561">
        <v>4356.7828689500002</v>
      </c>
      <c r="X51" s="561">
        <v>4467.3319967765165</v>
      </c>
      <c r="Y51" s="561">
        <v>4451.5651270376293</v>
      </c>
      <c r="Z51" s="561">
        <v>4453.3888107366174</v>
      </c>
      <c r="AA51" s="561">
        <v>4698.3670634208793</v>
      </c>
      <c r="AB51" s="561">
        <v>4622.4491841764384</v>
      </c>
      <c r="AC51" s="561">
        <v>4475.787280789863</v>
      </c>
      <c r="AD51" s="563">
        <v>4402.8774204715073</v>
      </c>
      <c r="AE51" s="561">
        <v>4123.1845085715076</v>
      </c>
      <c r="AF51" s="561">
        <v>3967.1421136384934</v>
      </c>
      <c r="AG51" s="561">
        <v>3743.5247357060271</v>
      </c>
      <c r="AH51" s="561">
        <v>3834.2236840501369</v>
      </c>
      <c r="AI51" s="561">
        <v>3689.1825157124658</v>
      </c>
      <c r="AJ51" s="561">
        <v>3500.7062226813696</v>
      </c>
      <c r="AK51" s="561">
        <v>3408.127094673288</v>
      </c>
      <c r="AL51" s="561">
        <v>3379.3276802513701</v>
      </c>
      <c r="AM51" s="561">
        <v>3239.4535967432876</v>
      </c>
      <c r="AN51" s="561">
        <v>3458.5866201902741</v>
      </c>
      <c r="AO51" s="563">
        <v>4137.0583415399997</v>
      </c>
      <c r="AP51" s="561">
        <v>4535.7708429617805</v>
      </c>
      <c r="AQ51" s="561">
        <v>5526.6296055882194</v>
      </c>
      <c r="AR51" s="561">
        <v>5581.0321898587663</v>
      </c>
      <c r="AS51" s="561">
        <v>5282.3966919142458</v>
      </c>
      <c r="AT51" s="561">
        <v>5178.3781090543825</v>
      </c>
      <c r="AU51" s="561">
        <v>5118.4729123800007</v>
      </c>
      <c r="AV51" s="561">
        <v>4961.799643372191</v>
      </c>
      <c r="AW51" s="561">
        <v>4888.0619427682195</v>
      </c>
      <c r="AX51" s="561">
        <v>4887.5015556182207</v>
      </c>
      <c r="AY51" s="561">
        <v>4926.0327021500007</v>
      </c>
      <c r="AZ51" s="561">
        <v>4814.443608358768</v>
      </c>
      <c r="BA51" s="561">
        <v>4663.5574694575362</v>
      </c>
      <c r="BB51" s="561">
        <v>4630.1141973399999</v>
      </c>
      <c r="BC51" s="561">
        <v>4407.9392774400003</v>
      </c>
      <c r="BD51" s="561">
        <v>4407.1188998499993</v>
      </c>
      <c r="BE51" s="561">
        <v>4435.9033677699999</v>
      </c>
      <c r="BF51" s="561">
        <v>4580.6558175500004</v>
      </c>
      <c r="BG51" s="561">
        <v>4409.2727484500001</v>
      </c>
      <c r="BH51" s="561">
        <v>4692.5433414400004</v>
      </c>
      <c r="BI51" s="561">
        <v>4455.092092169999</v>
      </c>
      <c r="BJ51" s="561">
        <v>4380.3482950299995</v>
      </c>
      <c r="BK51" s="561">
        <v>4506.9304118999999</v>
      </c>
      <c r="BL51" s="561">
        <v>4432.5187507600003</v>
      </c>
      <c r="BM51" s="561">
        <v>4305.9087254700007</v>
      </c>
      <c r="BN51" s="561">
        <v>4236.2685673899996</v>
      </c>
      <c r="BO51" s="561">
        <v>4246.5308846200005</v>
      </c>
      <c r="BP51" s="561">
        <v>4238.8072340799999</v>
      </c>
      <c r="BQ51" s="561">
        <v>4198.6275755999995</v>
      </c>
      <c r="BR51" s="561">
        <v>4018.1876285899993</v>
      </c>
      <c r="BS51" s="561">
        <v>3905.2145171100001</v>
      </c>
      <c r="BT51" s="561">
        <v>4250.1657690299999</v>
      </c>
      <c r="BU51" s="561">
        <v>4535.4009117899996</v>
      </c>
      <c r="BV51" s="561">
        <v>4382.2887601600005</v>
      </c>
      <c r="BW51" s="561">
        <v>4372.8701237599998</v>
      </c>
      <c r="BX51" s="561">
        <v>4154.9125019200001</v>
      </c>
      <c r="BY51" s="561">
        <v>4060.9510421100003</v>
      </c>
      <c r="BZ51" s="561">
        <v>4231.2920926099996</v>
      </c>
      <c r="CA51" s="561">
        <v>4005.7689617100004</v>
      </c>
      <c r="CB51" s="561">
        <v>3995.8812453299997</v>
      </c>
      <c r="CC51" s="561">
        <v>4049.5394200599999</v>
      </c>
      <c r="CD51" s="561">
        <v>3905.6289133399991</v>
      </c>
      <c r="CE51" s="561">
        <v>3877.7525162399993</v>
      </c>
      <c r="CF51" s="561">
        <v>3891.9378872900002</v>
      </c>
      <c r="CG51" s="561">
        <v>3819.8157504199999</v>
      </c>
      <c r="CH51" s="561">
        <v>3370.3593737200003</v>
      </c>
      <c r="CI51" s="561">
        <v>3515.8840664700001</v>
      </c>
      <c r="CJ51" s="561">
        <v>3400.5094429699998</v>
      </c>
      <c r="CK51" s="561">
        <v>3229.11605306</v>
      </c>
      <c r="CL51" s="561">
        <v>3372.1846686099998</v>
      </c>
      <c r="CM51" s="561">
        <v>3162.9517192899998</v>
      </c>
      <c r="CN51" s="561">
        <v>3207.8926368100001</v>
      </c>
      <c r="CO51" s="561">
        <v>3357.0536541700003</v>
      </c>
      <c r="CP51" s="561">
        <v>3424.1075898799995</v>
      </c>
      <c r="CQ51" s="561">
        <v>3362.3957310299998</v>
      </c>
      <c r="CR51" s="561">
        <v>3450.9335432800003</v>
      </c>
      <c r="CS51" s="561">
        <v>3282.9613971700001</v>
      </c>
      <c r="CT51" s="561">
        <v>3094.0234828600001</v>
      </c>
      <c r="CU51" s="561">
        <v>3271.8840321299999</v>
      </c>
      <c r="CV51" s="561">
        <v>2976.3286383200002</v>
      </c>
      <c r="CW51" s="561">
        <v>3360.9093773100003</v>
      </c>
      <c r="CX51" s="561">
        <v>3720.2397529699997</v>
      </c>
      <c r="CY51" s="561">
        <v>3970.4982787899999</v>
      </c>
      <c r="CZ51" s="561">
        <v>4134.5195028899998</v>
      </c>
      <c r="DA51" s="561">
        <v>4313.6045277499998</v>
      </c>
      <c r="DB51" s="561">
        <v>4500.9335845699998</v>
      </c>
      <c r="DC51" s="507">
        <v>4484.9337620200004</v>
      </c>
      <c r="DD51" s="507">
        <v>4840.3458612600007</v>
      </c>
      <c r="DE51" s="507">
        <v>4822.7700643299995</v>
      </c>
      <c r="DF51" s="507">
        <v>5120.5762299400003</v>
      </c>
      <c r="DG51" s="507">
        <v>5244.8975885</v>
      </c>
    </row>
    <row r="52" spans="1:111" ht="17.25" customHeight="1">
      <c r="A52" s="509"/>
      <c r="B52" s="532"/>
      <c r="C52" s="589"/>
      <c r="D52" s="589"/>
      <c r="E52" s="589"/>
      <c r="F52" s="590"/>
      <c r="G52" s="589"/>
      <c r="H52" s="591"/>
      <c r="I52" s="589"/>
      <c r="J52" s="589"/>
      <c r="K52" s="589"/>
      <c r="L52" s="589"/>
      <c r="M52" s="590"/>
      <c r="N52" s="589"/>
      <c r="O52" s="589"/>
      <c r="P52" s="589"/>
      <c r="Q52" s="589"/>
      <c r="R52" s="589"/>
      <c r="S52" s="589"/>
      <c r="T52" s="589"/>
      <c r="U52" s="589"/>
      <c r="V52" s="589"/>
      <c r="W52" s="589"/>
      <c r="X52" s="589"/>
      <c r="Y52" s="589"/>
      <c r="Z52" s="589"/>
      <c r="AA52" s="589"/>
      <c r="AB52" s="589"/>
      <c r="AC52" s="589"/>
      <c r="AD52" s="591"/>
      <c r="AE52" s="589"/>
      <c r="AF52" s="589"/>
      <c r="AG52" s="589"/>
      <c r="AH52" s="589"/>
      <c r="AI52" s="589"/>
      <c r="AJ52" s="589"/>
      <c r="AK52" s="589"/>
      <c r="AL52" s="589"/>
      <c r="AM52" s="589"/>
      <c r="AN52" s="589"/>
      <c r="AO52" s="591"/>
      <c r="AP52" s="589"/>
      <c r="AQ52" s="589"/>
      <c r="AR52" s="589"/>
      <c r="AS52" s="589"/>
      <c r="AT52" s="589"/>
      <c r="AU52" s="589"/>
      <c r="AV52" s="589"/>
      <c r="AW52" s="589"/>
      <c r="AX52" s="589"/>
      <c r="AY52" s="589"/>
      <c r="AZ52" s="589"/>
      <c r="BA52" s="589"/>
      <c r="BB52" s="589"/>
      <c r="BC52" s="589"/>
      <c r="BD52" s="589"/>
      <c r="BE52" s="589"/>
      <c r="BF52" s="589"/>
      <c r="BG52" s="589"/>
      <c r="BH52" s="589"/>
      <c r="BI52" s="589"/>
      <c r="BJ52" s="589"/>
      <c r="BK52" s="589"/>
      <c r="BL52" s="589"/>
      <c r="BM52" s="589"/>
      <c r="BN52" s="589"/>
      <c r="BO52" s="589"/>
      <c r="BP52" s="589"/>
      <c r="BQ52" s="589"/>
      <c r="BR52" s="589"/>
      <c r="BS52" s="589"/>
      <c r="BT52" s="589"/>
      <c r="BU52" s="589"/>
      <c r="BV52" s="589"/>
      <c r="BW52" s="589"/>
      <c r="BX52" s="589"/>
      <c r="BY52" s="589"/>
      <c r="BZ52" s="589"/>
      <c r="CA52" s="589"/>
      <c r="CB52" s="589"/>
      <c r="CC52" s="589"/>
      <c r="CD52" s="589"/>
      <c r="CE52" s="589"/>
      <c r="CF52" s="589"/>
      <c r="CG52" s="589"/>
      <c r="CH52" s="589"/>
      <c r="CI52" s="589"/>
      <c r="CJ52" s="589"/>
      <c r="CK52" s="589"/>
      <c r="CL52" s="589"/>
      <c r="CM52" s="589"/>
      <c r="CN52" s="589"/>
      <c r="CO52" s="589"/>
      <c r="CP52" s="589"/>
      <c r="CQ52" s="589"/>
      <c r="CR52" s="589"/>
      <c r="CS52" s="589"/>
      <c r="CT52" s="589"/>
      <c r="CU52" s="589"/>
      <c r="CV52" s="589"/>
      <c r="CW52" s="589"/>
      <c r="CX52" s="589"/>
      <c r="CY52" s="589"/>
      <c r="CZ52" s="589"/>
      <c r="DA52" s="589"/>
      <c r="DB52" s="589"/>
      <c r="DC52" s="592"/>
      <c r="DD52" s="592"/>
      <c r="DE52" s="592"/>
      <c r="DF52" s="592"/>
      <c r="DG52" s="592"/>
    </row>
    <row r="53" spans="1:111" ht="17.25" customHeight="1">
      <c r="A53" s="505" t="s">
        <v>450</v>
      </c>
      <c r="B53" s="506" t="s">
        <v>421</v>
      </c>
      <c r="C53" s="561">
        <v>0</v>
      </c>
      <c r="D53" s="561">
        <v>0</v>
      </c>
      <c r="E53" s="561">
        <v>0</v>
      </c>
      <c r="F53" s="562">
        <v>0</v>
      </c>
      <c r="G53" s="561">
        <v>0</v>
      </c>
      <c r="H53" s="563">
        <v>0</v>
      </c>
      <c r="I53" s="561">
        <v>0</v>
      </c>
      <c r="J53" s="561">
        <v>0</v>
      </c>
      <c r="K53" s="561">
        <v>0</v>
      </c>
      <c r="L53" s="561">
        <v>0</v>
      </c>
      <c r="M53" s="562">
        <v>0</v>
      </c>
      <c r="N53" s="561">
        <v>0</v>
      </c>
      <c r="O53" s="561">
        <v>0</v>
      </c>
      <c r="P53" s="561">
        <v>0</v>
      </c>
      <c r="Q53" s="561">
        <v>0</v>
      </c>
      <c r="R53" s="561">
        <v>0</v>
      </c>
      <c r="S53" s="561">
        <v>0</v>
      </c>
      <c r="T53" s="561">
        <v>0</v>
      </c>
      <c r="U53" s="561">
        <v>0</v>
      </c>
      <c r="V53" s="561">
        <v>0</v>
      </c>
      <c r="W53" s="561">
        <v>0</v>
      </c>
      <c r="X53" s="561">
        <v>0</v>
      </c>
      <c r="Y53" s="561">
        <v>0</v>
      </c>
      <c r="Z53" s="561">
        <v>0</v>
      </c>
      <c r="AA53" s="561">
        <v>0</v>
      </c>
      <c r="AB53" s="561">
        <v>0</v>
      </c>
      <c r="AC53" s="561">
        <v>0</v>
      </c>
      <c r="AD53" s="563">
        <v>0</v>
      </c>
      <c r="AE53" s="561">
        <v>0</v>
      </c>
      <c r="AF53" s="561">
        <v>0</v>
      </c>
      <c r="AG53" s="561">
        <v>0</v>
      </c>
      <c r="AH53" s="561">
        <v>0</v>
      </c>
      <c r="AI53" s="561">
        <v>0</v>
      </c>
      <c r="AJ53" s="561">
        <v>0</v>
      </c>
      <c r="AK53" s="561">
        <v>0</v>
      </c>
      <c r="AL53" s="561">
        <v>0</v>
      </c>
      <c r="AM53" s="561">
        <v>0</v>
      </c>
      <c r="AN53" s="561">
        <v>0</v>
      </c>
      <c r="AO53" s="563">
        <v>0</v>
      </c>
      <c r="AP53" s="561">
        <v>0</v>
      </c>
      <c r="AQ53" s="561">
        <v>0</v>
      </c>
      <c r="AR53" s="561">
        <v>0</v>
      </c>
      <c r="AS53" s="561">
        <v>0</v>
      </c>
      <c r="AT53" s="561">
        <v>0</v>
      </c>
      <c r="AU53" s="561">
        <v>0</v>
      </c>
      <c r="AV53" s="561">
        <v>0</v>
      </c>
      <c r="AW53" s="561">
        <v>0</v>
      </c>
      <c r="AX53" s="561">
        <v>0</v>
      </c>
      <c r="AY53" s="561">
        <v>0</v>
      </c>
      <c r="AZ53" s="561">
        <v>0</v>
      </c>
      <c r="BA53" s="561">
        <v>0</v>
      </c>
      <c r="BB53" s="561">
        <v>0</v>
      </c>
      <c r="BC53" s="561">
        <v>0</v>
      </c>
      <c r="BD53" s="561">
        <v>0</v>
      </c>
      <c r="BE53" s="561">
        <v>0</v>
      </c>
      <c r="BF53" s="561">
        <v>0</v>
      </c>
      <c r="BG53" s="561">
        <v>0</v>
      </c>
      <c r="BH53" s="561">
        <v>0</v>
      </c>
      <c r="BI53" s="561">
        <v>0</v>
      </c>
      <c r="BJ53" s="561">
        <v>0</v>
      </c>
      <c r="BK53" s="561">
        <v>0</v>
      </c>
      <c r="BL53" s="561">
        <v>0</v>
      </c>
      <c r="BM53" s="561">
        <v>0</v>
      </c>
      <c r="BN53" s="561">
        <v>0</v>
      </c>
      <c r="BO53" s="561">
        <v>0</v>
      </c>
      <c r="BP53" s="561">
        <v>0</v>
      </c>
      <c r="BQ53" s="561">
        <v>0</v>
      </c>
      <c r="BR53" s="561">
        <v>0</v>
      </c>
      <c r="BS53" s="561">
        <v>0</v>
      </c>
      <c r="BT53" s="561">
        <v>0</v>
      </c>
      <c r="BU53" s="561">
        <v>0</v>
      </c>
      <c r="BV53" s="561">
        <v>0</v>
      </c>
      <c r="BW53" s="561">
        <v>0</v>
      </c>
      <c r="BX53" s="561">
        <v>0</v>
      </c>
      <c r="BY53" s="561">
        <v>0</v>
      </c>
      <c r="BZ53" s="561">
        <v>0</v>
      </c>
      <c r="CA53" s="561">
        <v>0</v>
      </c>
      <c r="CB53" s="561">
        <v>0</v>
      </c>
      <c r="CC53" s="561">
        <v>0</v>
      </c>
      <c r="CD53" s="561">
        <v>0</v>
      </c>
      <c r="CE53" s="561">
        <v>0</v>
      </c>
      <c r="CF53" s="561">
        <v>0</v>
      </c>
      <c r="CG53" s="561">
        <v>0</v>
      </c>
      <c r="CH53" s="561">
        <v>0</v>
      </c>
      <c r="CI53" s="561">
        <v>0</v>
      </c>
      <c r="CJ53" s="561">
        <v>0</v>
      </c>
      <c r="CK53" s="561">
        <v>0</v>
      </c>
      <c r="CL53" s="561">
        <v>0</v>
      </c>
      <c r="CM53" s="561">
        <v>0</v>
      </c>
      <c r="CN53" s="561">
        <v>0</v>
      </c>
      <c r="CO53" s="561">
        <v>0</v>
      </c>
      <c r="CP53" s="561">
        <v>0</v>
      </c>
      <c r="CQ53" s="561">
        <v>0</v>
      </c>
      <c r="CR53" s="561">
        <v>0</v>
      </c>
      <c r="CS53" s="561">
        <v>0</v>
      </c>
      <c r="CT53" s="561">
        <v>0</v>
      </c>
      <c r="CU53" s="561">
        <v>0</v>
      </c>
      <c r="CV53" s="561">
        <v>0</v>
      </c>
      <c r="CW53" s="561">
        <v>0</v>
      </c>
      <c r="CX53" s="561">
        <v>0</v>
      </c>
      <c r="CY53" s="561">
        <v>0</v>
      </c>
      <c r="CZ53" s="561">
        <v>0</v>
      </c>
      <c r="DA53" s="561">
        <v>0</v>
      </c>
      <c r="DB53" s="561">
        <v>0</v>
      </c>
      <c r="DC53" s="507">
        <v>0</v>
      </c>
      <c r="DD53" s="507">
        <v>0</v>
      </c>
      <c r="DE53" s="507">
        <v>0</v>
      </c>
      <c r="DF53" s="507">
        <v>0</v>
      </c>
      <c r="DG53" s="507">
        <v>0</v>
      </c>
    </row>
    <row r="54" spans="1:111" ht="17.25" customHeight="1">
      <c r="A54" s="509"/>
      <c r="B54" s="510"/>
      <c r="C54" s="589"/>
      <c r="D54" s="589"/>
      <c r="E54" s="589"/>
      <c r="F54" s="590"/>
      <c r="G54" s="589"/>
      <c r="H54" s="591"/>
      <c r="I54" s="589"/>
      <c r="J54" s="589"/>
      <c r="K54" s="589"/>
      <c r="L54" s="589"/>
      <c r="M54" s="590"/>
      <c r="N54" s="589"/>
      <c r="O54" s="589"/>
      <c r="P54" s="589"/>
      <c r="Q54" s="589"/>
      <c r="R54" s="589"/>
      <c r="S54" s="589"/>
      <c r="T54" s="589"/>
      <c r="U54" s="589"/>
      <c r="V54" s="589"/>
      <c r="W54" s="589"/>
      <c r="X54" s="589"/>
      <c r="Y54" s="589"/>
      <c r="Z54" s="589"/>
      <c r="AA54" s="589"/>
      <c r="AB54" s="589"/>
      <c r="AC54" s="589"/>
      <c r="AD54" s="591"/>
      <c r="AE54" s="589"/>
      <c r="AF54" s="589"/>
      <c r="AG54" s="589"/>
      <c r="AH54" s="589"/>
      <c r="AI54" s="589"/>
      <c r="AJ54" s="589"/>
      <c r="AK54" s="589"/>
      <c r="AL54" s="589"/>
      <c r="AM54" s="589"/>
      <c r="AN54" s="589"/>
      <c r="AO54" s="591"/>
      <c r="AP54" s="589"/>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89"/>
      <c r="CJ54" s="589"/>
      <c r="CK54" s="589"/>
      <c r="CL54" s="589"/>
      <c r="CM54" s="589"/>
      <c r="CN54" s="589"/>
      <c r="CO54" s="589"/>
      <c r="CP54" s="589"/>
      <c r="CQ54" s="589"/>
      <c r="CR54" s="589"/>
      <c r="CS54" s="589"/>
      <c r="CT54" s="589"/>
      <c r="CU54" s="589"/>
      <c r="CV54" s="589"/>
      <c r="CW54" s="589"/>
      <c r="CX54" s="589"/>
      <c r="CY54" s="589"/>
      <c r="CZ54" s="589"/>
      <c r="DA54" s="589"/>
      <c r="DB54" s="589"/>
      <c r="DC54" s="592"/>
      <c r="DD54" s="592"/>
      <c r="DE54" s="592"/>
      <c r="DF54" s="592"/>
      <c r="DG54" s="592"/>
    </row>
    <row r="55" spans="1:111" ht="17.25" customHeight="1">
      <c r="A55" s="505" t="s">
        <v>451</v>
      </c>
      <c r="B55" s="506" t="s">
        <v>423</v>
      </c>
      <c r="C55" s="561">
        <v>0</v>
      </c>
      <c r="D55" s="561">
        <v>0</v>
      </c>
      <c r="E55" s="561">
        <v>0</v>
      </c>
      <c r="F55" s="562">
        <v>0</v>
      </c>
      <c r="G55" s="561">
        <v>0</v>
      </c>
      <c r="H55" s="563">
        <v>0</v>
      </c>
      <c r="I55" s="561">
        <v>0</v>
      </c>
      <c r="J55" s="561">
        <v>0</v>
      </c>
      <c r="K55" s="561">
        <v>0</v>
      </c>
      <c r="L55" s="561">
        <v>0</v>
      </c>
      <c r="M55" s="562">
        <v>0</v>
      </c>
      <c r="N55" s="561">
        <v>0</v>
      </c>
      <c r="O55" s="561">
        <v>0</v>
      </c>
      <c r="P55" s="561">
        <v>0</v>
      </c>
      <c r="Q55" s="561">
        <v>0</v>
      </c>
      <c r="R55" s="561">
        <v>0</v>
      </c>
      <c r="S55" s="561">
        <v>0</v>
      </c>
      <c r="T55" s="561">
        <v>0</v>
      </c>
      <c r="U55" s="561">
        <v>0</v>
      </c>
      <c r="V55" s="561">
        <v>0</v>
      </c>
      <c r="W55" s="561">
        <v>0</v>
      </c>
      <c r="X55" s="561">
        <v>0</v>
      </c>
      <c r="Y55" s="561">
        <v>0</v>
      </c>
      <c r="Z55" s="561">
        <v>0</v>
      </c>
      <c r="AA55" s="561">
        <v>0</v>
      </c>
      <c r="AB55" s="561">
        <v>0</v>
      </c>
      <c r="AC55" s="561">
        <v>0</v>
      </c>
      <c r="AD55" s="563">
        <v>0</v>
      </c>
      <c r="AE55" s="561">
        <v>0</v>
      </c>
      <c r="AF55" s="561">
        <v>0</v>
      </c>
      <c r="AG55" s="561">
        <v>0</v>
      </c>
      <c r="AH55" s="561">
        <v>0</v>
      </c>
      <c r="AI55" s="561">
        <v>0</v>
      </c>
      <c r="AJ55" s="561">
        <v>0</v>
      </c>
      <c r="AK55" s="561">
        <v>0</v>
      </c>
      <c r="AL55" s="561">
        <v>0</v>
      </c>
      <c r="AM55" s="561">
        <v>0</v>
      </c>
      <c r="AN55" s="561">
        <v>0</v>
      </c>
      <c r="AO55" s="563">
        <v>0</v>
      </c>
      <c r="AP55" s="561">
        <v>0</v>
      </c>
      <c r="AQ55" s="561">
        <v>0</v>
      </c>
      <c r="AR55" s="561">
        <v>0</v>
      </c>
      <c r="AS55" s="561">
        <v>0</v>
      </c>
      <c r="AT55" s="561">
        <v>0</v>
      </c>
      <c r="AU55" s="561">
        <v>0</v>
      </c>
      <c r="AV55" s="561">
        <v>0</v>
      </c>
      <c r="AW55" s="561">
        <v>0</v>
      </c>
      <c r="AX55" s="561">
        <v>0</v>
      </c>
      <c r="AY55" s="561">
        <v>0</v>
      </c>
      <c r="AZ55" s="561">
        <v>0</v>
      </c>
      <c r="BA55" s="561">
        <v>0</v>
      </c>
      <c r="BB55" s="561">
        <v>0</v>
      </c>
      <c r="BC55" s="561">
        <v>0</v>
      </c>
      <c r="BD55" s="561">
        <v>0</v>
      </c>
      <c r="BE55" s="561">
        <v>0</v>
      </c>
      <c r="BF55" s="561">
        <v>0</v>
      </c>
      <c r="BG55" s="561">
        <v>0</v>
      </c>
      <c r="BH55" s="561">
        <v>0</v>
      </c>
      <c r="BI55" s="561">
        <v>0</v>
      </c>
      <c r="BJ55" s="561">
        <v>0</v>
      </c>
      <c r="BK55" s="561">
        <v>0</v>
      </c>
      <c r="BL55" s="561">
        <v>0</v>
      </c>
      <c r="BM55" s="561">
        <v>0</v>
      </c>
      <c r="BN55" s="561">
        <v>0</v>
      </c>
      <c r="BO55" s="561">
        <v>0</v>
      </c>
      <c r="BP55" s="561">
        <v>0</v>
      </c>
      <c r="BQ55" s="561">
        <v>0</v>
      </c>
      <c r="BR55" s="561">
        <v>0</v>
      </c>
      <c r="BS55" s="561">
        <v>0</v>
      </c>
      <c r="BT55" s="561">
        <v>0</v>
      </c>
      <c r="BU55" s="561">
        <v>0</v>
      </c>
      <c r="BV55" s="561">
        <v>0</v>
      </c>
      <c r="BW55" s="561">
        <v>0</v>
      </c>
      <c r="BX55" s="561">
        <v>0</v>
      </c>
      <c r="BY55" s="561">
        <v>0</v>
      </c>
      <c r="BZ55" s="561">
        <v>0</v>
      </c>
      <c r="CA55" s="561">
        <v>0</v>
      </c>
      <c r="CB55" s="561">
        <v>0</v>
      </c>
      <c r="CC55" s="561">
        <v>0</v>
      </c>
      <c r="CD55" s="561">
        <v>0</v>
      </c>
      <c r="CE55" s="561">
        <v>0</v>
      </c>
      <c r="CF55" s="561">
        <v>0</v>
      </c>
      <c r="CG55" s="561">
        <v>0</v>
      </c>
      <c r="CH55" s="561">
        <v>0</v>
      </c>
      <c r="CI55" s="561">
        <v>0</v>
      </c>
      <c r="CJ55" s="561">
        <v>0</v>
      </c>
      <c r="CK55" s="561">
        <v>0</v>
      </c>
      <c r="CL55" s="561">
        <v>0</v>
      </c>
      <c r="CM55" s="561">
        <v>0</v>
      </c>
      <c r="CN55" s="561">
        <v>0</v>
      </c>
      <c r="CO55" s="561">
        <v>0</v>
      </c>
      <c r="CP55" s="561">
        <v>0</v>
      </c>
      <c r="CQ55" s="561">
        <v>0</v>
      </c>
      <c r="CR55" s="561">
        <v>0</v>
      </c>
      <c r="CS55" s="561">
        <v>0</v>
      </c>
      <c r="CT55" s="561">
        <v>0</v>
      </c>
      <c r="CU55" s="561">
        <v>0</v>
      </c>
      <c r="CV55" s="561">
        <v>0</v>
      </c>
      <c r="CW55" s="561">
        <v>0</v>
      </c>
      <c r="CX55" s="561">
        <v>0</v>
      </c>
      <c r="CY55" s="561">
        <v>0</v>
      </c>
      <c r="CZ55" s="561">
        <v>0</v>
      </c>
      <c r="DA55" s="561">
        <v>0</v>
      </c>
      <c r="DB55" s="561">
        <v>0</v>
      </c>
      <c r="DC55" s="507">
        <v>0</v>
      </c>
      <c r="DD55" s="507">
        <v>0</v>
      </c>
      <c r="DE55" s="507">
        <v>0</v>
      </c>
      <c r="DF55" s="507">
        <v>0</v>
      </c>
      <c r="DG55" s="507">
        <v>0</v>
      </c>
    </row>
    <row r="56" spans="1:111" ht="17.25" customHeight="1">
      <c r="A56" s="509"/>
      <c r="B56" s="510"/>
      <c r="C56" s="589"/>
      <c r="D56" s="589"/>
      <c r="E56" s="589"/>
      <c r="F56" s="590"/>
      <c r="G56" s="589"/>
      <c r="H56" s="591"/>
      <c r="I56" s="589"/>
      <c r="J56" s="589"/>
      <c r="K56" s="589"/>
      <c r="L56" s="589"/>
      <c r="M56" s="590"/>
      <c r="N56" s="589"/>
      <c r="O56" s="589"/>
      <c r="P56" s="589"/>
      <c r="Q56" s="589"/>
      <c r="R56" s="589"/>
      <c r="S56" s="589"/>
      <c r="T56" s="589"/>
      <c r="U56" s="589"/>
      <c r="V56" s="589"/>
      <c r="W56" s="589"/>
      <c r="X56" s="589"/>
      <c r="Y56" s="589"/>
      <c r="Z56" s="589"/>
      <c r="AA56" s="589"/>
      <c r="AB56" s="589"/>
      <c r="AC56" s="589"/>
      <c r="AD56" s="591"/>
      <c r="AE56" s="589"/>
      <c r="AF56" s="589"/>
      <c r="AG56" s="589"/>
      <c r="AH56" s="589"/>
      <c r="AI56" s="589"/>
      <c r="AJ56" s="589"/>
      <c r="AK56" s="589"/>
      <c r="AL56" s="589"/>
      <c r="AM56" s="589"/>
      <c r="AN56" s="589"/>
      <c r="AO56" s="591"/>
      <c r="AP56" s="589"/>
      <c r="AQ56" s="589"/>
      <c r="AR56" s="589"/>
      <c r="AS56" s="589"/>
      <c r="AT56" s="589"/>
      <c r="AU56" s="589"/>
      <c r="AV56" s="589"/>
      <c r="AW56" s="589"/>
      <c r="AX56" s="589"/>
      <c r="AY56" s="589"/>
      <c r="AZ56" s="589"/>
      <c r="BA56" s="589"/>
      <c r="BB56" s="589"/>
      <c r="BC56" s="589"/>
      <c r="BD56" s="589"/>
      <c r="BE56" s="589"/>
      <c r="BF56" s="589"/>
      <c r="BG56" s="589"/>
      <c r="BH56" s="589"/>
      <c r="BI56" s="589"/>
      <c r="BJ56" s="589"/>
      <c r="BK56" s="589"/>
      <c r="BL56" s="589"/>
      <c r="BM56" s="589"/>
      <c r="BN56" s="589"/>
      <c r="BO56" s="589"/>
      <c r="BP56" s="589"/>
      <c r="BQ56" s="589"/>
      <c r="BR56" s="589"/>
      <c r="BS56" s="589"/>
      <c r="BT56" s="589"/>
      <c r="BU56" s="589"/>
      <c r="BV56" s="589"/>
      <c r="BW56" s="589"/>
      <c r="BX56" s="589"/>
      <c r="BY56" s="589"/>
      <c r="BZ56" s="589"/>
      <c r="CA56" s="589"/>
      <c r="CB56" s="589"/>
      <c r="CC56" s="589"/>
      <c r="CD56" s="589"/>
      <c r="CE56" s="589"/>
      <c r="CF56" s="589"/>
      <c r="CG56" s="589"/>
      <c r="CH56" s="589"/>
      <c r="CI56" s="589"/>
      <c r="CJ56" s="589"/>
      <c r="CK56" s="589"/>
      <c r="CL56" s="589"/>
      <c r="CM56" s="589"/>
      <c r="CN56" s="589"/>
      <c r="CO56" s="589"/>
      <c r="CP56" s="589"/>
      <c r="CQ56" s="589"/>
      <c r="CR56" s="589"/>
      <c r="CS56" s="589"/>
      <c r="CT56" s="589"/>
      <c r="CU56" s="589"/>
      <c r="CV56" s="589"/>
      <c r="CW56" s="589"/>
      <c r="CX56" s="589"/>
      <c r="CY56" s="589"/>
      <c r="CZ56" s="589"/>
      <c r="DA56" s="589"/>
      <c r="DB56" s="589"/>
      <c r="DC56" s="592"/>
      <c r="DD56" s="592"/>
      <c r="DE56" s="592"/>
      <c r="DF56" s="592"/>
      <c r="DG56" s="592"/>
    </row>
    <row r="57" spans="1:111" ht="17.25" customHeight="1">
      <c r="A57" s="505" t="s">
        <v>452</v>
      </c>
      <c r="B57" s="506" t="s">
        <v>453</v>
      </c>
      <c r="C57" s="561">
        <v>891.35879009391408</v>
      </c>
      <c r="D57" s="561">
        <v>1056.6444186864851</v>
      </c>
      <c r="E57" s="561">
        <v>1158.75802318</v>
      </c>
      <c r="F57" s="562">
        <v>1086.6292414476395</v>
      </c>
      <c r="G57" s="561">
        <v>967.26766692499996</v>
      </c>
      <c r="H57" s="563">
        <v>1111.8506255886421</v>
      </c>
      <c r="I57" s="561">
        <v>1124.622755951448</v>
      </c>
      <c r="J57" s="561">
        <v>1191.480365989948</v>
      </c>
      <c r="K57" s="561">
        <v>1140.9455455459999</v>
      </c>
      <c r="L57" s="561">
        <v>1132.6946277009999</v>
      </c>
      <c r="M57" s="562">
        <v>1113.4447654485</v>
      </c>
      <c r="N57" s="561">
        <v>1125.0054386205002</v>
      </c>
      <c r="O57" s="561">
        <v>1229.1590331405</v>
      </c>
      <c r="P57" s="561">
        <v>1177.2870235265</v>
      </c>
      <c r="Q57" s="561">
        <v>1182.9898558324999</v>
      </c>
      <c r="R57" s="561">
        <v>1326.7256466439999</v>
      </c>
      <c r="S57" s="561">
        <v>1292.9238102814998</v>
      </c>
      <c r="T57" s="561">
        <v>1433.7317101196199</v>
      </c>
      <c r="U57" s="561">
        <v>1584.08788983912</v>
      </c>
      <c r="V57" s="561">
        <v>1486.6276016524998</v>
      </c>
      <c r="W57" s="561">
        <v>1642.3429488849999</v>
      </c>
      <c r="X57" s="561">
        <v>1640.1107075129801</v>
      </c>
      <c r="Y57" s="561">
        <v>1667.2221774669799</v>
      </c>
      <c r="Z57" s="561">
        <v>1624.05511082098</v>
      </c>
      <c r="AA57" s="561">
        <v>1702.3415527300906</v>
      </c>
      <c r="AB57" s="561">
        <v>1606.3475032285905</v>
      </c>
      <c r="AC57" s="561">
        <v>1561.5875893340906</v>
      </c>
      <c r="AD57" s="563">
        <v>1311.6753959525904</v>
      </c>
      <c r="AE57" s="561">
        <v>1741.8663082955904</v>
      </c>
      <c r="AF57" s="561">
        <v>1745.2177034935903</v>
      </c>
      <c r="AG57" s="561">
        <v>1851.5591559996453</v>
      </c>
      <c r="AH57" s="561">
        <v>1814.6409855175905</v>
      </c>
      <c r="AI57" s="561">
        <v>1834.7077459575905</v>
      </c>
      <c r="AJ57" s="561">
        <v>2468.4967463275898</v>
      </c>
      <c r="AK57" s="561">
        <v>2065.5728040775903</v>
      </c>
      <c r="AL57" s="561">
        <v>2118.08298988359</v>
      </c>
      <c r="AM57" s="561">
        <v>2356.7266610695906</v>
      </c>
      <c r="AN57" s="561">
        <v>2517.4301139292575</v>
      </c>
      <c r="AO57" s="563">
        <v>2504.634861189676</v>
      </c>
      <c r="AP57" s="561">
        <v>1670.6080352144379</v>
      </c>
      <c r="AQ57" s="561">
        <v>2283.0656909756162</v>
      </c>
      <c r="AR57" s="561">
        <v>2338.2046043194809</v>
      </c>
      <c r="AS57" s="561">
        <v>2500.7951737056005</v>
      </c>
      <c r="AT57" s="561">
        <v>2067.0200821982039</v>
      </c>
      <c r="AU57" s="561">
        <v>1985.5267380817274</v>
      </c>
      <c r="AV57" s="561">
        <v>1958.222188145302</v>
      </c>
      <c r="AW57" s="561">
        <v>1739.0725486236402</v>
      </c>
      <c r="AX57" s="561">
        <v>2086.2398911419978</v>
      </c>
      <c r="AY57" s="561">
        <v>1966.2225810299046</v>
      </c>
      <c r="AZ57" s="561">
        <v>2065.7705058235201</v>
      </c>
      <c r="BA57" s="561">
        <v>2291.2809189627801</v>
      </c>
      <c r="BB57" s="561">
        <v>2194.5915879431468</v>
      </c>
      <c r="BC57" s="561">
        <v>2113.4433298469066</v>
      </c>
      <c r="BD57" s="561">
        <v>2204.4877657222801</v>
      </c>
      <c r="BE57" s="561">
        <v>2544.1701566703186</v>
      </c>
      <c r="BF57" s="561">
        <v>2186.5850390262299</v>
      </c>
      <c r="BG57" s="561">
        <v>2456.5831875153217</v>
      </c>
      <c r="BH57" s="561">
        <v>2322.2693984811963</v>
      </c>
      <c r="BI57" s="561">
        <v>2283.3411049299971</v>
      </c>
      <c r="BJ57" s="561">
        <v>2316.6023048998081</v>
      </c>
      <c r="BK57" s="561">
        <v>2287.1737271594334</v>
      </c>
      <c r="BL57" s="561">
        <v>2031.2591319000896</v>
      </c>
      <c r="BM57" s="561">
        <v>2118.5751699216785</v>
      </c>
      <c r="BN57" s="561">
        <v>2210.3343395579368</v>
      </c>
      <c r="BO57" s="561">
        <v>2281.0785568304218</v>
      </c>
      <c r="BP57" s="561">
        <v>2367.8216701584124</v>
      </c>
      <c r="BQ57" s="561">
        <v>2723.4212127161873</v>
      </c>
      <c r="BR57" s="561">
        <v>3073.157670896876</v>
      </c>
      <c r="BS57" s="561">
        <v>2798.7447851538477</v>
      </c>
      <c r="BT57" s="561">
        <v>2903.8027931403512</v>
      </c>
      <c r="BU57" s="561">
        <v>2717.3919754314634</v>
      </c>
      <c r="BV57" s="561">
        <v>2678.3350992798705</v>
      </c>
      <c r="BW57" s="561">
        <v>2807.6900941949316</v>
      </c>
      <c r="BX57" s="561">
        <v>2567.8376008955152</v>
      </c>
      <c r="BY57" s="561">
        <v>2804.8420222062914</v>
      </c>
      <c r="BZ57" s="561">
        <v>2844.5071644991381</v>
      </c>
      <c r="CA57" s="561">
        <v>2762.0802606086777</v>
      </c>
      <c r="CB57" s="561">
        <v>2796.6664857050978</v>
      </c>
      <c r="CC57" s="561">
        <v>2735.8967098230173</v>
      </c>
      <c r="CD57" s="561">
        <v>2587.6788835863081</v>
      </c>
      <c r="CE57" s="561">
        <v>2629.3334894062832</v>
      </c>
      <c r="CF57" s="561">
        <v>2750.3072407302038</v>
      </c>
      <c r="CG57" s="561">
        <v>2892.2392977884115</v>
      </c>
      <c r="CH57" s="561">
        <v>2906.5607721494134</v>
      </c>
      <c r="CI57" s="561">
        <v>3312.3490275801146</v>
      </c>
      <c r="CJ57" s="561">
        <v>2817.883483439362</v>
      </c>
      <c r="CK57" s="561">
        <v>2824.4790978445421</v>
      </c>
      <c r="CL57" s="561">
        <v>2832.3865179143809</v>
      </c>
      <c r="CM57" s="561">
        <v>2923.7781526369117</v>
      </c>
      <c r="CN57" s="561">
        <v>3087.4127122676114</v>
      </c>
      <c r="CO57" s="561">
        <v>3449.5619082307662</v>
      </c>
      <c r="CP57" s="561">
        <v>2782.2019880259013</v>
      </c>
      <c r="CQ57" s="561">
        <v>4125.6032053961171</v>
      </c>
      <c r="CR57" s="561">
        <v>4251.192082718956</v>
      </c>
      <c r="CS57" s="561">
        <v>4297.5289400941201</v>
      </c>
      <c r="CT57" s="561">
        <v>4446.2813552762918</v>
      </c>
      <c r="CU57" s="561">
        <v>4710.9706972870172</v>
      </c>
      <c r="CV57" s="561">
        <v>4817.1430745320722</v>
      </c>
      <c r="CW57" s="561">
        <v>4927.3519358970516</v>
      </c>
      <c r="CX57" s="561">
        <v>5020.4998474367076</v>
      </c>
      <c r="CY57" s="561">
        <v>4801.2382869823095</v>
      </c>
      <c r="CZ57" s="561">
        <v>4692.9763049744743</v>
      </c>
      <c r="DA57" s="561">
        <v>5210.7579812143949</v>
      </c>
      <c r="DB57" s="561">
        <v>4783.0003253734376</v>
      </c>
      <c r="DC57" s="507">
        <v>4630.988600368496</v>
      </c>
      <c r="DD57" s="507">
        <v>4509.6959941900714</v>
      </c>
      <c r="DE57" s="507">
        <v>4711.7936753642362</v>
      </c>
      <c r="DF57" s="507">
        <v>4616.0012217394351</v>
      </c>
      <c r="DG57" s="507">
        <v>4878.9294011592719</v>
      </c>
    </row>
    <row r="58" spans="1:111" ht="17.25" customHeight="1">
      <c r="A58" s="509"/>
      <c r="B58" s="510"/>
      <c r="C58" s="589"/>
      <c r="D58" s="589"/>
      <c r="E58" s="589"/>
      <c r="F58" s="590"/>
      <c r="G58" s="589"/>
      <c r="H58" s="591"/>
      <c r="I58" s="589"/>
      <c r="J58" s="589"/>
      <c r="K58" s="589"/>
      <c r="L58" s="589"/>
      <c r="M58" s="590"/>
      <c r="N58" s="589"/>
      <c r="O58" s="589"/>
      <c r="P58" s="589"/>
      <c r="Q58" s="589"/>
      <c r="R58" s="589"/>
      <c r="S58" s="589"/>
      <c r="T58" s="589"/>
      <c r="U58" s="589"/>
      <c r="V58" s="589"/>
      <c r="W58" s="589"/>
      <c r="X58" s="589"/>
      <c r="Y58" s="589"/>
      <c r="Z58" s="589"/>
      <c r="AA58" s="589"/>
      <c r="AB58" s="589"/>
      <c r="AC58" s="589"/>
      <c r="AD58" s="591"/>
      <c r="AE58" s="589"/>
      <c r="AF58" s="589"/>
      <c r="AG58" s="589"/>
      <c r="AH58" s="589"/>
      <c r="AI58" s="589"/>
      <c r="AJ58" s="589"/>
      <c r="AK58" s="589"/>
      <c r="AL58" s="589"/>
      <c r="AM58" s="589"/>
      <c r="AN58" s="589"/>
      <c r="AO58" s="591"/>
      <c r="AP58" s="589"/>
      <c r="AQ58" s="589"/>
      <c r="AR58" s="589"/>
      <c r="AS58" s="589"/>
      <c r="AT58" s="589"/>
      <c r="AU58" s="589"/>
      <c r="AV58" s="589"/>
      <c r="AW58" s="589"/>
      <c r="AX58" s="589"/>
      <c r="AY58" s="589"/>
      <c r="AZ58" s="589"/>
      <c r="BA58" s="589"/>
      <c r="BB58" s="589"/>
      <c r="BC58" s="589"/>
      <c r="BD58" s="589"/>
      <c r="BE58" s="589"/>
      <c r="BF58" s="589"/>
      <c r="BG58" s="589"/>
      <c r="BH58" s="589"/>
      <c r="BI58" s="589"/>
      <c r="BJ58" s="589"/>
      <c r="BK58" s="589"/>
      <c r="BL58" s="589"/>
      <c r="BM58" s="589"/>
      <c r="BN58" s="589"/>
      <c r="BO58" s="589"/>
      <c r="BP58" s="589"/>
      <c r="BQ58" s="589"/>
      <c r="BR58" s="589"/>
      <c r="BS58" s="589"/>
      <c r="BT58" s="589"/>
      <c r="BU58" s="589"/>
      <c r="BV58" s="589"/>
      <c r="BW58" s="589"/>
      <c r="BX58" s="589"/>
      <c r="BY58" s="589"/>
      <c r="BZ58" s="589"/>
      <c r="CA58" s="589"/>
      <c r="CB58" s="589"/>
      <c r="CC58" s="589"/>
      <c r="CD58" s="589"/>
      <c r="CE58" s="589"/>
      <c r="CF58" s="589"/>
      <c r="CG58" s="589"/>
      <c r="CH58" s="589"/>
      <c r="CI58" s="589"/>
      <c r="CJ58" s="589"/>
      <c r="CK58" s="589"/>
      <c r="CL58" s="589"/>
      <c r="CM58" s="589"/>
      <c r="CN58" s="589"/>
      <c r="CO58" s="589"/>
      <c r="CP58" s="589"/>
      <c r="CQ58" s="589"/>
      <c r="CR58" s="589"/>
      <c r="CS58" s="589"/>
      <c r="CT58" s="589"/>
      <c r="CU58" s="589"/>
      <c r="CV58" s="589"/>
      <c r="CW58" s="589"/>
      <c r="CX58" s="589"/>
      <c r="CY58" s="589"/>
      <c r="CZ58" s="589"/>
      <c r="DA58" s="589"/>
      <c r="DB58" s="589"/>
      <c r="DC58" s="592"/>
      <c r="DD58" s="592"/>
      <c r="DE58" s="592"/>
      <c r="DF58" s="592"/>
      <c r="DG58" s="592"/>
    </row>
    <row r="59" spans="1:111" ht="17.25" customHeight="1">
      <c r="A59" s="505" t="s">
        <v>454</v>
      </c>
      <c r="B59" s="506" t="s">
        <v>419</v>
      </c>
      <c r="C59" s="561">
        <v>4595.0087258302892</v>
      </c>
      <c r="D59" s="561">
        <v>4609.3744127777181</v>
      </c>
      <c r="E59" s="561">
        <v>4692.7880457399997</v>
      </c>
      <c r="F59" s="562">
        <v>4773.9488077465639</v>
      </c>
      <c r="G59" s="561">
        <v>4745.1555065601679</v>
      </c>
      <c r="H59" s="563">
        <v>4766.3887033161636</v>
      </c>
      <c r="I59" s="561">
        <v>4690.0757395018809</v>
      </c>
      <c r="J59" s="561">
        <v>4593.9624307005297</v>
      </c>
      <c r="K59" s="561">
        <v>4654.0875698799291</v>
      </c>
      <c r="L59" s="561">
        <v>4710.9445552029465</v>
      </c>
      <c r="M59" s="562">
        <v>4760.5647291373807</v>
      </c>
      <c r="N59" s="561">
        <v>4787.0487720594601</v>
      </c>
      <c r="O59" s="561">
        <v>4783.1985362094438</v>
      </c>
      <c r="P59" s="561">
        <v>4828.4114589847595</v>
      </c>
      <c r="Q59" s="561">
        <v>4848.8334460238329</v>
      </c>
      <c r="R59" s="561">
        <v>4854.7607335319008</v>
      </c>
      <c r="S59" s="561">
        <v>4879.8170035578978</v>
      </c>
      <c r="T59" s="561">
        <v>4934.8851155992115</v>
      </c>
      <c r="U59" s="561">
        <v>4833.4369213227928</v>
      </c>
      <c r="V59" s="561">
        <v>4847.8614720244641</v>
      </c>
      <c r="W59" s="561">
        <v>4967.4305936878773</v>
      </c>
      <c r="X59" s="561">
        <v>5005.2474888096085</v>
      </c>
      <c r="Y59" s="561">
        <v>5048.8829894577211</v>
      </c>
      <c r="Z59" s="561">
        <v>5126.6556069006519</v>
      </c>
      <c r="AA59" s="561">
        <v>5190.1198621269205</v>
      </c>
      <c r="AB59" s="561">
        <v>5249.2121219869487</v>
      </c>
      <c r="AC59" s="561">
        <v>5275.1536384711717</v>
      </c>
      <c r="AD59" s="563">
        <v>5042.9085763165513</v>
      </c>
      <c r="AE59" s="561">
        <v>5119.5384348554353</v>
      </c>
      <c r="AF59" s="561">
        <v>5181.9412282535768</v>
      </c>
      <c r="AG59" s="561">
        <v>5425.7411493928903</v>
      </c>
      <c r="AH59" s="561">
        <v>5514.200758857889</v>
      </c>
      <c r="AI59" s="561">
        <v>5503.952546142049</v>
      </c>
      <c r="AJ59" s="561">
        <v>5497.4509983470598</v>
      </c>
      <c r="AK59" s="561">
        <v>5480.2887766782815</v>
      </c>
      <c r="AL59" s="561">
        <v>5585.4211795521533</v>
      </c>
      <c r="AM59" s="561">
        <v>5968.0043967061001</v>
      </c>
      <c r="AN59" s="561">
        <v>6059.7477470495614</v>
      </c>
      <c r="AO59" s="563">
        <v>6205.411664003248</v>
      </c>
      <c r="AP59" s="561">
        <v>6279.3029064339435</v>
      </c>
      <c r="AQ59" s="561">
        <v>6550.3253858768412</v>
      </c>
      <c r="AR59" s="561">
        <v>6640.4076421884438</v>
      </c>
      <c r="AS59" s="561">
        <v>6713.5613489597399</v>
      </c>
      <c r="AT59" s="561">
        <v>6764.4671169502817</v>
      </c>
      <c r="AU59" s="561">
        <v>6832.6088324730372</v>
      </c>
      <c r="AV59" s="561">
        <v>6872.1391006246376</v>
      </c>
      <c r="AW59" s="561">
        <v>7045.8343213686276</v>
      </c>
      <c r="AX59" s="561">
        <v>7053.2956501755962</v>
      </c>
      <c r="AY59" s="561">
        <v>7052.937620533502</v>
      </c>
      <c r="AZ59" s="561">
        <v>7225.7446839094137</v>
      </c>
      <c r="BA59" s="561">
        <v>7283.819643102509</v>
      </c>
      <c r="BB59" s="561">
        <v>7204.6304832468122</v>
      </c>
      <c r="BC59" s="561">
        <v>7395.2177491518532</v>
      </c>
      <c r="BD59" s="561">
        <v>7451.9794502169725</v>
      </c>
      <c r="BE59" s="561">
        <v>7196.1949916831391</v>
      </c>
      <c r="BF59" s="561">
        <v>7268.8023395574919</v>
      </c>
      <c r="BG59" s="561">
        <v>7095.3782834436588</v>
      </c>
      <c r="BH59" s="561">
        <v>7033.239279663806</v>
      </c>
      <c r="BI59" s="561">
        <v>7252.6787740008285</v>
      </c>
      <c r="BJ59" s="561">
        <v>7356.6344485515501</v>
      </c>
      <c r="BK59" s="561">
        <v>7074.7659786496952</v>
      </c>
      <c r="BL59" s="561">
        <v>7226.9561729135667</v>
      </c>
      <c r="BM59" s="561">
        <v>7319.1501627818125</v>
      </c>
      <c r="BN59" s="561">
        <v>7291.816722365118</v>
      </c>
      <c r="BO59" s="561">
        <v>7355.5536276228386</v>
      </c>
      <c r="BP59" s="561">
        <v>7439.1176229554085</v>
      </c>
      <c r="BQ59" s="561">
        <v>7503.6335631335805</v>
      </c>
      <c r="BR59" s="561">
        <v>7323.924223489038</v>
      </c>
      <c r="BS59" s="561">
        <v>7663.3344905583926</v>
      </c>
      <c r="BT59" s="561">
        <v>7634.8313620263671</v>
      </c>
      <c r="BU59" s="561">
        <v>7720.5028523599058</v>
      </c>
      <c r="BV59" s="561">
        <v>7813.3927577451032</v>
      </c>
      <c r="BW59" s="561">
        <v>7905.3333700187086</v>
      </c>
      <c r="BX59" s="561">
        <v>8078.4566388464409</v>
      </c>
      <c r="BY59" s="561">
        <v>8056.3380960193936</v>
      </c>
      <c r="BZ59" s="561">
        <v>8194.9144985753701</v>
      </c>
      <c r="CA59" s="561">
        <v>8292.6827569259858</v>
      </c>
      <c r="CB59" s="561">
        <v>8366.1319376420033</v>
      </c>
      <c r="CC59" s="561">
        <v>8031.3620628897206</v>
      </c>
      <c r="CD59" s="561">
        <v>8114.7079429804971</v>
      </c>
      <c r="CE59" s="561">
        <v>8152.4708362769288</v>
      </c>
      <c r="CF59" s="561">
        <v>7911.351301286305</v>
      </c>
      <c r="CG59" s="561">
        <v>7994.3139716646847</v>
      </c>
      <c r="CH59" s="561">
        <v>7634.5801462454101</v>
      </c>
      <c r="CI59" s="561">
        <v>7768.6888221236804</v>
      </c>
      <c r="CJ59" s="561">
        <v>8009.7081533126593</v>
      </c>
      <c r="CK59" s="561">
        <v>8135.9817527655086</v>
      </c>
      <c r="CL59" s="561">
        <v>8159.7078939419744</v>
      </c>
      <c r="CM59" s="561">
        <v>8335.9774665411933</v>
      </c>
      <c r="CN59" s="561">
        <v>8475.21476407314</v>
      </c>
      <c r="CO59" s="561">
        <v>8564.6252360980416</v>
      </c>
      <c r="CP59" s="561">
        <v>8710.5449322980803</v>
      </c>
      <c r="CQ59" s="561">
        <v>8825.960865222436</v>
      </c>
      <c r="CR59" s="561">
        <v>8817.4838603603439</v>
      </c>
      <c r="CS59" s="561">
        <v>8900.1231851066786</v>
      </c>
      <c r="CT59" s="561">
        <v>9031.4316386669816</v>
      </c>
      <c r="CU59" s="561">
        <v>9125.6648297242173</v>
      </c>
      <c r="CV59" s="561">
        <v>9325.7448180481715</v>
      </c>
      <c r="CW59" s="561">
        <v>9462.2711494100477</v>
      </c>
      <c r="CX59" s="561">
        <v>9369.2483138895022</v>
      </c>
      <c r="CY59" s="561">
        <v>9536.2711919294725</v>
      </c>
      <c r="CZ59" s="561">
        <v>9695.877476898344</v>
      </c>
      <c r="DA59" s="561">
        <v>9816.4101902208859</v>
      </c>
      <c r="DB59" s="561">
        <v>9743.2932996068885</v>
      </c>
      <c r="DC59" s="507">
        <v>10104.212646211103</v>
      </c>
      <c r="DD59" s="507">
        <v>10110.571637897903</v>
      </c>
      <c r="DE59" s="507">
        <v>10205.576032899595</v>
      </c>
      <c r="DF59" s="507">
        <v>10364.472421348144</v>
      </c>
      <c r="DG59" s="507">
        <v>10496.064836905789</v>
      </c>
    </row>
    <row r="60" spans="1:111" ht="17.25" customHeight="1">
      <c r="A60" s="509"/>
      <c r="B60" s="510"/>
      <c r="C60" s="530"/>
      <c r="D60" s="530"/>
      <c r="E60" s="530"/>
      <c r="F60" s="569"/>
      <c r="G60" s="530"/>
      <c r="H60" s="570"/>
      <c r="I60" s="530"/>
      <c r="J60" s="530"/>
      <c r="K60" s="530"/>
      <c r="L60" s="530"/>
      <c r="M60" s="569"/>
      <c r="N60" s="530"/>
      <c r="O60" s="530"/>
      <c r="P60" s="530"/>
      <c r="Q60" s="530"/>
      <c r="R60" s="530"/>
      <c r="S60" s="530"/>
      <c r="T60" s="530"/>
      <c r="U60" s="530"/>
      <c r="V60" s="530"/>
      <c r="W60" s="530"/>
      <c r="X60" s="530"/>
      <c r="Y60" s="530"/>
      <c r="Z60" s="530"/>
      <c r="AA60" s="530"/>
      <c r="AB60" s="530"/>
      <c r="AC60" s="530"/>
      <c r="AD60" s="570"/>
      <c r="AE60" s="530"/>
      <c r="AF60" s="530"/>
      <c r="AG60" s="530"/>
      <c r="AH60" s="530"/>
      <c r="AI60" s="530"/>
      <c r="AJ60" s="530"/>
      <c r="AK60" s="530"/>
      <c r="AL60" s="530"/>
      <c r="AM60" s="530"/>
      <c r="AN60" s="530"/>
      <c r="AO60" s="570"/>
      <c r="AP60" s="530"/>
      <c r="AQ60" s="530"/>
      <c r="AR60" s="530"/>
      <c r="AS60" s="530"/>
      <c r="AT60" s="530"/>
      <c r="AU60" s="530"/>
      <c r="AV60" s="530"/>
      <c r="AW60" s="530"/>
      <c r="AX60" s="530"/>
      <c r="AY60" s="530"/>
      <c r="AZ60" s="530"/>
      <c r="BA60" s="530"/>
      <c r="BB60" s="530"/>
      <c r="BC60" s="530"/>
      <c r="BD60" s="530"/>
      <c r="BE60" s="530"/>
      <c r="BF60" s="530"/>
      <c r="BG60" s="530"/>
      <c r="BH60" s="530"/>
      <c r="BI60" s="530"/>
      <c r="BJ60" s="530"/>
      <c r="BK60" s="530"/>
      <c r="BL60" s="530"/>
      <c r="BM60" s="530"/>
      <c r="BN60" s="530"/>
      <c r="BO60" s="530"/>
      <c r="BP60" s="530"/>
      <c r="BQ60" s="530"/>
      <c r="BR60" s="530"/>
      <c r="BS60" s="530"/>
      <c r="BT60" s="530"/>
      <c r="BU60" s="530"/>
      <c r="BV60" s="530"/>
      <c r="BW60" s="530"/>
      <c r="BX60" s="530"/>
      <c r="BY60" s="530"/>
      <c r="BZ60" s="530"/>
      <c r="CA60" s="530"/>
      <c r="CB60" s="530"/>
      <c r="CC60" s="530"/>
      <c r="CD60" s="530"/>
      <c r="CE60" s="530"/>
      <c r="CF60" s="530"/>
      <c r="CG60" s="530"/>
      <c r="CH60" s="530"/>
      <c r="CI60" s="530"/>
      <c r="CJ60" s="530"/>
      <c r="CK60" s="530"/>
      <c r="CL60" s="530"/>
      <c r="CM60" s="530"/>
      <c r="CN60" s="530"/>
      <c r="CO60" s="530"/>
      <c r="CP60" s="530"/>
      <c r="CQ60" s="530"/>
      <c r="CR60" s="530"/>
      <c r="CS60" s="530"/>
      <c r="CT60" s="530"/>
      <c r="CU60" s="530"/>
      <c r="CV60" s="530"/>
      <c r="CW60" s="530"/>
      <c r="CX60" s="530"/>
      <c r="CY60" s="530"/>
      <c r="CZ60" s="530"/>
      <c r="DA60" s="530"/>
      <c r="DB60" s="530"/>
      <c r="DC60" s="512"/>
      <c r="DD60" s="512"/>
      <c r="DE60" s="512"/>
      <c r="DF60" s="512"/>
      <c r="DG60" s="512"/>
    </row>
    <row r="61" spans="1:111" ht="17.25" customHeight="1">
      <c r="A61" s="505"/>
      <c r="B61" s="506" t="s">
        <v>455</v>
      </c>
      <c r="C61" s="561">
        <v>25474.471451395435</v>
      </c>
      <c r="D61" s="561">
        <v>26072.063895684201</v>
      </c>
      <c r="E61" s="561">
        <v>26415.344452919999</v>
      </c>
      <c r="F61" s="562">
        <v>26856.415235024204</v>
      </c>
      <c r="G61" s="561">
        <v>27494.964101177593</v>
      </c>
      <c r="H61" s="563">
        <v>27955.940532792596</v>
      </c>
      <c r="I61" s="561">
        <v>28194.361602293327</v>
      </c>
      <c r="J61" s="561">
        <v>28336.892915349792</v>
      </c>
      <c r="K61" s="561">
        <v>28563.364929485935</v>
      </c>
      <c r="L61" s="561">
        <v>28740.361376723948</v>
      </c>
      <c r="M61" s="562">
        <v>29096.352207255884</v>
      </c>
      <c r="N61" s="561">
        <v>29423.313250309962</v>
      </c>
      <c r="O61" s="561">
        <v>29904.420293369942</v>
      </c>
      <c r="P61" s="561">
        <v>30192.423819521264</v>
      </c>
      <c r="Q61" s="561">
        <v>30534.515536923249</v>
      </c>
      <c r="R61" s="561">
        <v>30645.306166036931</v>
      </c>
      <c r="S61" s="561">
        <v>30723.142805009404</v>
      </c>
      <c r="T61" s="561">
        <v>30582.685570265083</v>
      </c>
      <c r="U61" s="561">
        <v>31026.051213552913</v>
      </c>
      <c r="V61" s="561">
        <v>31204.967849636967</v>
      </c>
      <c r="W61" s="561">
        <v>31436.788752572884</v>
      </c>
      <c r="X61" s="561">
        <v>31766.227604989104</v>
      </c>
      <c r="Y61" s="561">
        <v>32105.986535472326</v>
      </c>
      <c r="Z61" s="561">
        <v>32381.205792838246</v>
      </c>
      <c r="AA61" s="561">
        <v>32750.688683894688</v>
      </c>
      <c r="AB61" s="561">
        <v>33028.06547089458</v>
      </c>
      <c r="AC61" s="561">
        <v>33597.285546806248</v>
      </c>
      <c r="AD61" s="563">
        <v>33479.612832110324</v>
      </c>
      <c r="AE61" s="561">
        <v>33528.234725332208</v>
      </c>
      <c r="AF61" s="561">
        <v>33945.25242310921</v>
      </c>
      <c r="AG61" s="561">
        <v>34531.168337755749</v>
      </c>
      <c r="AH61" s="561">
        <v>35377.395748930096</v>
      </c>
      <c r="AI61" s="561">
        <v>35546.314184447794</v>
      </c>
      <c r="AJ61" s="561">
        <v>36611.780369795364</v>
      </c>
      <c r="AK61" s="561">
        <v>36437.036160879419</v>
      </c>
      <c r="AL61" s="561">
        <v>36579.440659070511</v>
      </c>
      <c r="AM61" s="561">
        <v>37142.506880988556</v>
      </c>
      <c r="AN61" s="561">
        <v>37843.823665280754</v>
      </c>
      <c r="AO61" s="563">
        <v>38957.022858502925</v>
      </c>
      <c r="AP61" s="561">
        <v>39246.418509886862</v>
      </c>
      <c r="AQ61" s="561">
        <v>41293.583773737446</v>
      </c>
      <c r="AR61" s="561">
        <v>41489.263434951557</v>
      </c>
      <c r="AS61" s="561">
        <v>41558.040422224731</v>
      </c>
      <c r="AT61" s="561">
        <v>41583.506601367233</v>
      </c>
      <c r="AU61" s="561">
        <v>41724.410902765681</v>
      </c>
      <c r="AV61" s="561">
        <v>41930.542897229068</v>
      </c>
      <c r="AW61" s="561">
        <v>42394.904265790479</v>
      </c>
      <c r="AX61" s="561">
        <v>42837.910244615814</v>
      </c>
      <c r="AY61" s="561">
        <v>42727.796492423404</v>
      </c>
      <c r="AZ61" s="561">
        <v>43656.6473520117</v>
      </c>
      <c r="BA61" s="561">
        <v>44566.275999392819</v>
      </c>
      <c r="BB61" s="561">
        <v>44600.121653329959</v>
      </c>
      <c r="BC61" s="561">
        <v>44849.659281448767</v>
      </c>
      <c r="BD61" s="561">
        <v>44964.778968119259</v>
      </c>
      <c r="BE61" s="561">
        <v>44265.953943303459</v>
      </c>
      <c r="BF61" s="561">
        <v>44213.112024193724</v>
      </c>
      <c r="BG61" s="561">
        <v>44416.633551558982</v>
      </c>
      <c r="BH61" s="561">
        <v>44552.782204115014</v>
      </c>
      <c r="BI61" s="561">
        <v>45009.054431410827</v>
      </c>
      <c r="BJ61" s="561">
        <v>45312.920665760117</v>
      </c>
      <c r="BK61" s="561">
        <v>43235.787246349129</v>
      </c>
      <c r="BL61" s="561">
        <v>43097.493635653664</v>
      </c>
      <c r="BM61" s="561">
        <v>43203.774808233495</v>
      </c>
      <c r="BN61" s="561">
        <v>43661.834296991954</v>
      </c>
      <c r="BO61" s="561">
        <v>43974.956510773256</v>
      </c>
      <c r="BP61" s="561">
        <v>44381.176624370994</v>
      </c>
      <c r="BQ61" s="561">
        <v>44497.792306220872</v>
      </c>
      <c r="BR61" s="561">
        <v>44816.576910465919</v>
      </c>
      <c r="BS61" s="561">
        <v>45160.287153902238</v>
      </c>
      <c r="BT61" s="561">
        <v>45783.010751153786</v>
      </c>
      <c r="BU61" s="561">
        <v>46501.674701855991</v>
      </c>
      <c r="BV61" s="561">
        <v>47074.090090173944</v>
      </c>
      <c r="BW61" s="561">
        <v>47894.003678153691</v>
      </c>
      <c r="BX61" s="561">
        <v>47942.826129506633</v>
      </c>
      <c r="BY61" s="561">
        <v>48371.125310600342</v>
      </c>
      <c r="BZ61" s="561">
        <v>48916.095699009165</v>
      </c>
      <c r="CA61" s="561">
        <v>49255.747113939324</v>
      </c>
      <c r="CB61" s="561">
        <v>49659.18436171177</v>
      </c>
      <c r="CC61" s="561">
        <v>48698.191211594225</v>
      </c>
      <c r="CD61" s="561">
        <v>48761.357791491457</v>
      </c>
      <c r="CE61" s="561">
        <v>49222.68606444788</v>
      </c>
      <c r="CF61" s="561">
        <v>49905.491819543342</v>
      </c>
      <c r="CG61" s="561">
        <v>50217.162324114026</v>
      </c>
      <c r="CH61" s="561">
        <v>46912.906296941721</v>
      </c>
      <c r="CI61" s="561">
        <v>47409.792134913303</v>
      </c>
      <c r="CJ61" s="561">
        <v>47875.192852699918</v>
      </c>
      <c r="CK61" s="561">
        <v>48388.659543081478</v>
      </c>
      <c r="CL61" s="561">
        <v>48971.714601216074</v>
      </c>
      <c r="CM61" s="561">
        <v>49487.197196966634</v>
      </c>
      <c r="CN61" s="561">
        <v>49783.066297619967</v>
      </c>
      <c r="CO61" s="561">
        <v>50852.368546052159</v>
      </c>
      <c r="CP61" s="561">
        <v>51434.678698228876</v>
      </c>
      <c r="CQ61" s="561">
        <v>53196.983414472481</v>
      </c>
      <c r="CR61" s="561">
        <v>53885.432490609091</v>
      </c>
      <c r="CS61" s="561">
        <v>53522.373320540595</v>
      </c>
      <c r="CT61" s="561">
        <v>53888.2107806731</v>
      </c>
      <c r="CU61" s="561">
        <v>54959.28129971445</v>
      </c>
      <c r="CV61" s="561">
        <v>54870.586194286108</v>
      </c>
      <c r="CW61" s="561">
        <v>55943.655789739103</v>
      </c>
      <c r="CX61" s="561">
        <v>56793.800618429115</v>
      </c>
      <c r="CY61" s="561">
        <v>57326.641862916513</v>
      </c>
      <c r="CZ61" s="561">
        <v>57678.576852817707</v>
      </c>
      <c r="DA61" s="561">
        <v>58472.529791763511</v>
      </c>
      <c r="DB61" s="561">
        <v>58061.340148388554</v>
      </c>
      <c r="DC61" s="507">
        <v>58439.562505703514</v>
      </c>
      <c r="DD61" s="507">
        <v>59188.973477353058</v>
      </c>
      <c r="DE61" s="507">
        <v>59922.185490349126</v>
      </c>
      <c r="DF61" s="507">
        <v>60473.288928725233</v>
      </c>
      <c r="DG61" s="507">
        <v>61496.319549418913</v>
      </c>
    </row>
    <row r="62" spans="1:111" ht="17.25" customHeight="1" thickBot="1">
      <c r="A62" s="533"/>
      <c r="B62" s="534"/>
      <c r="C62" s="537"/>
      <c r="D62" s="537"/>
      <c r="E62" s="537"/>
      <c r="F62" s="594"/>
      <c r="G62" s="537"/>
      <c r="H62" s="595"/>
      <c r="I62" s="537"/>
      <c r="J62" s="537"/>
      <c r="K62" s="537"/>
      <c r="L62" s="537"/>
      <c r="M62" s="594"/>
      <c r="N62" s="537"/>
      <c r="O62" s="537"/>
      <c r="P62" s="537"/>
      <c r="Q62" s="537"/>
      <c r="R62" s="537"/>
      <c r="S62" s="537"/>
      <c r="T62" s="537"/>
      <c r="U62" s="537"/>
      <c r="V62" s="537"/>
      <c r="W62" s="537"/>
      <c r="X62" s="537"/>
      <c r="Y62" s="537"/>
      <c r="Z62" s="537"/>
      <c r="AA62" s="537"/>
      <c r="AB62" s="537"/>
      <c r="AC62" s="537"/>
      <c r="AD62" s="595"/>
      <c r="AE62" s="537"/>
      <c r="AF62" s="537"/>
      <c r="AG62" s="537"/>
      <c r="AH62" s="537"/>
      <c r="AI62" s="537"/>
      <c r="AJ62" s="537"/>
      <c r="AK62" s="537"/>
      <c r="AL62" s="537"/>
      <c r="AM62" s="537"/>
      <c r="AN62" s="537"/>
      <c r="AO62" s="595"/>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5"/>
      <c r="DD62" s="535"/>
      <c r="DE62" s="535"/>
      <c r="DF62" s="535"/>
      <c r="DG62" s="535"/>
    </row>
    <row r="63" spans="1:111" ht="15.75" thickTop="1">
      <c r="A63" s="482" t="s">
        <v>240</v>
      </c>
      <c r="B63" s="455"/>
      <c r="C63" s="455"/>
      <c r="D63" s="455"/>
      <c r="E63" s="455"/>
      <c r="F63" s="455"/>
      <c r="G63" s="455"/>
      <c r="H63" s="455"/>
      <c r="I63" s="455"/>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row>
    <row r="64" spans="1:111" ht="12.75" customHeight="1">
      <c r="A64" s="482" t="s">
        <v>470</v>
      </c>
      <c r="B64" s="455"/>
      <c r="C64" s="455"/>
      <c r="D64" s="455"/>
      <c r="E64" s="455"/>
      <c r="F64" s="455"/>
      <c r="G64" s="455"/>
      <c r="H64" s="455"/>
      <c r="I64" s="455"/>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row>
    <row r="65" spans="1:36">
      <c r="A65" s="482" t="s">
        <v>180</v>
      </c>
      <c r="C65" s="455"/>
      <c r="D65" s="455"/>
      <c r="E65" s="455"/>
      <c r="F65" s="455"/>
      <c r="G65" s="455"/>
      <c r="H65" s="455"/>
      <c r="I65" s="455"/>
      <c r="J65" s="403"/>
      <c r="K65" s="403"/>
      <c r="L65" s="403"/>
      <c r="M65" s="403"/>
      <c r="N65" s="403"/>
      <c r="O65" s="403"/>
      <c r="P65" s="403"/>
      <c r="Q65" s="403"/>
      <c r="R65" s="403"/>
      <c r="S65" s="403"/>
      <c r="T65" s="403"/>
      <c r="U65" s="403"/>
      <c r="V65" s="403"/>
      <c r="W65" s="403"/>
      <c r="X65" s="403"/>
      <c r="Y65" s="403"/>
      <c r="Z65" s="403"/>
      <c r="AA65" s="403"/>
      <c r="AB65" s="403"/>
      <c r="AC65" s="403"/>
      <c r="AD65" s="403"/>
      <c r="AE65" s="403"/>
      <c r="AF65" s="403"/>
      <c r="AG65" s="403"/>
      <c r="AH65" s="403"/>
      <c r="AI65" s="403"/>
      <c r="AJ65" s="403"/>
    </row>
    <row r="66" spans="1:36">
      <c r="A66" s="482"/>
      <c r="B66" s="455"/>
      <c r="C66" s="455"/>
      <c r="D66" s="455"/>
      <c r="E66" s="455"/>
      <c r="F66" s="455"/>
      <c r="G66" s="455"/>
      <c r="H66" s="455"/>
      <c r="I66" s="455"/>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row>
    <row r="67" spans="1:36">
      <c r="A67" s="482"/>
      <c r="B67" s="455"/>
      <c r="C67" s="455"/>
      <c r="D67" s="455"/>
      <c r="E67" s="455"/>
      <c r="F67" s="455"/>
      <c r="G67" s="455"/>
      <c r="H67" s="455"/>
      <c r="I67" s="455"/>
      <c r="J67" s="403"/>
      <c r="K67" s="403"/>
      <c r="L67" s="403"/>
      <c r="M67" s="403"/>
      <c r="N67" s="403"/>
      <c r="O67" s="403"/>
      <c r="P67" s="403"/>
      <c r="Q67" s="403"/>
      <c r="R67" s="403"/>
      <c r="S67" s="403"/>
      <c r="T67" s="403"/>
      <c r="U67" s="403"/>
      <c r="V67" s="403"/>
      <c r="W67" s="403"/>
      <c r="X67" s="403"/>
      <c r="Y67" s="403"/>
      <c r="Z67" s="403"/>
      <c r="AA67" s="403"/>
      <c r="AB67" s="403"/>
      <c r="AC67" s="403"/>
      <c r="AD67" s="403"/>
      <c r="AE67" s="403"/>
      <c r="AF67" s="403"/>
      <c r="AG67" s="403"/>
      <c r="AH67" s="403"/>
      <c r="AI67" s="403"/>
      <c r="AJ67" s="403"/>
    </row>
    <row r="68" spans="1:36">
      <c r="A68" s="482"/>
      <c r="B68" s="455"/>
      <c r="C68" s="455"/>
      <c r="D68" s="455"/>
      <c r="E68" s="455"/>
      <c r="F68" s="455"/>
      <c r="G68" s="455"/>
      <c r="H68" s="455"/>
      <c r="I68" s="455"/>
      <c r="J68" s="403"/>
      <c r="K68" s="403"/>
      <c r="L68" s="403"/>
      <c r="M68" s="403"/>
      <c r="N68" s="403"/>
      <c r="O68" s="403"/>
      <c r="P68" s="403"/>
      <c r="Q68" s="403"/>
      <c r="R68" s="403"/>
      <c r="S68" s="403"/>
      <c r="T68" s="403"/>
      <c r="U68" s="403"/>
      <c r="V68" s="403"/>
      <c r="W68" s="403"/>
      <c r="X68" s="403"/>
      <c r="Y68" s="403"/>
      <c r="Z68" s="403"/>
      <c r="AA68" s="403"/>
      <c r="AB68" s="403"/>
      <c r="AC68" s="403"/>
      <c r="AD68" s="403"/>
      <c r="AE68" s="403"/>
      <c r="AF68" s="403"/>
      <c r="AG68" s="403"/>
      <c r="AH68" s="403"/>
      <c r="AI68" s="403"/>
      <c r="AJ68" s="403"/>
    </row>
    <row r="69" spans="1:36" hidden="1">
      <c r="A69" s="482"/>
      <c r="B69" s="455"/>
      <c r="C69" s="455"/>
      <c r="D69" s="455"/>
      <c r="E69" s="455"/>
      <c r="F69" s="455"/>
      <c r="G69" s="455"/>
      <c r="H69" s="455"/>
      <c r="I69" s="455"/>
      <c r="J69" s="403"/>
      <c r="K69" s="403"/>
      <c r="L69" s="403"/>
      <c r="M69" s="403"/>
      <c r="N69" s="403"/>
      <c r="O69" s="403"/>
      <c r="P69" s="403"/>
      <c r="Q69" s="403"/>
      <c r="R69" s="403"/>
      <c r="S69" s="403"/>
      <c r="T69" s="403"/>
      <c r="U69" s="403"/>
      <c r="V69" s="403"/>
      <c r="W69" s="403"/>
      <c r="X69" s="403"/>
      <c r="Y69" s="403"/>
      <c r="Z69" s="403"/>
      <c r="AA69" s="403"/>
      <c r="AB69" s="403"/>
      <c r="AC69" s="403"/>
      <c r="AD69" s="403"/>
      <c r="AE69" s="403"/>
      <c r="AF69" s="403"/>
      <c r="AG69" s="403"/>
      <c r="AH69" s="403"/>
      <c r="AI69" s="403"/>
      <c r="AJ69" s="403"/>
    </row>
    <row r="70" spans="1:36">
      <c r="A70" s="482"/>
      <c r="B70" s="455"/>
      <c r="C70" s="455"/>
      <c r="D70" s="455"/>
      <c r="E70" s="455"/>
      <c r="F70" s="455"/>
      <c r="G70" s="455"/>
      <c r="H70" s="455"/>
      <c r="I70" s="455"/>
      <c r="J70" s="403"/>
      <c r="K70" s="403"/>
      <c r="L70" s="403"/>
      <c r="M70" s="403"/>
      <c r="N70" s="403"/>
      <c r="O70" s="403"/>
      <c r="P70" s="403"/>
      <c r="Q70" s="403"/>
      <c r="R70" s="403"/>
      <c r="S70" s="403"/>
      <c r="T70" s="403"/>
      <c r="U70" s="403"/>
      <c r="V70" s="403"/>
      <c r="W70" s="403"/>
      <c r="X70" s="403"/>
      <c r="Y70" s="403"/>
      <c r="Z70" s="403"/>
      <c r="AA70" s="403"/>
      <c r="AB70" s="403"/>
      <c r="AC70" s="403"/>
      <c r="AD70" s="403"/>
      <c r="AE70" s="403"/>
      <c r="AF70" s="403"/>
      <c r="AG70" s="403"/>
      <c r="AH70" s="403"/>
      <c r="AI70" s="403"/>
      <c r="AJ70" s="403"/>
    </row>
    <row r="71" spans="1:36">
      <c r="A71" s="482"/>
      <c r="B71" s="455"/>
      <c r="C71" s="455"/>
      <c r="D71" s="455"/>
      <c r="E71" s="455"/>
      <c r="F71" s="455"/>
      <c r="G71" s="455"/>
      <c r="H71" s="455"/>
      <c r="I71" s="455"/>
      <c r="J71" s="403"/>
      <c r="K71" s="403"/>
      <c r="L71" s="403"/>
      <c r="M71" s="403"/>
      <c r="N71" s="403"/>
      <c r="O71" s="403"/>
      <c r="P71" s="403"/>
      <c r="Q71" s="403"/>
      <c r="R71" s="403"/>
      <c r="S71" s="403"/>
      <c r="T71" s="403"/>
      <c r="U71" s="403"/>
      <c r="V71" s="403"/>
      <c r="W71" s="403"/>
      <c r="X71" s="403"/>
      <c r="Y71" s="403"/>
      <c r="Z71" s="403"/>
      <c r="AA71" s="403"/>
      <c r="AB71" s="403"/>
      <c r="AC71" s="403"/>
      <c r="AD71" s="403"/>
      <c r="AE71" s="403"/>
      <c r="AF71" s="403"/>
      <c r="AG71" s="403"/>
      <c r="AH71" s="403"/>
      <c r="AI71" s="403"/>
      <c r="AJ71" s="403"/>
    </row>
    <row r="72" spans="1:36">
      <c r="A72" s="482"/>
      <c r="B72" s="455"/>
      <c r="C72" s="455"/>
      <c r="D72" s="455"/>
      <c r="E72" s="455"/>
      <c r="F72" s="455"/>
      <c r="G72" s="455"/>
      <c r="H72" s="455"/>
      <c r="I72" s="455"/>
      <c r="J72" s="403"/>
      <c r="K72" s="403"/>
      <c r="L72" s="403"/>
      <c r="M72" s="403"/>
      <c r="N72" s="403"/>
      <c r="O72" s="403"/>
      <c r="P72" s="403"/>
      <c r="Q72" s="403"/>
      <c r="R72" s="403"/>
      <c r="S72" s="403"/>
      <c r="T72" s="403"/>
      <c r="U72" s="403"/>
      <c r="V72" s="403"/>
      <c r="W72" s="403"/>
      <c r="X72" s="403"/>
      <c r="Y72" s="403"/>
      <c r="Z72" s="403"/>
      <c r="AA72" s="403"/>
      <c r="AB72" s="403"/>
      <c r="AC72" s="403"/>
      <c r="AD72" s="403"/>
      <c r="AE72" s="403"/>
      <c r="AF72" s="403"/>
      <c r="AG72" s="403"/>
      <c r="AH72" s="403"/>
      <c r="AI72" s="403"/>
      <c r="AJ72" s="403"/>
    </row>
    <row r="73" spans="1:36">
      <c r="A73" s="482"/>
      <c r="B73" s="455"/>
      <c r="C73" s="455"/>
      <c r="D73" s="455"/>
      <c r="E73" s="455"/>
      <c r="F73" s="455"/>
      <c r="G73" s="455"/>
      <c r="H73" s="455"/>
      <c r="I73" s="455"/>
      <c r="J73" s="403"/>
      <c r="K73" s="403"/>
      <c r="L73" s="403"/>
      <c r="M73" s="403"/>
      <c r="N73" s="403"/>
      <c r="O73" s="403"/>
      <c r="P73" s="403"/>
      <c r="Q73" s="403"/>
      <c r="R73" s="403"/>
      <c r="S73" s="403"/>
      <c r="T73" s="403"/>
      <c r="U73" s="403"/>
      <c r="V73" s="403"/>
      <c r="W73" s="403"/>
      <c r="X73" s="403"/>
      <c r="Y73" s="403"/>
      <c r="Z73" s="403"/>
      <c r="AA73" s="403"/>
      <c r="AB73" s="403"/>
      <c r="AC73" s="403"/>
      <c r="AD73" s="403"/>
      <c r="AE73" s="403"/>
      <c r="AF73" s="403"/>
      <c r="AG73" s="403"/>
      <c r="AH73" s="403"/>
      <c r="AI73" s="403"/>
      <c r="AJ73" s="403"/>
    </row>
    <row r="74" spans="1:36">
      <c r="A74" s="482"/>
      <c r="B74" s="455"/>
      <c r="C74" s="455"/>
      <c r="D74" s="455"/>
      <c r="E74" s="455"/>
      <c r="F74" s="455"/>
      <c r="G74" s="455"/>
      <c r="H74" s="455"/>
      <c r="I74" s="455"/>
      <c r="J74" s="403"/>
      <c r="K74" s="403"/>
      <c r="L74" s="403"/>
      <c r="M74" s="403"/>
      <c r="N74" s="403"/>
      <c r="O74" s="403"/>
      <c r="P74" s="403"/>
      <c r="Q74" s="403"/>
      <c r="R74" s="403"/>
      <c r="S74" s="403"/>
      <c r="T74" s="403"/>
      <c r="U74" s="403"/>
      <c r="V74" s="403"/>
      <c r="W74" s="403"/>
      <c r="X74" s="403"/>
      <c r="Y74" s="403"/>
      <c r="Z74" s="403"/>
      <c r="AA74" s="403"/>
      <c r="AB74" s="403"/>
      <c r="AC74" s="403"/>
      <c r="AD74" s="403"/>
      <c r="AE74" s="403"/>
      <c r="AF74" s="403"/>
      <c r="AG74" s="403"/>
      <c r="AH74" s="403"/>
      <c r="AI74" s="403"/>
      <c r="AJ74" s="403"/>
    </row>
    <row r="75" spans="1:36">
      <c r="A75" s="482"/>
      <c r="B75" s="455"/>
      <c r="C75" s="455"/>
      <c r="D75" s="455"/>
      <c r="E75" s="455"/>
      <c r="F75" s="455"/>
      <c r="G75" s="455"/>
      <c r="H75" s="455"/>
      <c r="I75" s="455"/>
      <c r="J75" s="403"/>
      <c r="K75" s="403"/>
      <c r="L75" s="403"/>
      <c r="M75" s="403"/>
      <c r="N75" s="403"/>
      <c r="O75" s="403"/>
      <c r="P75" s="403"/>
      <c r="Q75" s="403"/>
      <c r="R75" s="403"/>
      <c r="S75" s="403"/>
      <c r="T75" s="403"/>
      <c r="U75" s="403"/>
      <c r="V75" s="403"/>
      <c r="W75" s="403"/>
      <c r="X75" s="403"/>
      <c r="Y75" s="403"/>
      <c r="Z75" s="403"/>
      <c r="AA75" s="403"/>
      <c r="AB75" s="403"/>
      <c r="AC75" s="403"/>
      <c r="AD75" s="403"/>
      <c r="AE75" s="403"/>
      <c r="AF75" s="403"/>
      <c r="AG75" s="403"/>
      <c r="AH75" s="403"/>
      <c r="AI75" s="403"/>
      <c r="AJ75" s="403"/>
    </row>
    <row r="76" spans="1:36">
      <c r="A76" s="482"/>
      <c r="B76" s="455"/>
      <c r="C76" s="455"/>
      <c r="D76" s="455"/>
      <c r="E76" s="455"/>
      <c r="F76" s="455"/>
      <c r="G76" s="455"/>
      <c r="H76" s="455"/>
      <c r="I76" s="455"/>
      <c r="J76" s="403"/>
      <c r="K76" s="403"/>
      <c r="L76" s="403"/>
      <c r="M76" s="403"/>
      <c r="N76" s="403"/>
      <c r="O76" s="403"/>
      <c r="P76" s="403"/>
      <c r="Q76" s="403"/>
      <c r="R76" s="403"/>
      <c r="S76" s="403"/>
      <c r="T76" s="403"/>
      <c r="U76" s="403"/>
      <c r="V76" s="403"/>
      <c r="W76" s="403"/>
      <c r="X76" s="403"/>
      <c r="Y76" s="403"/>
      <c r="Z76" s="403"/>
      <c r="AA76" s="403"/>
      <c r="AB76" s="403"/>
      <c r="AC76" s="403"/>
      <c r="AD76" s="403"/>
      <c r="AE76" s="403"/>
      <c r="AF76" s="403"/>
      <c r="AG76" s="403"/>
      <c r="AH76" s="403"/>
      <c r="AI76" s="403"/>
      <c r="AJ76" s="403"/>
    </row>
    <row r="77" spans="1:36">
      <c r="A77" s="482"/>
      <c r="B77" s="455"/>
      <c r="C77" s="455"/>
      <c r="D77" s="455"/>
      <c r="E77" s="455"/>
      <c r="F77" s="455"/>
      <c r="G77" s="455"/>
      <c r="H77" s="455"/>
      <c r="I77" s="455"/>
      <c r="J77" s="403"/>
      <c r="K77" s="403"/>
      <c r="L77" s="403"/>
      <c r="M77" s="403"/>
      <c r="N77" s="403"/>
      <c r="O77" s="403"/>
      <c r="P77" s="403"/>
      <c r="Q77" s="403"/>
      <c r="R77" s="403"/>
      <c r="S77" s="403"/>
      <c r="T77" s="403"/>
      <c r="U77" s="403"/>
      <c r="V77" s="403"/>
      <c r="W77" s="403"/>
      <c r="X77" s="403"/>
      <c r="Y77" s="403"/>
      <c r="Z77" s="403"/>
      <c r="AA77" s="403"/>
      <c r="AB77" s="403"/>
      <c r="AC77" s="403"/>
      <c r="AD77" s="403"/>
      <c r="AE77" s="403"/>
      <c r="AF77" s="403"/>
      <c r="AG77" s="403"/>
      <c r="AH77" s="403"/>
      <c r="AI77" s="403"/>
      <c r="AJ77" s="403"/>
    </row>
    <row r="78" spans="1:36">
      <c r="A78" s="482"/>
      <c r="B78" s="455"/>
      <c r="C78" s="455"/>
      <c r="D78" s="455"/>
      <c r="E78" s="455"/>
      <c r="F78" s="455"/>
      <c r="G78" s="455"/>
      <c r="H78" s="455"/>
      <c r="I78" s="455"/>
      <c r="J78" s="403"/>
      <c r="K78" s="403"/>
      <c r="L78" s="403"/>
      <c r="M78" s="403"/>
      <c r="N78" s="403"/>
      <c r="O78" s="403"/>
      <c r="P78" s="403"/>
      <c r="Q78" s="403"/>
      <c r="R78" s="403"/>
      <c r="S78" s="403"/>
      <c r="T78" s="403"/>
      <c r="U78" s="403"/>
      <c r="V78" s="403"/>
      <c r="W78" s="403"/>
      <c r="X78" s="403"/>
      <c r="Y78" s="403"/>
      <c r="Z78" s="403"/>
      <c r="AA78" s="403"/>
      <c r="AB78" s="403"/>
      <c r="AC78" s="403"/>
      <c r="AD78" s="403"/>
      <c r="AE78" s="403"/>
      <c r="AF78" s="403"/>
      <c r="AG78" s="403"/>
      <c r="AH78" s="403"/>
      <c r="AI78" s="403"/>
      <c r="AJ78" s="403"/>
    </row>
    <row r="79" spans="1:36">
      <c r="A79" s="482"/>
      <c r="B79" s="455"/>
      <c r="C79" s="455"/>
      <c r="D79" s="455"/>
      <c r="E79" s="455"/>
      <c r="F79" s="455"/>
      <c r="G79" s="455"/>
      <c r="H79" s="455"/>
      <c r="I79" s="455"/>
      <c r="J79" s="403"/>
      <c r="K79" s="403"/>
      <c r="L79" s="403"/>
      <c r="M79" s="403"/>
      <c r="N79" s="403"/>
      <c r="O79" s="403"/>
      <c r="P79" s="403"/>
      <c r="Q79" s="403"/>
      <c r="R79" s="403"/>
      <c r="S79" s="403"/>
      <c r="T79" s="403"/>
      <c r="U79" s="403"/>
      <c r="V79" s="403"/>
      <c r="W79" s="403"/>
      <c r="X79" s="403"/>
      <c r="Y79" s="403"/>
      <c r="Z79" s="403"/>
      <c r="AA79" s="403"/>
      <c r="AB79" s="403"/>
      <c r="AC79" s="403"/>
      <c r="AD79" s="403"/>
      <c r="AE79" s="403"/>
      <c r="AF79" s="403"/>
      <c r="AG79" s="403"/>
      <c r="AH79" s="403"/>
      <c r="AI79" s="403"/>
      <c r="AJ79" s="403"/>
    </row>
    <row r="80" spans="1:36">
      <c r="A80" s="482"/>
      <c r="B80" s="455"/>
      <c r="C80" s="455"/>
      <c r="D80" s="455"/>
      <c r="E80" s="455"/>
      <c r="F80" s="455"/>
      <c r="G80" s="455"/>
      <c r="H80" s="455"/>
      <c r="I80" s="455"/>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row>
    <row r="81" spans="1:36">
      <c r="A81" s="482"/>
      <c r="B81" s="455"/>
      <c r="C81" s="455"/>
      <c r="D81" s="455"/>
      <c r="E81" s="455"/>
      <c r="F81" s="455"/>
      <c r="G81" s="455"/>
      <c r="H81" s="455"/>
      <c r="I81" s="455"/>
      <c r="J81" s="403"/>
      <c r="K81" s="403"/>
      <c r="L81" s="403"/>
      <c r="M81" s="403"/>
      <c r="N81" s="403"/>
      <c r="O81" s="403"/>
      <c r="P81" s="403"/>
      <c r="Q81" s="403"/>
      <c r="R81" s="403"/>
      <c r="S81" s="403"/>
      <c r="T81" s="403"/>
      <c r="U81" s="403"/>
      <c r="V81" s="403"/>
      <c r="W81" s="403"/>
      <c r="X81" s="403"/>
      <c r="Y81" s="403"/>
      <c r="Z81" s="403"/>
      <c r="AA81" s="403"/>
      <c r="AB81" s="403"/>
      <c r="AC81" s="403"/>
      <c r="AD81" s="403"/>
      <c r="AE81" s="403"/>
      <c r="AF81" s="403"/>
      <c r="AG81" s="403"/>
      <c r="AH81" s="403"/>
      <c r="AI81" s="403"/>
      <c r="AJ81" s="403"/>
    </row>
    <row r="82" spans="1:36">
      <c r="A82" s="482"/>
      <c r="B82" s="455"/>
      <c r="C82" s="455"/>
      <c r="D82" s="455"/>
      <c r="E82" s="455"/>
      <c r="F82" s="455"/>
      <c r="G82" s="455"/>
      <c r="H82" s="455"/>
      <c r="I82" s="455"/>
      <c r="J82" s="403"/>
      <c r="K82" s="403"/>
      <c r="L82" s="403"/>
      <c r="M82" s="403"/>
      <c r="N82" s="403"/>
      <c r="O82" s="403"/>
      <c r="P82" s="403"/>
      <c r="Q82" s="403"/>
      <c r="R82" s="403"/>
      <c r="S82" s="403"/>
      <c r="T82" s="403"/>
      <c r="U82" s="403"/>
      <c r="V82" s="403"/>
      <c r="W82" s="403"/>
      <c r="X82" s="403"/>
      <c r="Y82" s="403"/>
      <c r="Z82" s="403"/>
      <c r="AA82" s="403"/>
      <c r="AB82" s="403"/>
      <c r="AC82" s="403"/>
      <c r="AD82" s="403"/>
      <c r="AE82" s="403"/>
      <c r="AF82" s="403"/>
      <c r="AG82" s="403"/>
      <c r="AH82" s="403"/>
      <c r="AI82" s="403"/>
      <c r="AJ82" s="403"/>
    </row>
    <row r="83" spans="1:36">
      <c r="A83" s="482"/>
      <c r="B83" s="455"/>
      <c r="C83" s="455"/>
      <c r="D83" s="455"/>
      <c r="E83" s="455"/>
      <c r="F83" s="455"/>
      <c r="G83" s="455"/>
      <c r="H83" s="455"/>
      <c r="I83" s="455"/>
      <c r="J83" s="403"/>
      <c r="K83" s="403"/>
      <c r="L83" s="403"/>
      <c r="M83" s="403"/>
      <c r="N83" s="403"/>
      <c r="O83" s="403"/>
      <c r="P83" s="403"/>
      <c r="Q83" s="403"/>
      <c r="R83" s="403"/>
      <c r="S83" s="403"/>
      <c r="T83" s="403"/>
      <c r="U83" s="403"/>
      <c r="V83" s="403"/>
      <c r="W83" s="403"/>
      <c r="X83" s="403"/>
      <c r="Y83" s="403"/>
      <c r="Z83" s="403"/>
      <c r="AA83" s="403"/>
      <c r="AB83" s="403"/>
      <c r="AC83" s="403"/>
      <c r="AD83" s="403"/>
      <c r="AE83" s="403"/>
      <c r="AF83" s="403"/>
      <c r="AG83" s="403"/>
      <c r="AH83" s="403"/>
      <c r="AI83" s="403"/>
      <c r="AJ83" s="403"/>
    </row>
    <row r="84" spans="1:36">
      <c r="A84" s="482"/>
      <c r="B84" s="455"/>
      <c r="C84" s="455"/>
      <c r="D84" s="455"/>
      <c r="E84" s="455"/>
      <c r="F84" s="455"/>
      <c r="G84" s="455"/>
      <c r="H84" s="455"/>
      <c r="I84" s="455"/>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row>
    <row r="85" spans="1:36">
      <c r="A85" s="482"/>
      <c r="B85" s="455"/>
      <c r="C85" s="455"/>
      <c r="D85" s="455"/>
      <c r="E85" s="455"/>
      <c r="F85" s="455"/>
      <c r="G85" s="455"/>
      <c r="H85" s="455"/>
      <c r="I85" s="455"/>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row>
    <row r="86" spans="1:36">
      <c r="A86" s="482"/>
      <c r="B86" s="455"/>
      <c r="C86" s="455"/>
      <c r="D86" s="455"/>
      <c r="E86" s="455"/>
      <c r="F86" s="455"/>
      <c r="G86" s="455"/>
      <c r="H86" s="455"/>
      <c r="I86" s="455"/>
      <c r="J86" s="403"/>
      <c r="K86" s="403"/>
      <c r="L86" s="403"/>
      <c r="M86" s="403"/>
      <c r="N86" s="403"/>
      <c r="O86" s="403"/>
      <c r="P86" s="403"/>
      <c r="Q86" s="403"/>
      <c r="R86" s="403"/>
      <c r="S86" s="403"/>
      <c r="T86" s="403"/>
      <c r="U86" s="403"/>
      <c r="V86" s="403"/>
      <c r="W86" s="403"/>
      <c r="X86" s="403"/>
      <c r="Y86" s="403"/>
      <c r="Z86" s="403"/>
      <c r="AA86" s="403"/>
      <c r="AB86" s="403"/>
      <c r="AC86" s="403"/>
      <c r="AD86" s="403"/>
      <c r="AE86" s="403"/>
      <c r="AF86" s="403"/>
      <c r="AG86" s="403"/>
      <c r="AH86" s="403"/>
      <c r="AI86" s="403"/>
      <c r="AJ86" s="403"/>
    </row>
    <row r="87" spans="1:36">
      <c r="A87" s="482"/>
      <c r="B87" s="455"/>
      <c r="C87" s="455"/>
      <c r="D87" s="455"/>
      <c r="E87" s="455"/>
      <c r="F87" s="455"/>
      <c r="G87" s="455"/>
      <c r="H87" s="455"/>
      <c r="I87" s="455"/>
      <c r="J87" s="403"/>
      <c r="K87" s="403"/>
      <c r="L87" s="403"/>
      <c r="M87" s="403"/>
      <c r="N87" s="403"/>
      <c r="O87" s="403"/>
      <c r="P87" s="403"/>
      <c r="Q87" s="403"/>
      <c r="R87" s="403"/>
      <c r="S87" s="403"/>
      <c r="T87" s="403"/>
      <c r="U87" s="403"/>
      <c r="V87" s="403"/>
      <c r="W87" s="403"/>
      <c r="X87" s="403"/>
      <c r="Y87" s="403"/>
      <c r="Z87" s="403"/>
      <c r="AA87" s="403"/>
      <c r="AB87" s="403"/>
      <c r="AC87" s="403"/>
      <c r="AD87" s="403"/>
      <c r="AE87" s="403"/>
      <c r="AF87" s="403"/>
      <c r="AG87" s="403"/>
      <c r="AH87" s="403"/>
      <c r="AI87" s="403"/>
      <c r="AJ87" s="403"/>
    </row>
    <row r="88" spans="1:36">
      <c r="A88" s="482"/>
      <c r="B88" s="455"/>
      <c r="C88" s="455"/>
      <c r="D88" s="455"/>
      <c r="E88" s="455"/>
      <c r="F88" s="455"/>
      <c r="G88" s="455"/>
      <c r="H88" s="455"/>
      <c r="I88" s="455"/>
      <c r="J88" s="403"/>
      <c r="K88" s="403"/>
      <c r="L88" s="403"/>
      <c r="M88" s="403"/>
      <c r="N88" s="403"/>
      <c r="O88" s="403"/>
      <c r="P88" s="403"/>
      <c r="Q88" s="403"/>
      <c r="R88" s="403"/>
      <c r="S88" s="403"/>
      <c r="T88" s="403"/>
      <c r="U88" s="403"/>
      <c r="V88" s="403"/>
      <c r="W88" s="403"/>
      <c r="X88" s="403"/>
      <c r="Y88" s="403"/>
      <c r="Z88" s="403"/>
      <c r="AA88" s="403"/>
      <c r="AB88" s="403"/>
      <c r="AC88" s="403"/>
      <c r="AD88" s="403"/>
      <c r="AE88" s="403"/>
      <c r="AF88" s="403"/>
      <c r="AG88" s="403"/>
      <c r="AH88" s="403"/>
      <c r="AI88" s="403"/>
      <c r="AJ88" s="403"/>
    </row>
    <row r="89" spans="1:36">
      <c r="A89" s="482"/>
      <c r="B89" s="455"/>
      <c r="C89" s="455"/>
      <c r="D89" s="455"/>
      <c r="E89" s="455"/>
      <c r="F89" s="455"/>
      <c r="G89" s="455"/>
      <c r="H89" s="455"/>
      <c r="I89" s="455"/>
      <c r="J89" s="403"/>
      <c r="K89" s="403"/>
      <c r="L89" s="403"/>
      <c r="M89" s="403"/>
      <c r="N89" s="403"/>
      <c r="O89" s="403"/>
      <c r="P89" s="403"/>
      <c r="Q89" s="403"/>
      <c r="R89" s="403"/>
      <c r="S89" s="403"/>
      <c r="T89" s="403"/>
      <c r="U89" s="403"/>
      <c r="V89" s="403"/>
      <c r="W89" s="403"/>
      <c r="X89" s="403"/>
      <c r="Y89" s="403"/>
      <c r="Z89" s="403"/>
      <c r="AA89" s="403"/>
      <c r="AB89" s="403"/>
      <c r="AC89" s="403"/>
      <c r="AD89" s="403"/>
      <c r="AE89" s="403"/>
      <c r="AF89" s="403"/>
      <c r="AG89" s="403"/>
      <c r="AH89" s="403"/>
      <c r="AI89" s="403"/>
      <c r="AJ89" s="403"/>
    </row>
    <row r="90" spans="1:36">
      <c r="A90" s="482"/>
      <c r="B90" s="455"/>
      <c r="C90" s="455"/>
      <c r="D90" s="455"/>
      <c r="E90" s="455"/>
      <c r="F90" s="455"/>
      <c r="G90" s="455"/>
      <c r="H90" s="455"/>
      <c r="I90" s="455"/>
      <c r="J90" s="403"/>
      <c r="K90" s="403"/>
      <c r="L90" s="403"/>
      <c r="M90" s="403"/>
      <c r="N90" s="403"/>
      <c r="O90" s="403"/>
      <c r="P90" s="403"/>
      <c r="Q90" s="403"/>
      <c r="R90" s="403"/>
      <c r="S90" s="403"/>
      <c r="T90" s="403"/>
      <c r="U90" s="403"/>
      <c r="V90" s="403"/>
      <c r="W90" s="403"/>
      <c r="X90" s="403"/>
      <c r="Y90" s="403"/>
      <c r="Z90" s="403"/>
      <c r="AA90" s="403"/>
      <c r="AB90" s="403"/>
      <c r="AC90" s="403"/>
      <c r="AD90" s="403"/>
      <c r="AE90" s="403"/>
      <c r="AF90" s="403"/>
      <c r="AG90" s="403"/>
      <c r="AH90" s="403"/>
      <c r="AI90" s="403"/>
      <c r="AJ90" s="403"/>
    </row>
    <row r="91" spans="1:36">
      <c r="A91" s="482"/>
      <c r="B91" s="455"/>
      <c r="C91" s="455"/>
      <c r="D91" s="455"/>
      <c r="E91" s="455"/>
      <c r="F91" s="455"/>
      <c r="G91" s="455"/>
      <c r="H91" s="455"/>
      <c r="I91" s="455"/>
      <c r="J91" s="403"/>
      <c r="K91" s="403"/>
      <c r="L91" s="403"/>
      <c r="M91" s="403"/>
      <c r="N91" s="403"/>
      <c r="O91" s="403"/>
      <c r="P91" s="403"/>
      <c r="Q91" s="403"/>
      <c r="R91" s="403"/>
      <c r="S91" s="403"/>
      <c r="T91" s="403"/>
      <c r="U91" s="403"/>
      <c r="V91" s="403"/>
      <c r="W91" s="403"/>
      <c r="X91" s="403"/>
      <c r="Y91" s="403"/>
      <c r="Z91" s="403"/>
      <c r="AA91" s="403"/>
      <c r="AB91" s="403"/>
      <c r="AC91" s="403"/>
      <c r="AD91" s="403"/>
      <c r="AE91" s="403"/>
      <c r="AF91" s="403"/>
      <c r="AG91" s="403"/>
      <c r="AH91" s="403"/>
      <c r="AI91" s="403"/>
      <c r="AJ91" s="403"/>
    </row>
    <row r="92" spans="1:36">
      <c r="A92" s="482"/>
      <c r="B92" s="455"/>
      <c r="C92" s="455"/>
      <c r="D92" s="455"/>
      <c r="E92" s="455"/>
      <c r="F92" s="455"/>
      <c r="G92" s="455"/>
      <c r="H92" s="455"/>
      <c r="I92" s="455"/>
      <c r="J92" s="403"/>
      <c r="K92" s="403"/>
      <c r="L92" s="403"/>
      <c r="M92" s="403"/>
      <c r="N92" s="403"/>
      <c r="O92" s="403"/>
      <c r="P92" s="403"/>
      <c r="Q92" s="403"/>
      <c r="R92" s="403"/>
      <c r="S92" s="403"/>
      <c r="T92" s="403"/>
      <c r="U92" s="403"/>
      <c r="V92" s="403"/>
      <c r="W92" s="403"/>
      <c r="X92" s="403"/>
      <c r="Y92" s="403"/>
      <c r="Z92" s="403"/>
      <c r="AA92" s="403"/>
      <c r="AB92" s="403"/>
      <c r="AC92" s="403"/>
      <c r="AD92" s="403"/>
      <c r="AE92" s="403"/>
      <c r="AF92" s="403"/>
      <c r="AG92" s="403"/>
      <c r="AH92" s="403"/>
      <c r="AI92" s="403"/>
      <c r="AJ92" s="403"/>
    </row>
    <row r="93" spans="1:36">
      <c r="A93" s="482"/>
      <c r="B93" s="455"/>
      <c r="C93" s="455"/>
      <c r="D93" s="455"/>
      <c r="E93" s="455"/>
      <c r="F93" s="455"/>
      <c r="G93" s="455"/>
      <c r="H93" s="455"/>
      <c r="I93" s="455"/>
      <c r="J93" s="403"/>
      <c r="K93" s="403"/>
      <c r="L93" s="403"/>
      <c r="M93" s="403"/>
      <c r="N93" s="403"/>
      <c r="O93" s="403"/>
      <c r="P93" s="403"/>
      <c r="Q93" s="403"/>
      <c r="R93" s="403"/>
      <c r="S93" s="403"/>
      <c r="T93" s="403"/>
      <c r="U93" s="403"/>
      <c r="V93" s="403"/>
      <c r="W93" s="403"/>
      <c r="X93" s="403"/>
      <c r="Y93" s="403"/>
      <c r="Z93" s="403"/>
      <c r="AA93" s="403"/>
      <c r="AB93" s="403"/>
      <c r="AC93" s="403"/>
      <c r="AD93" s="403"/>
      <c r="AE93" s="403"/>
      <c r="AF93" s="403"/>
      <c r="AG93" s="403"/>
      <c r="AH93" s="403"/>
      <c r="AI93" s="403"/>
      <c r="AJ93" s="403"/>
    </row>
    <row r="94" spans="1:36">
      <c r="A94" s="482"/>
      <c r="B94" s="455"/>
      <c r="C94" s="455"/>
      <c r="D94" s="455"/>
      <c r="E94" s="455"/>
      <c r="F94" s="455"/>
      <c r="G94" s="455"/>
      <c r="H94" s="455"/>
      <c r="I94" s="455"/>
      <c r="J94" s="403"/>
      <c r="K94" s="403"/>
      <c r="L94" s="403"/>
      <c r="M94" s="403"/>
      <c r="N94" s="403"/>
      <c r="O94" s="403"/>
      <c r="P94" s="403"/>
      <c r="Q94" s="403"/>
      <c r="R94" s="403"/>
      <c r="S94" s="403"/>
      <c r="T94" s="403"/>
      <c r="U94" s="403"/>
      <c r="V94" s="403"/>
      <c r="W94" s="403"/>
      <c r="X94" s="403"/>
      <c r="Y94" s="403"/>
      <c r="Z94" s="403"/>
      <c r="AA94" s="403"/>
      <c r="AB94" s="403"/>
      <c r="AC94" s="403"/>
      <c r="AD94" s="403"/>
      <c r="AE94" s="403"/>
      <c r="AF94" s="403"/>
      <c r="AG94" s="403"/>
      <c r="AH94" s="403"/>
      <c r="AI94" s="403"/>
      <c r="AJ94" s="403"/>
    </row>
    <row r="95" spans="1:36">
      <c r="A95" s="482"/>
      <c r="B95" s="455"/>
      <c r="C95" s="455"/>
      <c r="D95" s="455"/>
      <c r="E95" s="455"/>
      <c r="F95" s="455"/>
      <c r="G95" s="455"/>
      <c r="H95" s="455"/>
      <c r="I95" s="455"/>
      <c r="J95" s="403"/>
      <c r="K95" s="403"/>
      <c r="L95" s="403"/>
      <c r="M95" s="403"/>
      <c r="N95" s="403"/>
      <c r="O95" s="403"/>
      <c r="P95" s="403"/>
      <c r="Q95" s="403"/>
      <c r="R95" s="403"/>
      <c r="S95" s="403"/>
      <c r="T95" s="403"/>
      <c r="U95" s="403"/>
      <c r="V95" s="403"/>
      <c r="W95" s="403"/>
      <c r="X95" s="403"/>
      <c r="Y95" s="403"/>
      <c r="Z95" s="403"/>
      <c r="AA95" s="403"/>
      <c r="AB95" s="403"/>
      <c r="AC95" s="403"/>
      <c r="AD95" s="403"/>
      <c r="AE95" s="403"/>
      <c r="AF95" s="403"/>
      <c r="AG95" s="403"/>
      <c r="AH95" s="403"/>
      <c r="AI95" s="403"/>
      <c r="AJ95" s="403"/>
    </row>
    <row r="96" spans="1:36">
      <c r="A96" s="482"/>
      <c r="B96" s="455"/>
      <c r="C96" s="455"/>
      <c r="D96" s="455"/>
      <c r="E96" s="455"/>
      <c r="F96" s="455"/>
      <c r="G96" s="455"/>
      <c r="H96" s="455"/>
      <c r="I96" s="455"/>
      <c r="J96" s="403"/>
      <c r="K96" s="403"/>
      <c r="L96" s="403"/>
      <c r="M96" s="403"/>
      <c r="N96" s="403"/>
      <c r="O96" s="403"/>
      <c r="P96" s="403"/>
      <c r="Q96" s="403"/>
      <c r="R96" s="403"/>
      <c r="S96" s="403"/>
      <c r="T96" s="403"/>
      <c r="U96" s="403"/>
      <c r="V96" s="403"/>
      <c r="W96" s="403"/>
      <c r="X96" s="403"/>
      <c r="Y96" s="403"/>
      <c r="Z96" s="403"/>
      <c r="AA96" s="403"/>
      <c r="AB96" s="403"/>
      <c r="AC96" s="403"/>
      <c r="AD96" s="403"/>
      <c r="AE96" s="403"/>
      <c r="AF96" s="403"/>
      <c r="AG96" s="403"/>
      <c r="AH96" s="403"/>
      <c r="AI96" s="403"/>
      <c r="AJ96" s="403"/>
    </row>
    <row r="97" spans="1:36">
      <c r="A97" s="482"/>
      <c r="B97" s="455"/>
      <c r="C97" s="455"/>
      <c r="D97" s="455"/>
      <c r="E97" s="455"/>
      <c r="F97" s="455"/>
      <c r="G97" s="455"/>
      <c r="H97" s="455"/>
      <c r="I97" s="455"/>
      <c r="J97" s="403"/>
      <c r="K97" s="403"/>
      <c r="L97" s="403"/>
      <c r="M97" s="403"/>
      <c r="N97" s="403"/>
      <c r="O97" s="403"/>
      <c r="P97" s="403"/>
      <c r="Q97" s="403"/>
      <c r="R97" s="403"/>
      <c r="S97" s="403"/>
      <c r="T97" s="403"/>
      <c r="U97" s="403"/>
      <c r="V97" s="403"/>
      <c r="W97" s="403"/>
      <c r="X97" s="403"/>
      <c r="Y97" s="403"/>
      <c r="Z97" s="403"/>
      <c r="AA97" s="403"/>
      <c r="AB97" s="403"/>
      <c r="AC97" s="403"/>
      <c r="AD97" s="403"/>
      <c r="AE97" s="403"/>
      <c r="AF97" s="403"/>
      <c r="AG97" s="403"/>
      <c r="AH97" s="403"/>
      <c r="AI97" s="403"/>
      <c r="AJ97" s="403"/>
    </row>
    <row r="98" spans="1:36">
      <c r="A98" s="482"/>
      <c r="B98" s="455"/>
      <c r="C98" s="455"/>
      <c r="D98" s="455"/>
      <c r="E98" s="455"/>
      <c r="F98" s="455"/>
      <c r="G98" s="455"/>
      <c r="H98" s="455"/>
      <c r="I98" s="455"/>
      <c r="J98" s="403"/>
      <c r="K98" s="403"/>
      <c r="L98" s="403"/>
      <c r="M98" s="403"/>
      <c r="N98" s="403"/>
      <c r="O98" s="403"/>
      <c r="P98" s="403"/>
      <c r="Q98" s="403"/>
      <c r="R98" s="403"/>
      <c r="S98" s="403"/>
      <c r="T98" s="403"/>
      <c r="U98" s="403"/>
      <c r="V98" s="403"/>
      <c r="W98" s="403"/>
      <c r="X98" s="403"/>
      <c r="Y98" s="403"/>
      <c r="Z98" s="403"/>
      <c r="AA98" s="403"/>
      <c r="AB98" s="403"/>
      <c r="AC98" s="403"/>
      <c r="AD98" s="403"/>
      <c r="AE98" s="403"/>
      <c r="AF98" s="403"/>
      <c r="AG98" s="403"/>
      <c r="AH98" s="403"/>
      <c r="AI98" s="403"/>
      <c r="AJ98" s="403"/>
    </row>
    <row r="99" spans="1:36">
      <c r="A99" s="482"/>
      <c r="B99" s="455"/>
      <c r="C99" s="455"/>
      <c r="D99" s="455"/>
      <c r="E99" s="455"/>
      <c r="F99" s="455"/>
      <c r="G99" s="455"/>
      <c r="H99" s="455"/>
      <c r="I99" s="455"/>
      <c r="J99" s="403"/>
      <c r="K99" s="403"/>
      <c r="L99" s="403"/>
      <c r="M99" s="403"/>
      <c r="N99" s="403"/>
      <c r="O99" s="403"/>
      <c r="P99" s="403"/>
      <c r="Q99" s="403"/>
      <c r="R99" s="403"/>
      <c r="S99" s="403"/>
      <c r="T99" s="403"/>
      <c r="U99" s="403"/>
      <c r="V99" s="403"/>
      <c r="W99" s="403"/>
      <c r="X99" s="403"/>
      <c r="Y99" s="403"/>
      <c r="Z99" s="403"/>
      <c r="AA99" s="403"/>
      <c r="AB99" s="403"/>
      <c r="AC99" s="403"/>
      <c r="AD99" s="403"/>
      <c r="AE99" s="403"/>
      <c r="AF99" s="403"/>
      <c r="AG99" s="403"/>
      <c r="AH99" s="403"/>
      <c r="AI99" s="403"/>
      <c r="AJ99" s="403"/>
    </row>
    <row r="100" spans="1:36">
      <c r="A100" s="482"/>
      <c r="B100" s="455"/>
      <c r="C100" s="455"/>
      <c r="D100" s="455"/>
      <c r="E100" s="455"/>
      <c r="F100" s="455"/>
      <c r="G100" s="455"/>
      <c r="H100" s="455"/>
      <c r="I100" s="455"/>
      <c r="J100" s="403"/>
      <c r="K100" s="403"/>
      <c r="L100" s="403"/>
      <c r="M100" s="403"/>
      <c r="N100" s="403"/>
      <c r="O100" s="403"/>
      <c r="P100" s="403"/>
      <c r="Q100" s="403"/>
      <c r="R100" s="403"/>
      <c r="S100" s="403"/>
      <c r="T100" s="403"/>
      <c r="U100" s="403"/>
      <c r="V100" s="403"/>
      <c r="W100" s="403"/>
      <c r="X100" s="403"/>
      <c r="Y100" s="403"/>
      <c r="Z100" s="403"/>
      <c r="AA100" s="403"/>
      <c r="AB100" s="403"/>
      <c r="AC100" s="403"/>
      <c r="AD100" s="403"/>
      <c r="AE100" s="403"/>
      <c r="AF100" s="403"/>
      <c r="AG100" s="403"/>
      <c r="AH100" s="403"/>
      <c r="AI100" s="403"/>
      <c r="AJ100" s="403"/>
    </row>
    <row r="101" spans="1:36">
      <c r="A101" s="482"/>
      <c r="B101" s="455"/>
      <c r="C101" s="455"/>
      <c r="D101" s="455"/>
      <c r="E101" s="455"/>
      <c r="F101" s="455"/>
      <c r="G101" s="455"/>
      <c r="H101" s="455"/>
      <c r="I101" s="455"/>
      <c r="J101" s="403"/>
      <c r="K101" s="403"/>
      <c r="L101" s="403"/>
      <c r="M101" s="403"/>
      <c r="N101" s="403"/>
      <c r="O101" s="403"/>
      <c r="P101" s="403"/>
      <c r="Q101" s="403"/>
      <c r="R101" s="403"/>
      <c r="S101" s="403"/>
      <c r="T101" s="403"/>
      <c r="U101" s="403"/>
      <c r="V101" s="403"/>
      <c r="W101" s="403"/>
      <c r="X101" s="403"/>
      <c r="Y101" s="403"/>
      <c r="Z101" s="403"/>
      <c r="AA101" s="403"/>
      <c r="AB101" s="403"/>
      <c r="AC101" s="403"/>
      <c r="AD101" s="403"/>
      <c r="AE101" s="403"/>
      <c r="AF101" s="403"/>
      <c r="AG101" s="403"/>
      <c r="AH101" s="403"/>
      <c r="AI101" s="403"/>
      <c r="AJ101" s="403"/>
    </row>
    <row r="102" spans="1:36">
      <c r="A102" s="482"/>
      <c r="B102" s="455"/>
      <c r="C102" s="455"/>
      <c r="D102" s="455"/>
      <c r="E102" s="455"/>
      <c r="F102" s="455"/>
      <c r="G102" s="455"/>
      <c r="H102" s="455"/>
      <c r="I102" s="455"/>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row>
    <row r="103" spans="1:36">
      <c r="A103" s="482"/>
      <c r="B103" s="455"/>
      <c r="C103" s="455"/>
      <c r="D103" s="455"/>
      <c r="E103" s="455"/>
      <c r="F103" s="455"/>
      <c r="G103" s="455"/>
      <c r="H103" s="455"/>
      <c r="I103" s="455"/>
      <c r="J103" s="403"/>
      <c r="K103" s="403"/>
      <c r="L103" s="403"/>
      <c r="M103" s="403"/>
      <c r="N103" s="403"/>
      <c r="O103" s="403"/>
      <c r="P103" s="403"/>
      <c r="Q103" s="403"/>
      <c r="R103" s="403"/>
      <c r="S103" s="403"/>
      <c r="T103" s="403"/>
      <c r="U103" s="403"/>
      <c r="V103" s="403"/>
      <c r="W103" s="403"/>
      <c r="X103" s="403"/>
      <c r="Y103" s="403"/>
      <c r="Z103" s="403"/>
      <c r="AA103" s="403"/>
      <c r="AB103" s="403"/>
      <c r="AC103" s="403"/>
      <c r="AD103" s="403"/>
      <c r="AE103" s="403"/>
      <c r="AF103" s="403"/>
      <c r="AG103" s="403"/>
      <c r="AH103" s="403"/>
      <c r="AI103" s="403"/>
      <c r="AJ103" s="403"/>
    </row>
    <row r="104" spans="1:36">
      <c r="A104" s="482"/>
      <c r="B104" s="455"/>
      <c r="C104" s="455"/>
      <c r="D104" s="455"/>
      <c r="E104" s="455"/>
      <c r="F104" s="455"/>
      <c r="G104" s="455"/>
      <c r="H104" s="455"/>
      <c r="I104" s="455"/>
      <c r="J104" s="403"/>
      <c r="K104" s="403"/>
      <c r="L104" s="403"/>
      <c r="M104" s="403"/>
      <c r="N104" s="403"/>
      <c r="O104" s="403"/>
      <c r="P104" s="403"/>
      <c r="Q104" s="403"/>
      <c r="R104" s="403"/>
      <c r="S104" s="403"/>
      <c r="T104" s="403"/>
      <c r="U104" s="403"/>
      <c r="V104" s="403"/>
      <c r="W104" s="403"/>
      <c r="X104" s="403"/>
      <c r="Y104" s="403"/>
      <c r="Z104" s="403"/>
      <c r="AA104" s="403"/>
      <c r="AB104" s="403"/>
      <c r="AC104" s="403"/>
      <c r="AD104" s="403"/>
      <c r="AE104" s="403"/>
      <c r="AF104" s="403"/>
      <c r="AG104" s="403"/>
      <c r="AH104" s="403"/>
      <c r="AI104" s="403"/>
      <c r="AJ104" s="403"/>
    </row>
    <row r="105" spans="1:36">
      <c r="A105" s="482"/>
      <c r="B105" s="455"/>
      <c r="C105" s="455"/>
      <c r="D105" s="455"/>
      <c r="E105" s="455"/>
      <c r="F105" s="455"/>
      <c r="G105" s="455"/>
      <c r="H105" s="455"/>
      <c r="I105" s="455"/>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3"/>
      <c r="AI105" s="403"/>
      <c r="AJ105" s="403"/>
    </row>
    <row r="106" spans="1:36">
      <c r="A106" s="482"/>
      <c r="B106" s="455"/>
      <c r="C106" s="455"/>
      <c r="D106" s="455"/>
      <c r="E106" s="455"/>
      <c r="F106" s="455"/>
      <c r="G106" s="455"/>
      <c r="H106" s="455"/>
      <c r="I106" s="455"/>
      <c r="J106" s="403"/>
      <c r="K106" s="403"/>
      <c r="L106" s="403"/>
      <c r="M106" s="403"/>
      <c r="N106" s="403"/>
      <c r="O106" s="403"/>
      <c r="P106" s="403"/>
      <c r="Q106" s="403"/>
      <c r="R106" s="403"/>
      <c r="S106" s="403"/>
      <c r="T106" s="403"/>
      <c r="U106" s="403"/>
      <c r="V106" s="403"/>
      <c r="W106" s="403"/>
      <c r="X106" s="403"/>
      <c r="Y106" s="403"/>
      <c r="Z106" s="403"/>
      <c r="AA106" s="403"/>
      <c r="AB106" s="403"/>
      <c r="AC106" s="403"/>
      <c r="AD106" s="403"/>
      <c r="AE106" s="403"/>
      <c r="AF106" s="403"/>
      <c r="AG106" s="403"/>
      <c r="AH106" s="403"/>
      <c r="AI106" s="403"/>
      <c r="AJ106" s="403"/>
    </row>
    <row r="107" spans="1:36">
      <c r="A107" s="482"/>
      <c r="B107" s="455"/>
      <c r="C107" s="455"/>
      <c r="D107" s="455"/>
      <c r="E107" s="455"/>
      <c r="F107" s="455"/>
      <c r="G107" s="455"/>
      <c r="H107" s="455"/>
      <c r="I107" s="455"/>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row>
    <row r="108" spans="1:36">
      <c r="A108" s="482"/>
      <c r="B108" s="455"/>
      <c r="C108" s="455"/>
      <c r="D108" s="455"/>
      <c r="E108" s="455"/>
      <c r="F108" s="455"/>
      <c r="G108" s="455"/>
      <c r="H108" s="455"/>
      <c r="I108" s="455"/>
      <c r="J108" s="403"/>
      <c r="K108" s="403"/>
      <c r="L108" s="403"/>
      <c r="M108" s="403"/>
      <c r="N108" s="403"/>
      <c r="O108" s="403"/>
      <c r="P108" s="403"/>
      <c r="Q108" s="403"/>
      <c r="R108" s="403"/>
      <c r="S108" s="403"/>
      <c r="T108" s="403"/>
      <c r="U108" s="403"/>
      <c r="V108" s="403"/>
      <c r="W108" s="403"/>
      <c r="X108" s="403"/>
      <c r="Y108" s="403"/>
      <c r="Z108" s="403"/>
      <c r="AA108" s="403"/>
      <c r="AB108" s="403"/>
      <c r="AC108" s="403"/>
      <c r="AD108" s="403"/>
      <c r="AE108" s="403"/>
      <c r="AF108" s="403"/>
      <c r="AG108" s="403"/>
      <c r="AH108" s="403"/>
      <c r="AI108" s="403"/>
      <c r="AJ108" s="403"/>
    </row>
    <row r="109" spans="1:36">
      <c r="A109" s="482"/>
      <c r="B109" s="455"/>
      <c r="C109" s="455"/>
      <c r="D109" s="455"/>
      <c r="E109" s="455"/>
      <c r="F109" s="455"/>
      <c r="G109" s="455"/>
      <c r="H109" s="455"/>
      <c r="I109" s="455"/>
      <c r="J109" s="403"/>
      <c r="K109" s="403"/>
      <c r="L109" s="403"/>
      <c r="M109" s="403"/>
      <c r="N109" s="403"/>
      <c r="O109" s="403"/>
      <c r="P109" s="403"/>
      <c r="Q109" s="403"/>
      <c r="R109" s="403"/>
      <c r="S109" s="403"/>
      <c r="T109" s="403"/>
      <c r="U109" s="403"/>
      <c r="V109" s="403"/>
      <c r="W109" s="403"/>
      <c r="X109" s="403"/>
      <c r="Y109" s="403"/>
      <c r="Z109" s="403"/>
      <c r="AA109" s="403"/>
      <c r="AB109" s="403"/>
      <c r="AC109" s="403"/>
      <c r="AD109" s="403"/>
      <c r="AE109" s="403"/>
      <c r="AF109" s="403"/>
      <c r="AG109" s="403"/>
      <c r="AH109" s="403"/>
      <c r="AI109" s="403"/>
      <c r="AJ109" s="403"/>
    </row>
    <row r="110" spans="1:36">
      <c r="A110" s="482"/>
      <c r="B110" s="455"/>
      <c r="C110" s="455"/>
      <c r="D110" s="455"/>
      <c r="E110" s="455"/>
      <c r="F110" s="455"/>
      <c r="G110" s="455"/>
      <c r="H110" s="455"/>
      <c r="I110" s="455"/>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c r="AJ110" s="403"/>
    </row>
    <row r="111" spans="1:36">
      <c r="A111" s="482"/>
      <c r="B111" s="455"/>
      <c r="C111" s="455"/>
      <c r="D111" s="455"/>
      <c r="E111" s="455"/>
      <c r="F111" s="455"/>
      <c r="G111" s="455"/>
      <c r="H111" s="455"/>
      <c r="I111" s="455"/>
      <c r="J111" s="403"/>
      <c r="K111" s="403"/>
      <c r="L111" s="403"/>
      <c r="M111" s="403"/>
      <c r="N111" s="403"/>
      <c r="O111" s="403"/>
      <c r="P111" s="403"/>
      <c r="Q111" s="403"/>
      <c r="R111" s="403"/>
      <c r="S111" s="403"/>
      <c r="T111" s="403"/>
      <c r="U111" s="403"/>
      <c r="V111" s="403"/>
      <c r="W111" s="403"/>
      <c r="X111" s="403"/>
      <c r="Y111" s="403"/>
      <c r="Z111" s="403"/>
      <c r="AA111" s="403"/>
      <c r="AB111" s="403"/>
      <c r="AC111" s="403"/>
      <c r="AD111" s="403"/>
      <c r="AE111" s="403"/>
      <c r="AF111" s="403"/>
      <c r="AG111" s="403"/>
      <c r="AH111" s="403"/>
      <c r="AI111" s="403"/>
      <c r="AJ111" s="403"/>
    </row>
    <row r="112" spans="1:36">
      <c r="A112" s="482"/>
      <c r="B112" s="455"/>
      <c r="C112" s="455"/>
      <c r="D112" s="455"/>
      <c r="E112" s="455"/>
      <c r="F112" s="455"/>
      <c r="G112" s="455"/>
      <c r="H112" s="455"/>
      <c r="I112" s="455"/>
      <c r="J112" s="403"/>
      <c r="K112" s="403"/>
      <c r="L112" s="403"/>
      <c r="M112" s="403"/>
      <c r="N112" s="403"/>
      <c r="O112" s="403"/>
      <c r="P112" s="403"/>
      <c r="Q112" s="403"/>
      <c r="R112" s="403"/>
      <c r="S112" s="403"/>
      <c r="T112" s="403"/>
      <c r="U112" s="403"/>
      <c r="V112" s="403"/>
      <c r="W112" s="403"/>
      <c r="X112" s="403"/>
      <c r="Y112" s="403"/>
      <c r="Z112" s="403"/>
      <c r="AA112" s="403"/>
      <c r="AB112" s="403"/>
      <c r="AC112" s="403"/>
      <c r="AD112" s="403"/>
      <c r="AE112" s="403"/>
      <c r="AF112" s="403"/>
      <c r="AG112" s="403"/>
      <c r="AH112" s="403"/>
      <c r="AI112" s="403"/>
      <c r="AJ112" s="403"/>
    </row>
    <row r="113" spans="1:36">
      <c r="A113" s="482"/>
      <c r="B113" s="455"/>
      <c r="C113" s="455"/>
      <c r="D113" s="455"/>
      <c r="E113" s="455"/>
      <c r="F113" s="455"/>
      <c r="G113" s="455"/>
      <c r="H113" s="455"/>
      <c r="I113" s="455"/>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c r="AF113" s="403"/>
      <c r="AG113" s="403"/>
      <c r="AH113" s="403"/>
      <c r="AI113" s="403"/>
      <c r="AJ113" s="403"/>
    </row>
    <row r="114" spans="1:36">
      <c r="A114" s="482"/>
      <c r="B114" s="455"/>
      <c r="C114" s="455"/>
      <c r="D114" s="455"/>
      <c r="E114" s="455"/>
      <c r="F114" s="455"/>
      <c r="G114" s="455"/>
      <c r="H114" s="455"/>
      <c r="I114" s="455"/>
      <c r="J114" s="403"/>
      <c r="K114" s="403"/>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row>
    <row r="115" spans="1:36">
      <c r="A115" s="482"/>
      <c r="B115" s="455"/>
      <c r="C115" s="455"/>
      <c r="D115" s="455"/>
      <c r="E115" s="455"/>
      <c r="F115" s="455"/>
      <c r="G115" s="455"/>
      <c r="H115" s="455"/>
      <c r="I115" s="455"/>
      <c r="J115" s="403"/>
      <c r="K115" s="403"/>
      <c r="L115" s="403"/>
      <c r="M115" s="403"/>
      <c r="N115" s="403"/>
      <c r="O115" s="403"/>
      <c r="P115" s="403"/>
      <c r="Q115" s="403"/>
      <c r="R115" s="403"/>
      <c r="S115" s="403"/>
      <c r="T115" s="403"/>
      <c r="U115" s="403"/>
      <c r="V115" s="403"/>
      <c r="W115" s="403"/>
      <c r="X115" s="403"/>
      <c r="Y115" s="403"/>
      <c r="Z115" s="403"/>
      <c r="AA115" s="403"/>
      <c r="AB115" s="403"/>
      <c r="AC115" s="403"/>
      <c r="AD115" s="403"/>
      <c r="AE115" s="403"/>
      <c r="AF115" s="403"/>
      <c r="AG115" s="403"/>
      <c r="AH115" s="403"/>
      <c r="AI115" s="403"/>
      <c r="AJ115" s="403"/>
    </row>
    <row r="116" spans="1:36">
      <c r="A116" s="482"/>
      <c r="B116" s="455"/>
      <c r="C116" s="455"/>
      <c r="D116" s="455"/>
      <c r="E116" s="455"/>
      <c r="F116" s="455"/>
      <c r="G116" s="455"/>
      <c r="H116" s="455"/>
      <c r="I116" s="455"/>
      <c r="J116" s="403"/>
      <c r="K116" s="403"/>
      <c r="L116" s="403"/>
      <c r="M116" s="403"/>
      <c r="N116" s="403"/>
      <c r="O116" s="403"/>
      <c r="P116" s="403"/>
      <c r="Q116" s="403"/>
      <c r="R116" s="403"/>
      <c r="S116" s="403"/>
      <c r="T116" s="403"/>
      <c r="U116" s="403"/>
      <c r="V116" s="403"/>
      <c r="W116" s="403"/>
      <c r="X116" s="403"/>
      <c r="Y116" s="403"/>
      <c r="Z116" s="403"/>
      <c r="AA116" s="403"/>
      <c r="AB116" s="403"/>
      <c r="AC116" s="403"/>
      <c r="AD116" s="403"/>
      <c r="AE116" s="403"/>
      <c r="AF116" s="403"/>
      <c r="AG116" s="403"/>
      <c r="AH116" s="403"/>
      <c r="AI116" s="403"/>
      <c r="AJ116" s="403"/>
    </row>
    <row r="117" spans="1:36">
      <c r="A117" s="482"/>
      <c r="B117" s="455"/>
      <c r="C117" s="455"/>
      <c r="D117" s="455"/>
      <c r="E117" s="455"/>
      <c r="F117" s="455"/>
      <c r="G117" s="455"/>
      <c r="H117" s="455"/>
      <c r="I117" s="455"/>
      <c r="J117" s="403"/>
      <c r="K117" s="403"/>
      <c r="L117" s="403"/>
      <c r="M117" s="403"/>
      <c r="N117" s="403"/>
      <c r="O117" s="403"/>
      <c r="P117" s="403"/>
      <c r="Q117" s="403"/>
      <c r="R117" s="403"/>
      <c r="S117" s="403"/>
      <c r="T117" s="403"/>
      <c r="U117" s="403"/>
      <c r="V117" s="403"/>
      <c r="W117" s="403"/>
      <c r="X117" s="403"/>
      <c r="Y117" s="403"/>
      <c r="Z117" s="403"/>
      <c r="AA117" s="403"/>
      <c r="AB117" s="403"/>
      <c r="AC117" s="403"/>
      <c r="AD117" s="403"/>
      <c r="AE117" s="403"/>
      <c r="AF117" s="403"/>
      <c r="AG117" s="403"/>
      <c r="AH117" s="403"/>
      <c r="AI117" s="403"/>
      <c r="AJ117" s="403"/>
    </row>
    <row r="118" spans="1:36">
      <c r="A118" s="482"/>
      <c r="B118" s="455"/>
      <c r="C118" s="455"/>
      <c r="D118" s="455"/>
      <c r="E118" s="455"/>
      <c r="F118" s="455"/>
      <c r="G118" s="455"/>
      <c r="H118" s="455"/>
      <c r="I118" s="455"/>
      <c r="J118" s="403"/>
      <c r="K118" s="403"/>
      <c r="L118" s="403"/>
      <c r="M118" s="403"/>
      <c r="N118" s="403"/>
      <c r="O118" s="403"/>
      <c r="P118" s="403"/>
      <c r="Q118" s="403"/>
      <c r="R118" s="403"/>
      <c r="S118" s="403"/>
      <c r="T118" s="403"/>
      <c r="U118" s="403"/>
      <c r="V118" s="403"/>
      <c r="W118" s="403"/>
      <c r="X118" s="403"/>
      <c r="Y118" s="403"/>
      <c r="Z118" s="403"/>
      <c r="AA118" s="403"/>
      <c r="AB118" s="403"/>
      <c r="AC118" s="403"/>
      <c r="AD118" s="403"/>
      <c r="AE118" s="403"/>
      <c r="AF118" s="403"/>
      <c r="AG118" s="403"/>
      <c r="AH118" s="403"/>
      <c r="AI118" s="403"/>
      <c r="AJ118" s="403"/>
    </row>
    <row r="119" spans="1:36">
      <c r="A119" s="482"/>
      <c r="B119" s="455"/>
      <c r="C119" s="455"/>
      <c r="D119" s="455"/>
      <c r="E119" s="455"/>
      <c r="F119" s="455"/>
      <c r="G119" s="455"/>
      <c r="H119" s="455"/>
      <c r="I119" s="455"/>
      <c r="J119" s="403"/>
      <c r="K119" s="403"/>
      <c r="L119" s="403"/>
      <c r="M119" s="403"/>
      <c r="N119" s="403"/>
      <c r="O119" s="403"/>
      <c r="P119" s="403"/>
      <c r="Q119" s="403"/>
      <c r="R119" s="403"/>
      <c r="S119" s="403"/>
      <c r="T119" s="403"/>
      <c r="U119" s="403"/>
      <c r="V119" s="403"/>
      <c r="W119" s="403"/>
      <c r="X119" s="403"/>
      <c r="Y119" s="403"/>
      <c r="Z119" s="403"/>
      <c r="AA119" s="403"/>
      <c r="AB119" s="403"/>
      <c r="AC119" s="403"/>
      <c r="AD119" s="403"/>
      <c r="AE119" s="403"/>
      <c r="AF119" s="403"/>
      <c r="AG119" s="403"/>
      <c r="AH119" s="403"/>
      <c r="AI119" s="403"/>
      <c r="AJ119" s="403"/>
    </row>
    <row r="120" spans="1:36">
      <c r="A120" s="482"/>
      <c r="B120" s="455"/>
      <c r="C120" s="455"/>
      <c r="D120" s="455"/>
      <c r="E120" s="455"/>
      <c r="F120" s="455"/>
      <c r="G120" s="455"/>
      <c r="H120" s="455"/>
      <c r="I120" s="455"/>
      <c r="J120" s="403"/>
      <c r="K120" s="403"/>
      <c r="L120" s="403"/>
      <c r="M120" s="403"/>
      <c r="N120" s="403"/>
      <c r="O120" s="403"/>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row>
    <row r="121" spans="1:36">
      <c r="A121" s="482"/>
      <c r="B121" s="455"/>
      <c r="C121" s="455"/>
      <c r="D121" s="455"/>
      <c r="E121" s="455"/>
      <c r="F121" s="455"/>
      <c r="G121" s="455"/>
      <c r="H121" s="455"/>
      <c r="I121" s="455"/>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c r="AF121" s="403"/>
      <c r="AG121" s="403"/>
      <c r="AH121" s="403"/>
      <c r="AI121" s="403"/>
      <c r="AJ121" s="403"/>
    </row>
    <row r="122" spans="1:36">
      <c r="A122" s="482"/>
      <c r="B122" s="455"/>
      <c r="C122" s="455"/>
      <c r="D122" s="455"/>
      <c r="E122" s="455"/>
      <c r="F122" s="455"/>
      <c r="G122" s="455"/>
      <c r="H122" s="455"/>
      <c r="I122" s="455"/>
      <c r="J122" s="403"/>
      <c r="K122" s="403"/>
      <c r="L122" s="403"/>
      <c r="M122" s="403"/>
      <c r="N122" s="403"/>
      <c r="O122" s="403"/>
      <c r="P122" s="403"/>
      <c r="Q122" s="403"/>
      <c r="R122" s="403"/>
      <c r="S122" s="403"/>
      <c r="T122" s="403"/>
      <c r="U122" s="403"/>
      <c r="V122" s="403"/>
      <c r="W122" s="403"/>
      <c r="X122" s="403"/>
      <c r="Y122" s="403"/>
      <c r="Z122" s="403"/>
      <c r="AA122" s="403"/>
      <c r="AB122" s="403"/>
      <c r="AC122" s="403"/>
      <c r="AD122" s="403"/>
      <c r="AE122" s="403"/>
      <c r="AF122" s="403"/>
      <c r="AG122" s="403"/>
      <c r="AH122" s="403"/>
      <c r="AI122" s="403"/>
      <c r="AJ122" s="403"/>
    </row>
    <row r="123" spans="1:36">
      <c r="A123" s="482"/>
      <c r="B123" s="455"/>
      <c r="C123" s="455"/>
      <c r="D123" s="455"/>
      <c r="E123" s="455"/>
      <c r="F123" s="455"/>
      <c r="G123" s="455"/>
      <c r="H123" s="455"/>
      <c r="I123" s="455"/>
      <c r="J123" s="403"/>
      <c r="K123" s="403"/>
      <c r="L123" s="403"/>
      <c r="M123" s="403"/>
      <c r="N123" s="403"/>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row>
    <row r="124" spans="1:36">
      <c r="A124" s="482"/>
      <c r="B124" s="455"/>
      <c r="C124" s="455"/>
      <c r="D124" s="455"/>
      <c r="E124" s="455"/>
      <c r="F124" s="455"/>
      <c r="G124" s="455"/>
      <c r="H124" s="455"/>
      <c r="I124" s="455"/>
      <c r="J124" s="403"/>
      <c r="K124" s="403"/>
      <c r="L124" s="403"/>
      <c r="M124" s="403"/>
      <c r="N124" s="403"/>
      <c r="O124" s="403"/>
      <c r="P124" s="403"/>
      <c r="Q124" s="403"/>
      <c r="R124" s="403"/>
      <c r="S124" s="403"/>
      <c r="T124" s="403"/>
      <c r="U124" s="403"/>
      <c r="V124" s="403"/>
      <c r="W124" s="403"/>
      <c r="X124" s="403"/>
      <c r="Y124" s="403"/>
      <c r="Z124" s="403"/>
      <c r="AA124" s="403"/>
      <c r="AB124" s="403"/>
      <c r="AC124" s="403"/>
      <c r="AD124" s="403"/>
      <c r="AE124" s="403"/>
      <c r="AF124" s="403"/>
      <c r="AG124" s="403"/>
      <c r="AH124" s="403"/>
      <c r="AI124" s="403"/>
      <c r="AJ124" s="403"/>
    </row>
    <row r="125" spans="1:36">
      <c r="A125" s="482"/>
      <c r="B125" s="455"/>
      <c r="C125" s="455"/>
      <c r="D125" s="455"/>
      <c r="E125" s="455"/>
      <c r="F125" s="455"/>
      <c r="G125" s="455"/>
      <c r="H125" s="455"/>
      <c r="I125" s="455"/>
      <c r="J125" s="403"/>
      <c r="K125" s="403"/>
      <c r="L125" s="403"/>
      <c r="M125" s="403"/>
      <c r="N125" s="403"/>
      <c r="O125" s="403"/>
      <c r="P125" s="403"/>
      <c r="Q125" s="403"/>
      <c r="R125" s="403"/>
      <c r="S125" s="403"/>
      <c r="T125" s="403"/>
      <c r="U125" s="403"/>
      <c r="V125" s="403"/>
      <c r="W125" s="403"/>
      <c r="X125" s="403"/>
      <c r="Y125" s="403"/>
      <c r="Z125" s="403"/>
      <c r="AA125" s="403"/>
      <c r="AB125" s="403"/>
      <c r="AC125" s="403"/>
      <c r="AD125" s="403"/>
      <c r="AE125" s="403"/>
      <c r="AF125" s="403"/>
      <c r="AG125" s="403"/>
      <c r="AH125" s="403"/>
      <c r="AI125" s="403"/>
      <c r="AJ125" s="403"/>
    </row>
    <row r="126" spans="1:36">
      <c r="A126" s="482"/>
      <c r="B126" s="455"/>
      <c r="C126" s="455"/>
      <c r="D126" s="455"/>
      <c r="E126" s="455"/>
      <c r="F126" s="455"/>
      <c r="G126" s="455"/>
      <c r="H126" s="455"/>
      <c r="I126" s="455"/>
      <c r="J126" s="403"/>
      <c r="K126" s="403"/>
      <c r="L126" s="403"/>
      <c r="M126" s="403"/>
      <c r="N126" s="403"/>
      <c r="O126" s="403"/>
      <c r="P126" s="403"/>
      <c r="Q126" s="403"/>
      <c r="R126" s="403"/>
      <c r="S126" s="403"/>
      <c r="T126" s="403"/>
      <c r="U126" s="403"/>
      <c r="V126" s="403"/>
      <c r="W126" s="403"/>
      <c r="X126" s="403"/>
      <c r="Y126" s="403"/>
      <c r="Z126" s="403"/>
      <c r="AA126" s="403"/>
      <c r="AB126" s="403"/>
      <c r="AC126" s="403"/>
      <c r="AD126" s="403"/>
      <c r="AE126" s="403"/>
      <c r="AF126" s="403"/>
      <c r="AG126" s="403"/>
      <c r="AH126" s="403"/>
      <c r="AI126" s="403"/>
      <c r="AJ126" s="403"/>
    </row>
    <row r="127" spans="1:36">
      <c r="A127" s="482"/>
      <c r="B127" s="455"/>
      <c r="C127" s="455"/>
      <c r="D127" s="455"/>
      <c r="E127" s="455"/>
      <c r="F127" s="455"/>
      <c r="G127" s="455"/>
      <c r="H127" s="455"/>
      <c r="I127" s="455"/>
      <c r="J127" s="403"/>
      <c r="K127" s="403"/>
      <c r="L127" s="403"/>
      <c r="M127" s="403"/>
      <c r="N127" s="403"/>
      <c r="O127" s="403"/>
      <c r="P127" s="403"/>
      <c r="Q127" s="403"/>
      <c r="R127" s="403"/>
      <c r="S127" s="403"/>
      <c r="T127" s="403"/>
      <c r="U127" s="403"/>
      <c r="V127" s="403"/>
      <c r="W127" s="403"/>
      <c r="X127" s="403"/>
      <c r="Y127" s="403"/>
      <c r="Z127" s="403"/>
      <c r="AA127" s="403"/>
      <c r="AB127" s="403"/>
      <c r="AC127" s="403"/>
      <c r="AD127" s="403"/>
      <c r="AE127" s="403"/>
      <c r="AF127" s="403"/>
      <c r="AG127" s="403"/>
      <c r="AH127" s="403"/>
      <c r="AI127" s="403"/>
      <c r="AJ127" s="403"/>
    </row>
    <row r="128" spans="1:36">
      <c r="A128" s="482"/>
      <c r="B128" s="455"/>
      <c r="C128" s="455"/>
      <c r="D128" s="455"/>
      <c r="E128" s="455"/>
      <c r="F128" s="455"/>
      <c r="G128" s="455"/>
      <c r="H128" s="455"/>
      <c r="I128" s="455"/>
      <c r="J128" s="403"/>
      <c r="K128" s="403"/>
      <c r="L128" s="403"/>
      <c r="M128" s="403"/>
      <c r="N128" s="403"/>
      <c r="O128" s="403"/>
      <c r="P128" s="403"/>
      <c r="Q128" s="403"/>
      <c r="R128" s="403"/>
      <c r="S128" s="403"/>
      <c r="T128" s="403"/>
      <c r="U128" s="403"/>
      <c r="V128" s="403"/>
      <c r="W128" s="403"/>
      <c r="X128" s="403"/>
      <c r="Y128" s="403"/>
      <c r="Z128" s="403"/>
      <c r="AA128" s="403"/>
      <c r="AB128" s="403"/>
      <c r="AC128" s="403"/>
      <c r="AD128" s="403"/>
      <c r="AE128" s="403"/>
      <c r="AF128" s="403"/>
      <c r="AG128" s="403"/>
      <c r="AH128" s="403"/>
      <c r="AI128" s="403"/>
      <c r="AJ128" s="403"/>
    </row>
    <row r="129" spans="1:106">
      <c r="A129" s="406" t="s">
        <v>180</v>
      </c>
      <c r="B129" s="611"/>
    </row>
    <row r="130" spans="1:106">
      <c r="C130" s="611"/>
      <c r="D130" s="611"/>
      <c r="E130" s="611"/>
      <c r="F130" s="611"/>
      <c r="G130" s="611"/>
      <c r="H130" s="611"/>
      <c r="I130" s="611"/>
    </row>
    <row r="131" spans="1:106">
      <c r="A131" s="406"/>
      <c r="C131" s="596">
        <f>C61-C28</f>
        <v>-1.9921862985938787E-6</v>
      </c>
      <c r="D131" s="596">
        <f>D61-D28</f>
        <v>-1.7823913367465138E-6</v>
      </c>
      <c r="E131" s="596">
        <f t="shared" ref="E131:BP131" si="1">E61-E28</f>
        <v>-2.6919988158624619E-6</v>
      </c>
      <c r="F131" s="596">
        <f t="shared" si="1"/>
        <v>4.922003427054733E-7</v>
      </c>
      <c r="G131" s="596">
        <f t="shared" si="1"/>
        <v>1.5855912351980805E-6</v>
      </c>
      <c r="H131" s="596">
        <f t="shared" si="1"/>
        <v>2.8698195819742978E-7</v>
      </c>
      <c r="I131" s="596">
        <f t="shared" si="1"/>
        <v>9.10476956050843E-8</v>
      </c>
      <c r="J131" s="596">
        <f t="shared" si="1"/>
        <v>1.9955405150540173E-7</v>
      </c>
      <c r="K131" s="596">
        <f t="shared" si="1"/>
        <v>3.8879807107150555E-7</v>
      </c>
      <c r="L131" s="596">
        <f t="shared" si="1"/>
        <v>6.8786903284490108E-8</v>
      </c>
      <c r="M131" s="596">
        <f t="shared" si="1"/>
        <v>-4.5836604840587825E-6</v>
      </c>
      <c r="N131" s="596">
        <f t="shared" si="1"/>
        <v>-5.4012343753129244E-7</v>
      </c>
      <c r="O131" s="596">
        <f t="shared" si="1"/>
        <v>1.0467192623764277E-7</v>
      </c>
      <c r="P131" s="596">
        <f t="shared" si="1"/>
        <v>-9.1131369117647409E-9</v>
      </c>
      <c r="Q131" s="596">
        <f t="shared" si="1"/>
        <v>-3.6903984437230974E-6</v>
      </c>
      <c r="R131" s="596">
        <f t="shared" si="1"/>
        <v>2.5979788915719837E-6</v>
      </c>
      <c r="S131" s="596">
        <f t="shared" si="1"/>
        <v>2.3260508896782994E-7</v>
      </c>
      <c r="T131" s="596">
        <f t="shared" si="1"/>
        <v>-8.3607665146701038E-7</v>
      </c>
      <c r="U131" s="596">
        <f t="shared" si="1"/>
        <v>-2.227581717306748E-6</v>
      </c>
      <c r="V131" s="596">
        <f t="shared" si="1"/>
        <v>-3.5185075830668211E-7</v>
      </c>
      <c r="W131" s="596">
        <f t="shared" si="1"/>
        <v>-2.6157067622989416E-7</v>
      </c>
      <c r="X131" s="596">
        <f t="shared" si="1"/>
        <v>2.7911119104828686E-6</v>
      </c>
      <c r="Y131" s="596">
        <f t="shared" si="1"/>
        <v>1.5722907846793532E-6</v>
      </c>
      <c r="Z131" s="596">
        <f t="shared" si="1"/>
        <v>7.0579335442744195E-7</v>
      </c>
      <c r="AA131" s="596">
        <f t="shared" si="1"/>
        <v>1.9979779608547688E-7</v>
      </c>
      <c r="AB131" s="596">
        <f t="shared" si="1"/>
        <v>-4.0090526454150677E-7</v>
      </c>
      <c r="AC131" s="596">
        <f t="shared" si="1"/>
        <v>-6.89135049469769E-7</v>
      </c>
      <c r="AD131" s="596">
        <f t="shared" si="1"/>
        <v>-6.1457103583961725E-7</v>
      </c>
      <c r="AE131" s="596">
        <f t="shared" si="1"/>
        <v>-5.7456782087683678E-7</v>
      </c>
      <c r="AF131" s="596">
        <f t="shared" si="1"/>
        <v>-1.1785814422182739E-6</v>
      </c>
      <c r="AG131" s="596">
        <f t="shared" si="1"/>
        <v>-9.9879252957180142E-7</v>
      </c>
      <c r="AH131" s="596">
        <f t="shared" si="1"/>
        <v>-1.6173507901839912E-6</v>
      </c>
      <c r="AI131" s="596">
        <f t="shared" si="1"/>
        <v>-1.7190541257150471E-6</v>
      </c>
      <c r="AJ131" s="596">
        <f t="shared" si="1"/>
        <v>-9.9357566796243191E-7</v>
      </c>
      <c r="AK131" s="596">
        <f t="shared" si="1"/>
        <v>-1.4663892216049135E-6</v>
      </c>
      <c r="AL131" s="596">
        <f t="shared" si="1"/>
        <v>-2.148248313460499E-6</v>
      </c>
      <c r="AM131" s="596">
        <f t="shared" si="1"/>
        <v>-1.18556636152789E-6</v>
      </c>
      <c r="AN131" s="596">
        <f t="shared" si="1"/>
        <v>-2.0152147044427693E-6</v>
      </c>
      <c r="AO131" s="596">
        <f t="shared" si="1"/>
        <v>-2.2206586436368525E-6</v>
      </c>
      <c r="AP131" s="596">
        <f t="shared" si="1"/>
        <v>-1.5723126125521958E-6</v>
      </c>
      <c r="AQ131" s="596">
        <f t="shared" si="1"/>
        <v>-1.7147831385955215E-6</v>
      </c>
      <c r="AR131" s="596">
        <f t="shared" si="1"/>
        <v>-1.5238329069688916E-6</v>
      </c>
      <c r="AS131" s="596">
        <f t="shared" si="1"/>
        <v>-1.3778480933979154E-6</v>
      </c>
      <c r="AT131" s="596">
        <f t="shared" si="1"/>
        <v>-5.5254349717870355E-7</v>
      </c>
      <c r="AU131" s="596">
        <f t="shared" si="1"/>
        <v>-7.4182025855407119E-7</v>
      </c>
      <c r="AV131" s="596">
        <f t="shared" si="1"/>
        <v>-8.634597179479897E-7</v>
      </c>
      <c r="AW131" s="596">
        <f t="shared" si="1"/>
        <v>-4.3878389988094568E-7</v>
      </c>
      <c r="AX131" s="596">
        <f t="shared" si="1"/>
        <v>-8.3897612057626247E-7</v>
      </c>
      <c r="AY131" s="596">
        <f t="shared" si="1"/>
        <v>-2.1238010958768427E-6</v>
      </c>
      <c r="AZ131" s="596">
        <f t="shared" si="1"/>
        <v>-9.7094743978232145E-7</v>
      </c>
      <c r="BA131" s="596">
        <f t="shared" si="1"/>
        <v>-4.9597292672842741E-7</v>
      </c>
      <c r="BB131" s="596">
        <f t="shared" si="1"/>
        <v>-1.0542935342527926E-6</v>
      </c>
      <c r="BC131" s="596">
        <f t="shared" si="1"/>
        <v>-1.9979779608547688E-7</v>
      </c>
      <c r="BD131" s="596">
        <f t="shared" si="1"/>
        <v>-1.4243778423406184E-6</v>
      </c>
      <c r="BE131" s="596">
        <f t="shared" si="1"/>
        <v>-1.0724106687121093E-6</v>
      </c>
      <c r="BF131" s="596">
        <f t="shared" si="1"/>
        <v>-3.5836274037137628E-7</v>
      </c>
      <c r="BG131" s="596">
        <f t="shared" si="1"/>
        <v>2.7328496798872948E-7</v>
      </c>
      <c r="BH131" s="596">
        <f t="shared" si="1"/>
        <v>3.0834053177386522E-7</v>
      </c>
      <c r="BI131" s="596">
        <f t="shared" si="1"/>
        <v>-2.100052370224148E-6</v>
      </c>
      <c r="BJ131" s="596">
        <f t="shared" si="1"/>
        <v>3.9231963455677032E-8</v>
      </c>
      <c r="BK131" s="596">
        <f t="shared" si="1"/>
        <v>-1.8833816284313798E-7</v>
      </c>
      <c r="BL131" s="596">
        <f t="shared" si="1"/>
        <v>1.1968950275331736E-8</v>
      </c>
      <c r="BM131" s="596">
        <f t="shared" si="1"/>
        <v>-5.6916178436949849E-7</v>
      </c>
      <c r="BN131" s="596">
        <f t="shared" si="1"/>
        <v>3.016320988535881E-7</v>
      </c>
      <c r="BO131" s="596">
        <f t="shared" si="1"/>
        <v>-1.0193398338742554E-6</v>
      </c>
      <c r="BP131" s="596">
        <f t="shared" si="1"/>
        <v>-1.8116115825250745E-6</v>
      </c>
      <c r="BQ131" s="596">
        <f t="shared" ref="BQ131:CX131" si="2">BQ61-BQ28</f>
        <v>-4.3534964788705111E-7</v>
      </c>
      <c r="BR131" s="596">
        <f t="shared" si="2"/>
        <v>-2.585853508207947E-6</v>
      </c>
      <c r="BS131" s="596">
        <f t="shared" si="2"/>
        <v>-2.2458480088971555E-6</v>
      </c>
      <c r="BT131" s="596">
        <f t="shared" si="2"/>
        <v>-1.6729245544411242E-6</v>
      </c>
      <c r="BU131" s="596">
        <f t="shared" si="2"/>
        <v>-8.931383490562439E-7</v>
      </c>
      <c r="BV131" s="596">
        <f t="shared" si="2"/>
        <v>8.3113263826817274E-8</v>
      </c>
      <c r="BW131" s="596">
        <f t="shared" si="2"/>
        <v>-1.9028739188797772E-6</v>
      </c>
      <c r="BX131" s="596">
        <f t="shared" si="2"/>
        <v>-1.7811398720368743E-6</v>
      </c>
      <c r="BY131" s="596">
        <f t="shared" si="2"/>
        <v>-6.3161132857203484E-7</v>
      </c>
      <c r="BZ131" s="596">
        <f t="shared" si="2"/>
        <v>-1.2353921192698181E-6</v>
      </c>
      <c r="CA131" s="596">
        <f t="shared" si="2"/>
        <v>-1.5319747035391629E-6</v>
      </c>
      <c r="CB131" s="596">
        <f t="shared" si="2"/>
        <v>-2.2063904907554388E-6</v>
      </c>
      <c r="CC131" s="596">
        <f t="shared" si="2"/>
        <v>-4.5044725993648171E-7</v>
      </c>
      <c r="CD131" s="596">
        <f t="shared" si="2"/>
        <v>-3.8652069633826613E-7</v>
      </c>
      <c r="CE131" s="596">
        <f t="shared" si="2"/>
        <v>-1.2850068742409348E-7</v>
      </c>
      <c r="CF131" s="596">
        <f t="shared" si="2"/>
        <v>2.9549119062721729E-7</v>
      </c>
      <c r="CG131" s="596">
        <f t="shared" si="2"/>
        <v>-9.4399001682177186E-7</v>
      </c>
      <c r="CH131" s="596">
        <f t="shared" si="2"/>
        <v>-1.0095973266288638E-6</v>
      </c>
      <c r="CI131" s="596">
        <f t="shared" si="2"/>
        <v>-6.9335510488599539E-7</v>
      </c>
      <c r="CJ131" s="596">
        <f t="shared" si="2"/>
        <v>-2.3119428078643978E-6</v>
      </c>
      <c r="CK131" s="596">
        <f t="shared" si="2"/>
        <v>-1.7989877960644662E-6</v>
      </c>
      <c r="CL131" s="596">
        <f t="shared" si="2"/>
        <v>-1.0983931133523583E-6</v>
      </c>
      <c r="CM131" s="596">
        <f t="shared" si="2"/>
        <v>-1.3608660083264112E-6</v>
      </c>
      <c r="CN131" s="596">
        <f t="shared" si="2"/>
        <v>-7.3130649980157614E-7</v>
      </c>
      <c r="CO131" s="596">
        <f t="shared" si="2"/>
        <v>-8.6711952462792397E-7</v>
      </c>
      <c r="CP131" s="596">
        <f t="shared" si="2"/>
        <v>-8.5976353147998452E-7</v>
      </c>
      <c r="CQ131" s="596">
        <f t="shared" si="2"/>
        <v>-9.8798773251473904E-7</v>
      </c>
      <c r="CR131" s="596">
        <f t="shared" si="2"/>
        <v>-1.2875098036602139E-6</v>
      </c>
      <c r="CS131" s="596">
        <f t="shared" si="2"/>
        <v>-2.1160012693144381E-6</v>
      </c>
      <c r="CT131" s="596">
        <f t="shared" si="2"/>
        <v>-1.5998957678675652E-6</v>
      </c>
      <c r="CU131" s="596">
        <f t="shared" si="2"/>
        <v>-8.8473461801186204E-7</v>
      </c>
      <c r="CV131" s="596">
        <f t="shared" si="2"/>
        <v>-5.8931618696078658E-7</v>
      </c>
      <c r="CW131" s="596">
        <f t="shared" si="2"/>
        <v>-8.517381502315402E-7</v>
      </c>
      <c r="CX131" s="596">
        <f t="shared" si="2"/>
        <v>-7.7299046097323298E-7</v>
      </c>
      <c r="CY131" s="596"/>
      <c r="CZ131" s="596"/>
      <c r="DA131" s="596"/>
      <c r="DB131" s="596"/>
    </row>
    <row r="133" spans="1:106">
      <c r="C133" s="596">
        <f>[40]Sheet1!$S$463/1000000</f>
        <v>25474.471452395435</v>
      </c>
      <c r="D133" s="596">
        <f>[8]Sheet2!$C$433/1000000</f>
        <v>26072.063895684201</v>
      </c>
      <c r="E133" s="596">
        <f>[9]Sheet2!$C$433/1000000</f>
        <v>26415.344452919999</v>
      </c>
      <c r="F133" s="596">
        <f>[10]Sheet2!$C$433/1000000</f>
        <v>26856.4152350242</v>
      </c>
      <c r="G133" s="596">
        <f>[11]Sheet2!$C$433/1000000</f>
        <v>27494.964101177593</v>
      </c>
      <c r="H133" s="596">
        <f>[12]Sheet2!$C$433/1000000</f>
        <v>27955.940532792596</v>
      </c>
      <c r="I133" s="596">
        <f>[13]Sheet2!$C$433/1000000</f>
        <v>28194.361602293327</v>
      </c>
      <c r="J133" s="596">
        <f>[14]Sheet2!$C$433/1000000</f>
        <v>28336.892915349788</v>
      </c>
      <c r="K133" s="596">
        <f>[15]Sheet2!$C$433/1000000</f>
        <v>28563.364929485931</v>
      </c>
      <c r="L133" s="596">
        <f>[16]Sheet2!$C$433/1000000</f>
        <v>28740.361376723944</v>
      </c>
      <c r="M133" s="596">
        <f>[17]Sheet2!$C$433/1000000</f>
        <v>29096.352207255881</v>
      </c>
      <c r="N133" s="596">
        <f>[18]Sheet2!$C$433/1000000</f>
        <v>29423.313250309962</v>
      </c>
      <c r="O133" s="596">
        <f>[19]Sheet2!$C$433/1000000</f>
        <v>29904.420293369949</v>
      </c>
      <c r="P133" s="596">
        <f>[20]Sheet2!$C$433/1000000</f>
        <v>30192.423819521264</v>
      </c>
      <c r="Q133" s="596">
        <f>[21]Sheet2!$C$433/1000000</f>
        <v>30534.515536923256</v>
      </c>
      <c r="R133" s="596">
        <f>[22]Sheet2!$C$433/1000000</f>
        <v>30645.306166036935</v>
      </c>
      <c r="S133" s="596">
        <f>[23]Sheet2!$C$433/1000000</f>
        <v>30723.1428050094</v>
      </c>
      <c r="T133" s="596">
        <f>[24]Sheet2!$C$433/1000000</f>
        <v>30582.685570265083</v>
      </c>
      <c r="U133" s="596">
        <f>[25]Sheet2!$C$433/1000000</f>
        <v>31026.051213552906</v>
      </c>
      <c r="V133" s="596">
        <f>[26]Sheet2!$C$433/1000000</f>
        <v>31204.967849636963</v>
      </c>
      <c r="W133" s="596">
        <f>[27]Sheet2!$C$433/1000000</f>
        <v>31436.78875257288</v>
      </c>
      <c r="X133" s="596">
        <f>[28]Sheet2!$C$433/1000000</f>
        <v>31766.227604989108</v>
      </c>
      <c r="Y133" s="596">
        <f>[29]Sheet2!$C$433/1000000</f>
        <v>32105.986535472326</v>
      </c>
      <c r="Z133" s="596">
        <f>[30]Sheet2!$C$433/1000000</f>
        <v>32381.205792838249</v>
      </c>
      <c r="AA133" s="596">
        <f>[31]Sheet2!$C$433/1000000</f>
        <v>32750.688683894692</v>
      </c>
      <c r="AB133" s="596">
        <f>[32]Sheet2!$C$433/1000000</f>
        <v>33028.065470894588</v>
      </c>
      <c r="AC133" s="596">
        <f>[33]Sheet2!$C$433/1000000</f>
        <v>33597.285546806248</v>
      </c>
      <c r="AD133" s="596">
        <f>[34]Sheet2!$C$433/1000000</f>
        <v>33479.612832110332</v>
      </c>
      <c r="AE133" s="596">
        <f>[35]Sheet2!$C$433/1000000</f>
        <v>33528.234725332208</v>
      </c>
      <c r="AF133" s="596">
        <f>[36]Sheet2!$C$433/1000000</f>
        <v>33945.252423109217</v>
      </c>
      <c r="AG133" s="596">
        <f>[37]Sheet2!$C$433/1000000</f>
        <v>34531.168337755749</v>
      </c>
      <c r="AH133" s="596">
        <f>[38]Sheet2!$C$433/1000000</f>
        <v>35377.395748930103</v>
      </c>
      <c r="AI133" s="596">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133"/>
  <sheetViews>
    <sheetView zoomScaleNormal="100" workbookViewId="0">
      <pane xSplit="98" ySplit="5" topLeftCell="CU6" activePane="bottomRight" state="frozen"/>
      <selection pane="topRight" activeCell="CU1" sqref="CU1"/>
      <selection pane="bottomLeft" activeCell="A6" sqref="A6"/>
      <selection pane="bottomRight" activeCell="CU6" sqref="CU6"/>
    </sheetView>
  </sheetViews>
  <sheetFormatPr defaultRowHeight="15"/>
  <cols>
    <col min="1" max="1" width="5.85546875" style="546" customWidth="1"/>
    <col min="2" max="2" width="54.28515625" style="546" customWidth="1"/>
    <col min="3" max="43" width="9.140625" style="546" hidden="1" customWidth="1"/>
    <col min="44" max="55" width="9.28515625" style="546" hidden="1" customWidth="1"/>
    <col min="56" max="56" width="9.42578125" style="546" hidden="1" customWidth="1"/>
    <col min="57" max="57" width="8.28515625" style="546" hidden="1" customWidth="1"/>
    <col min="58" max="61" width="9.28515625" style="546" hidden="1" customWidth="1"/>
    <col min="62" max="64" width="10.7109375" style="546" hidden="1" customWidth="1"/>
    <col min="65" max="65" width="10.5703125" style="546" hidden="1" customWidth="1"/>
    <col min="66" max="95" width="10.7109375" style="546" hidden="1" customWidth="1"/>
    <col min="96" max="96" width="11.85546875" style="546" hidden="1" customWidth="1"/>
    <col min="97" max="98" width="12.7109375" style="546" hidden="1" customWidth="1"/>
    <col min="99" max="111" width="12.7109375" style="546" customWidth="1"/>
    <col min="112" max="256" width="9.140625" style="546"/>
    <col min="257" max="257" width="5.85546875" style="546" customWidth="1"/>
    <col min="258" max="258" width="54.28515625" style="546" customWidth="1"/>
    <col min="259" max="351" width="0" style="546" hidden="1" customWidth="1"/>
    <col min="352" max="362" width="10.7109375" style="546" customWidth="1"/>
    <col min="363" max="363" width="10.42578125" style="546" customWidth="1"/>
    <col min="364" max="364" width="11" style="546" bestFit="1" customWidth="1"/>
    <col min="365" max="512" width="9.140625" style="546"/>
    <col min="513" max="513" width="5.85546875" style="546" customWidth="1"/>
    <col min="514" max="514" width="54.28515625" style="546" customWidth="1"/>
    <col min="515" max="607" width="0" style="546" hidden="1" customWidth="1"/>
    <col min="608" max="618" width="10.7109375" style="546" customWidth="1"/>
    <col min="619" max="619" width="10.42578125" style="546" customWidth="1"/>
    <col min="620" max="620" width="11" style="546" bestFit="1" customWidth="1"/>
    <col min="621" max="768" width="9.140625" style="546"/>
    <col min="769" max="769" width="5.85546875" style="546" customWidth="1"/>
    <col min="770" max="770" width="54.28515625" style="546" customWidth="1"/>
    <col min="771" max="863" width="0" style="546" hidden="1" customWidth="1"/>
    <col min="864" max="874" width="10.7109375" style="546" customWidth="1"/>
    <col min="875" max="875" width="10.42578125" style="546" customWidth="1"/>
    <col min="876" max="876" width="11" style="546" bestFit="1" customWidth="1"/>
    <col min="877" max="1024" width="9.140625" style="546"/>
    <col min="1025" max="1025" width="5.85546875" style="546" customWidth="1"/>
    <col min="1026" max="1026" width="54.28515625" style="546" customWidth="1"/>
    <col min="1027" max="1119" width="0" style="546" hidden="1" customWidth="1"/>
    <col min="1120" max="1130" width="10.7109375" style="546" customWidth="1"/>
    <col min="1131" max="1131" width="10.42578125" style="546" customWidth="1"/>
    <col min="1132" max="1132" width="11" style="546" bestFit="1" customWidth="1"/>
    <col min="1133" max="1280" width="9.140625" style="546"/>
    <col min="1281" max="1281" width="5.85546875" style="546" customWidth="1"/>
    <col min="1282" max="1282" width="54.28515625" style="546" customWidth="1"/>
    <col min="1283" max="1375" width="0" style="546" hidden="1" customWidth="1"/>
    <col min="1376" max="1386" width="10.7109375" style="546" customWidth="1"/>
    <col min="1387" max="1387" width="10.42578125" style="546" customWidth="1"/>
    <col min="1388" max="1388" width="11" style="546" bestFit="1" customWidth="1"/>
    <col min="1389" max="1536" width="9.140625" style="546"/>
    <col min="1537" max="1537" width="5.85546875" style="546" customWidth="1"/>
    <col min="1538" max="1538" width="54.28515625" style="546" customWidth="1"/>
    <col min="1539" max="1631" width="0" style="546" hidden="1" customWidth="1"/>
    <col min="1632" max="1642" width="10.7109375" style="546" customWidth="1"/>
    <col min="1643" max="1643" width="10.42578125" style="546" customWidth="1"/>
    <col min="1644" max="1644" width="11" style="546" bestFit="1" customWidth="1"/>
    <col min="1645" max="1792" width="9.140625" style="546"/>
    <col min="1793" max="1793" width="5.85546875" style="546" customWidth="1"/>
    <col min="1794" max="1794" width="54.28515625" style="546" customWidth="1"/>
    <col min="1795" max="1887" width="0" style="546" hidden="1" customWidth="1"/>
    <col min="1888" max="1898" width="10.7109375" style="546" customWidth="1"/>
    <col min="1899" max="1899" width="10.42578125" style="546" customWidth="1"/>
    <col min="1900" max="1900" width="11" style="546" bestFit="1" customWidth="1"/>
    <col min="1901" max="2048" width="9.140625" style="546"/>
    <col min="2049" max="2049" width="5.85546875" style="546" customWidth="1"/>
    <col min="2050" max="2050" width="54.28515625" style="546" customWidth="1"/>
    <col min="2051" max="2143" width="0" style="546" hidden="1" customWidth="1"/>
    <col min="2144" max="2154" width="10.7109375" style="546" customWidth="1"/>
    <col min="2155" max="2155" width="10.42578125" style="546" customWidth="1"/>
    <col min="2156" max="2156" width="11" style="546" bestFit="1" customWidth="1"/>
    <col min="2157" max="2304" width="9.140625" style="546"/>
    <col min="2305" max="2305" width="5.85546875" style="546" customWidth="1"/>
    <col min="2306" max="2306" width="54.28515625" style="546" customWidth="1"/>
    <col min="2307" max="2399" width="0" style="546" hidden="1" customWidth="1"/>
    <col min="2400" max="2410" width="10.7109375" style="546" customWidth="1"/>
    <col min="2411" max="2411" width="10.42578125" style="546" customWidth="1"/>
    <col min="2412" max="2412" width="11" style="546" bestFit="1" customWidth="1"/>
    <col min="2413" max="2560" width="9.140625" style="546"/>
    <col min="2561" max="2561" width="5.85546875" style="546" customWidth="1"/>
    <col min="2562" max="2562" width="54.28515625" style="546" customWidth="1"/>
    <col min="2563" max="2655" width="0" style="546" hidden="1" customWidth="1"/>
    <col min="2656" max="2666" width="10.7109375" style="546" customWidth="1"/>
    <col min="2667" max="2667" width="10.42578125" style="546" customWidth="1"/>
    <col min="2668" max="2668" width="11" style="546" bestFit="1" customWidth="1"/>
    <col min="2669" max="2816" width="9.140625" style="546"/>
    <col min="2817" max="2817" width="5.85546875" style="546" customWidth="1"/>
    <col min="2818" max="2818" width="54.28515625" style="546" customWidth="1"/>
    <col min="2819" max="2911" width="0" style="546" hidden="1" customWidth="1"/>
    <col min="2912" max="2922" width="10.7109375" style="546" customWidth="1"/>
    <col min="2923" max="2923" width="10.42578125" style="546" customWidth="1"/>
    <col min="2924" max="2924" width="11" style="546" bestFit="1" customWidth="1"/>
    <col min="2925" max="3072" width="9.140625" style="546"/>
    <col min="3073" max="3073" width="5.85546875" style="546" customWidth="1"/>
    <col min="3074" max="3074" width="54.28515625" style="546" customWidth="1"/>
    <col min="3075" max="3167" width="0" style="546" hidden="1" customWidth="1"/>
    <col min="3168" max="3178" width="10.7109375" style="546" customWidth="1"/>
    <col min="3179" max="3179" width="10.42578125" style="546" customWidth="1"/>
    <col min="3180" max="3180" width="11" style="546" bestFit="1" customWidth="1"/>
    <col min="3181" max="3328" width="9.140625" style="546"/>
    <col min="3329" max="3329" width="5.85546875" style="546" customWidth="1"/>
    <col min="3330" max="3330" width="54.28515625" style="546" customWidth="1"/>
    <col min="3331" max="3423" width="0" style="546" hidden="1" customWidth="1"/>
    <col min="3424" max="3434" width="10.7109375" style="546" customWidth="1"/>
    <col min="3435" max="3435" width="10.42578125" style="546" customWidth="1"/>
    <col min="3436" max="3436" width="11" style="546" bestFit="1" customWidth="1"/>
    <col min="3437" max="3584" width="9.140625" style="546"/>
    <col min="3585" max="3585" width="5.85546875" style="546" customWidth="1"/>
    <col min="3586" max="3586" width="54.28515625" style="546" customWidth="1"/>
    <col min="3587" max="3679" width="0" style="546" hidden="1" customWidth="1"/>
    <col min="3680" max="3690" width="10.7109375" style="546" customWidth="1"/>
    <col min="3691" max="3691" width="10.42578125" style="546" customWidth="1"/>
    <col min="3692" max="3692" width="11" style="546" bestFit="1" customWidth="1"/>
    <col min="3693" max="3840" width="9.140625" style="546"/>
    <col min="3841" max="3841" width="5.85546875" style="546" customWidth="1"/>
    <col min="3842" max="3842" width="54.28515625" style="546" customWidth="1"/>
    <col min="3843" max="3935" width="0" style="546" hidden="1" customWidth="1"/>
    <col min="3936" max="3946" width="10.7109375" style="546" customWidth="1"/>
    <col min="3947" max="3947" width="10.42578125" style="546" customWidth="1"/>
    <col min="3948" max="3948" width="11" style="546" bestFit="1" customWidth="1"/>
    <col min="3949" max="4096" width="9.140625" style="546"/>
    <col min="4097" max="4097" width="5.85546875" style="546" customWidth="1"/>
    <col min="4098" max="4098" width="54.28515625" style="546" customWidth="1"/>
    <col min="4099" max="4191" width="0" style="546" hidden="1" customWidth="1"/>
    <col min="4192" max="4202" width="10.7109375" style="546" customWidth="1"/>
    <col min="4203" max="4203" width="10.42578125" style="546" customWidth="1"/>
    <col min="4204" max="4204" width="11" style="546" bestFit="1" customWidth="1"/>
    <col min="4205" max="4352" width="9.140625" style="546"/>
    <col min="4353" max="4353" width="5.85546875" style="546" customWidth="1"/>
    <col min="4354" max="4354" width="54.28515625" style="546" customWidth="1"/>
    <col min="4355" max="4447" width="0" style="546" hidden="1" customWidth="1"/>
    <col min="4448" max="4458" width="10.7109375" style="546" customWidth="1"/>
    <col min="4459" max="4459" width="10.42578125" style="546" customWidth="1"/>
    <col min="4460" max="4460" width="11" style="546" bestFit="1" customWidth="1"/>
    <col min="4461" max="4608" width="9.140625" style="546"/>
    <col min="4609" max="4609" width="5.85546875" style="546" customWidth="1"/>
    <col min="4610" max="4610" width="54.28515625" style="546" customWidth="1"/>
    <col min="4611" max="4703" width="0" style="546" hidden="1" customWidth="1"/>
    <col min="4704" max="4714" width="10.7109375" style="546" customWidth="1"/>
    <col min="4715" max="4715" width="10.42578125" style="546" customWidth="1"/>
    <col min="4716" max="4716" width="11" style="546" bestFit="1" customWidth="1"/>
    <col min="4717" max="4864" width="9.140625" style="546"/>
    <col min="4865" max="4865" width="5.85546875" style="546" customWidth="1"/>
    <col min="4866" max="4866" width="54.28515625" style="546" customWidth="1"/>
    <col min="4867" max="4959" width="0" style="546" hidden="1" customWidth="1"/>
    <col min="4960" max="4970" width="10.7109375" style="546" customWidth="1"/>
    <col min="4971" max="4971" width="10.42578125" style="546" customWidth="1"/>
    <col min="4972" max="4972" width="11" style="546" bestFit="1" customWidth="1"/>
    <col min="4973" max="5120" width="9.140625" style="546"/>
    <col min="5121" max="5121" width="5.85546875" style="546" customWidth="1"/>
    <col min="5122" max="5122" width="54.28515625" style="546" customWidth="1"/>
    <col min="5123" max="5215" width="0" style="546" hidden="1" customWidth="1"/>
    <col min="5216" max="5226" width="10.7109375" style="546" customWidth="1"/>
    <col min="5227" max="5227" width="10.42578125" style="546" customWidth="1"/>
    <col min="5228" max="5228" width="11" style="546" bestFit="1" customWidth="1"/>
    <col min="5229" max="5376" width="9.140625" style="546"/>
    <col min="5377" max="5377" width="5.85546875" style="546" customWidth="1"/>
    <col min="5378" max="5378" width="54.28515625" style="546" customWidth="1"/>
    <col min="5379" max="5471" width="0" style="546" hidden="1" customWidth="1"/>
    <col min="5472" max="5482" width="10.7109375" style="546" customWidth="1"/>
    <col min="5483" max="5483" width="10.42578125" style="546" customWidth="1"/>
    <col min="5484" max="5484" width="11" style="546" bestFit="1" customWidth="1"/>
    <col min="5485" max="5632" width="9.140625" style="546"/>
    <col min="5633" max="5633" width="5.85546875" style="546" customWidth="1"/>
    <col min="5634" max="5634" width="54.28515625" style="546" customWidth="1"/>
    <col min="5635" max="5727" width="0" style="546" hidden="1" customWidth="1"/>
    <col min="5728" max="5738" width="10.7109375" style="546" customWidth="1"/>
    <col min="5739" max="5739" width="10.42578125" style="546" customWidth="1"/>
    <col min="5740" max="5740" width="11" style="546" bestFit="1" customWidth="1"/>
    <col min="5741" max="5888" width="9.140625" style="546"/>
    <col min="5889" max="5889" width="5.85546875" style="546" customWidth="1"/>
    <col min="5890" max="5890" width="54.28515625" style="546" customWidth="1"/>
    <col min="5891" max="5983" width="0" style="546" hidden="1" customWidth="1"/>
    <col min="5984" max="5994" width="10.7109375" style="546" customWidth="1"/>
    <col min="5995" max="5995" width="10.42578125" style="546" customWidth="1"/>
    <col min="5996" max="5996" width="11" style="546" bestFit="1" customWidth="1"/>
    <col min="5997" max="6144" width="9.140625" style="546"/>
    <col min="6145" max="6145" width="5.85546875" style="546" customWidth="1"/>
    <col min="6146" max="6146" width="54.28515625" style="546" customWidth="1"/>
    <col min="6147" max="6239" width="0" style="546" hidden="1" customWidth="1"/>
    <col min="6240" max="6250" width="10.7109375" style="546" customWidth="1"/>
    <col min="6251" max="6251" width="10.42578125" style="546" customWidth="1"/>
    <col min="6252" max="6252" width="11" style="546" bestFit="1" customWidth="1"/>
    <col min="6253" max="6400" width="9.140625" style="546"/>
    <col min="6401" max="6401" width="5.85546875" style="546" customWidth="1"/>
    <col min="6402" max="6402" width="54.28515625" style="546" customWidth="1"/>
    <col min="6403" max="6495" width="0" style="546" hidden="1" customWidth="1"/>
    <col min="6496" max="6506" width="10.7109375" style="546" customWidth="1"/>
    <col min="6507" max="6507" width="10.42578125" style="546" customWidth="1"/>
    <col min="6508" max="6508" width="11" style="546" bestFit="1" customWidth="1"/>
    <col min="6509" max="6656" width="9.140625" style="546"/>
    <col min="6657" max="6657" width="5.85546875" style="546" customWidth="1"/>
    <col min="6658" max="6658" width="54.28515625" style="546" customWidth="1"/>
    <col min="6659" max="6751" width="0" style="546" hidden="1" customWidth="1"/>
    <col min="6752" max="6762" width="10.7109375" style="546" customWidth="1"/>
    <col min="6763" max="6763" width="10.42578125" style="546" customWidth="1"/>
    <col min="6764" max="6764" width="11" style="546" bestFit="1" customWidth="1"/>
    <col min="6765" max="6912" width="9.140625" style="546"/>
    <col min="6913" max="6913" width="5.85546875" style="546" customWidth="1"/>
    <col min="6914" max="6914" width="54.28515625" style="546" customWidth="1"/>
    <col min="6915" max="7007" width="0" style="546" hidden="1" customWidth="1"/>
    <col min="7008" max="7018" width="10.7109375" style="546" customWidth="1"/>
    <col min="7019" max="7019" width="10.42578125" style="546" customWidth="1"/>
    <col min="7020" max="7020" width="11" style="546" bestFit="1" customWidth="1"/>
    <col min="7021" max="7168" width="9.140625" style="546"/>
    <col min="7169" max="7169" width="5.85546875" style="546" customWidth="1"/>
    <col min="7170" max="7170" width="54.28515625" style="546" customWidth="1"/>
    <col min="7171" max="7263" width="0" style="546" hidden="1" customWidth="1"/>
    <col min="7264" max="7274" width="10.7109375" style="546" customWidth="1"/>
    <col min="7275" max="7275" width="10.42578125" style="546" customWidth="1"/>
    <col min="7276" max="7276" width="11" style="546" bestFit="1" customWidth="1"/>
    <col min="7277" max="7424" width="9.140625" style="546"/>
    <col min="7425" max="7425" width="5.85546875" style="546" customWidth="1"/>
    <col min="7426" max="7426" width="54.28515625" style="546" customWidth="1"/>
    <col min="7427" max="7519" width="0" style="546" hidden="1" customWidth="1"/>
    <col min="7520" max="7530" width="10.7109375" style="546" customWidth="1"/>
    <col min="7531" max="7531" width="10.42578125" style="546" customWidth="1"/>
    <col min="7532" max="7532" width="11" style="546" bestFit="1" customWidth="1"/>
    <col min="7533" max="7680" width="9.140625" style="546"/>
    <col min="7681" max="7681" width="5.85546875" style="546" customWidth="1"/>
    <col min="7682" max="7682" width="54.28515625" style="546" customWidth="1"/>
    <col min="7683" max="7775" width="0" style="546" hidden="1" customWidth="1"/>
    <col min="7776" max="7786" width="10.7109375" style="546" customWidth="1"/>
    <col min="7787" max="7787" width="10.42578125" style="546" customWidth="1"/>
    <col min="7788" max="7788" width="11" style="546" bestFit="1" customWidth="1"/>
    <col min="7789" max="7936" width="9.140625" style="546"/>
    <col min="7937" max="7937" width="5.85546875" style="546" customWidth="1"/>
    <col min="7938" max="7938" width="54.28515625" style="546" customWidth="1"/>
    <col min="7939" max="8031" width="0" style="546" hidden="1" customWidth="1"/>
    <col min="8032" max="8042" width="10.7109375" style="546" customWidth="1"/>
    <col min="8043" max="8043" width="10.42578125" style="546" customWidth="1"/>
    <col min="8044" max="8044" width="11" style="546" bestFit="1" customWidth="1"/>
    <col min="8045" max="8192" width="9.140625" style="546"/>
    <col min="8193" max="8193" width="5.85546875" style="546" customWidth="1"/>
    <col min="8194" max="8194" width="54.28515625" style="546" customWidth="1"/>
    <col min="8195" max="8287" width="0" style="546" hidden="1" customWidth="1"/>
    <col min="8288" max="8298" width="10.7109375" style="546" customWidth="1"/>
    <col min="8299" max="8299" width="10.42578125" style="546" customWidth="1"/>
    <col min="8300" max="8300" width="11" style="546" bestFit="1" customWidth="1"/>
    <col min="8301" max="8448" width="9.140625" style="546"/>
    <col min="8449" max="8449" width="5.85546875" style="546" customWidth="1"/>
    <col min="8450" max="8450" width="54.28515625" style="546" customWidth="1"/>
    <col min="8451" max="8543" width="0" style="546" hidden="1" customWidth="1"/>
    <col min="8544" max="8554" width="10.7109375" style="546" customWidth="1"/>
    <col min="8555" max="8555" width="10.42578125" style="546" customWidth="1"/>
    <col min="8556" max="8556" width="11" style="546" bestFit="1" customWidth="1"/>
    <col min="8557" max="8704" width="9.140625" style="546"/>
    <col min="8705" max="8705" width="5.85546875" style="546" customWidth="1"/>
    <col min="8706" max="8706" width="54.28515625" style="546" customWidth="1"/>
    <col min="8707" max="8799" width="0" style="546" hidden="1" customWidth="1"/>
    <col min="8800" max="8810" width="10.7109375" style="546" customWidth="1"/>
    <col min="8811" max="8811" width="10.42578125" style="546" customWidth="1"/>
    <col min="8812" max="8812" width="11" style="546" bestFit="1" customWidth="1"/>
    <col min="8813" max="8960" width="9.140625" style="546"/>
    <col min="8961" max="8961" width="5.85546875" style="546" customWidth="1"/>
    <col min="8962" max="8962" width="54.28515625" style="546" customWidth="1"/>
    <col min="8963" max="9055" width="0" style="546" hidden="1" customWidth="1"/>
    <col min="9056" max="9066" width="10.7109375" style="546" customWidth="1"/>
    <col min="9067" max="9067" width="10.42578125" style="546" customWidth="1"/>
    <col min="9068" max="9068" width="11" style="546" bestFit="1" customWidth="1"/>
    <col min="9069" max="9216" width="9.140625" style="546"/>
    <col min="9217" max="9217" width="5.85546875" style="546" customWidth="1"/>
    <col min="9218" max="9218" width="54.28515625" style="546" customWidth="1"/>
    <col min="9219" max="9311" width="0" style="546" hidden="1" customWidth="1"/>
    <col min="9312" max="9322" width="10.7109375" style="546" customWidth="1"/>
    <col min="9323" max="9323" width="10.42578125" style="546" customWidth="1"/>
    <col min="9324" max="9324" width="11" style="546" bestFit="1" customWidth="1"/>
    <col min="9325" max="9472" width="9.140625" style="546"/>
    <col min="9473" max="9473" width="5.85546875" style="546" customWidth="1"/>
    <col min="9474" max="9474" width="54.28515625" style="546" customWidth="1"/>
    <col min="9475" max="9567" width="0" style="546" hidden="1" customWidth="1"/>
    <col min="9568" max="9578" width="10.7109375" style="546" customWidth="1"/>
    <col min="9579" max="9579" width="10.42578125" style="546" customWidth="1"/>
    <col min="9580" max="9580" width="11" style="546" bestFit="1" customWidth="1"/>
    <col min="9581" max="9728" width="9.140625" style="546"/>
    <col min="9729" max="9729" width="5.85546875" style="546" customWidth="1"/>
    <col min="9730" max="9730" width="54.28515625" style="546" customWidth="1"/>
    <col min="9731" max="9823" width="0" style="546" hidden="1" customWidth="1"/>
    <col min="9824" max="9834" width="10.7109375" style="546" customWidth="1"/>
    <col min="9835" max="9835" width="10.42578125" style="546" customWidth="1"/>
    <col min="9836" max="9836" width="11" style="546" bestFit="1" customWidth="1"/>
    <col min="9837" max="9984" width="9.140625" style="546"/>
    <col min="9985" max="9985" width="5.85546875" style="546" customWidth="1"/>
    <col min="9986" max="9986" width="54.28515625" style="546" customWidth="1"/>
    <col min="9987" max="10079" width="0" style="546" hidden="1" customWidth="1"/>
    <col min="10080" max="10090" width="10.7109375" style="546" customWidth="1"/>
    <col min="10091" max="10091" width="10.42578125" style="546" customWidth="1"/>
    <col min="10092" max="10092" width="11" style="546" bestFit="1" customWidth="1"/>
    <col min="10093" max="10240" width="9.140625" style="546"/>
    <col min="10241" max="10241" width="5.85546875" style="546" customWidth="1"/>
    <col min="10242" max="10242" width="54.28515625" style="546" customWidth="1"/>
    <col min="10243" max="10335" width="0" style="546" hidden="1" customWidth="1"/>
    <col min="10336" max="10346" width="10.7109375" style="546" customWidth="1"/>
    <col min="10347" max="10347" width="10.42578125" style="546" customWidth="1"/>
    <col min="10348" max="10348" width="11" style="546" bestFit="1" customWidth="1"/>
    <col min="10349" max="10496" width="9.140625" style="546"/>
    <col min="10497" max="10497" width="5.85546875" style="546" customWidth="1"/>
    <col min="10498" max="10498" width="54.28515625" style="546" customWidth="1"/>
    <col min="10499" max="10591" width="0" style="546" hidden="1" customWidth="1"/>
    <col min="10592" max="10602" width="10.7109375" style="546" customWidth="1"/>
    <col min="10603" max="10603" width="10.42578125" style="546" customWidth="1"/>
    <col min="10604" max="10604" width="11" style="546" bestFit="1" customWidth="1"/>
    <col min="10605" max="10752" width="9.140625" style="546"/>
    <col min="10753" max="10753" width="5.85546875" style="546" customWidth="1"/>
    <col min="10754" max="10754" width="54.28515625" style="546" customWidth="1"/>
    <col min="10755" max="10847" width="0" style="546" hidden="1" customWidth="1"/>
    <col min="10848" max="10858" width="10.7109375" style="546" customWidth="1"/>
    <col min="10859" max="10859" width="10.42578125" style="546" customWidth="1"/>
    <col min="10860" max="10860" width="11" style="546" bestFit="1" customWidth="1"/>
    <col min="10861" max="11008" width="9.140625" style="546"/>
    <col min="11009" max="11009" width="5.85546875" style="546" customWidth="1"/>
    <col min="11010" max="11010" width="54.28515625" style="546" customWidth="1"/>
    <col min="11011" max="11103" width="0" style="546" hidden="1" customWidth="1"/>
    <col min="11104" max="11114" width="10.7109375" style="546" customWidth="1"/>
    <col min="11115" max="11115" width="10.42578125" style="546" customWidth="1"/>
    <col min="11116" max="11116" width="11" style="546" bestFit="1" customWidth="1"/>
    <col min="11117" max="11264" width="9.140625" style="546"/>
    <col min="11265" max="11265" width="5.85546875" style="546" customWidth="1"/>
    <col min="11266" max="11266" width="54.28515625" style="546" customWidth="1"/>
    <col min="11267" max="11359" width="0" style="546" hidden="1" customWidth="1"/>
    <col min="11360" max="11370" width="10.7109375" style="546" customWidth="1"/>
    <col min="11371" max="11371" width="10.42578125" style="546" customWidth="1"/>
    <col min="11372" max="11372" width="11" style="546" bestFit="1" customWidth="1"/>
    <col min="11373" max="11520" width="9.140625" style="546"/>
    <col min="11521" max="11521" width="5.85546875" style="546" customWidth="1"/>
    <col min="11522" max="11522" width="54.28515625" style="546" customWidth="1"/>
    <col min="11523" max="11615" width="0" style="546" hidden="1" customWidth="1"/>
    <col min="11616" max="11626" width="10.7109375" style="546" customWidth="1"/>
    <col min="11627" max="11627" width="10.42578125" style="546" customWidth="1"/>
    <col min="11628" max="11628" width="11" style="546" bestFit="1" customWidth="1"/>
    <col min="11629" max="11776" width="9.140625" style="546"/>
    <col min="11777" max="11777" width="5.85546875" style="546" customWidth="1"/>
    <col min="11778" max="11778" width="54.28515625" style="546" customWidth="1"/>
    <col min="11779" max="11871" width="0" style="546" hidden="1" customWidth="1"/>
    <col min="11872" max="11882" width="10.7109375" style="546" customWidth="1"/>
    <col min="11883" max="11883" width="10.42578125" style="546" customWidth="1"/>
    <col min="11884" max="11884" width="11" style="546" bestFit="1" customWidth="1"/>
    <col min="11885" max="12032" width="9.140625" style="546"/>
    <col min="12033" max="12033" width="5.85546875" style="546" customWidth="1"/>
    <col min="12034" max="12034" width="54.28515625" style="546" customWidth="1"/>
    <col min="12035" max="12127" width="0" style="546" hidden="1" customWidth="1"/>
    <col min="12128" max="12138" width="10.7109375" style="546" customWidth="1"/>
    <col min="12139" max="12139" width="10.42578125" style="546" customWidth="1"/>
    <col min="12140" max="12140" width="11" style="546" bestFit="1" customWidth="1"/>
    <col min="12141" max="12288" width="9.140625" style="546"/>
    <col min="12289" max="12289" width="5.85546875" style="546" customWidth="1"/>
    <col min="12290" max="12290" width="54.28515625" style="546" customWidth="1"/>
    <col min="12291" max="12383" width="0" style="546" hidden="1" customWidth="1"/>
    <col min="12384" max="12394" width="10.7109375" style="546" customWidth="1"/>
    <col min="12395" max="12395" width="10.42578125" style="546" customWidth="1"/>
    <col min="12396" max="12396" width="11" style="546" bestFit="1" customWidth="1"/>
    <col min="12397" max="12544" width="9.140625" style="546"/>
    <col min="12545" max="12545" width="5.85546875" style="546" customWidth="1"/>
    <col min="12546" max="12546" width="54.28515625" style="546" customWidth="1"/>
    <col min="12547" max="12639" width="0" style="546" hidden="1" customWidth="1"/>
    <col min="12640" max="12650" width="10.7109375" style="546" customWidth="1"/>
    <col min="12651" max="12651" width="10.42578125" style="546" customWidth="1"/>
    <col min="12652" max="12652" width="11" style="546" bestFit="1" customWidth="1"/>
    <col min="12653" max="12800" width="9.140625" style="546"/>
    <col min="12801" max="12801" width="5.85546875" style="546" customWidth="1"/>
    <col min="12802" max="12802" width="54.28515625" style="546" customWidth="1"/>
    <col min="12803" max="12895" width="0" style="546" hidden="1" customWidth="1"/>
    <col min="12896" max="12906" width="10.7109375" style="546" customWidth="1"/>
    <col min="12907" max="12907" width="10.42578125" style="546" customWidth="1"/>
    <col min="12908" max="12908" width="11" style="546" bestFit="1" customWidth="1"/>
    <col min="12909" max="13056" width="9.140625" style="546"/>
    <col min="13057" max="13057" width="5.85546875" style="546" customWidth="1"/>
    <col min="13058" max="13058" width="54.28515625" style="546" customWidth="1"/>
    <col min="13059" max="13151" width="0" style="546" hidden="1" customWidth="1"/>
    <col min="13152" max="13162" width="10.7109375" style="546" customWidth="1"/>
    <col min="13163" max="13163" width="10.42578125" style="546" customWidth="1"/>
    <col min="13164" max="13164" width="11" style="546" bestFit="1" customWidth="1"/>
    <col min="13165" max="13312" width="9.140625" style="546"/>
    <col min="13313" max="13313" width="5.85546875" style="546" customWidth="1"/>
    <col min="13314" max="13314" width="54.28515625" style="546" customWidth="1"/>
    <col min="13315" max="13407" width="0" style="546" hidden="1" customWidth="1"/>
    <col min="13408" max="13418" width="10.7109375" style="546" customWidth="1"/>
    <col min="13419" max="13419" width="10.42578125" style="546" customWidth="1"/>
    <col min="13420" max="13420" width="11" style="546" bestFit="1" customWidth="1"/>
    <col min="13421" max="13568" width="9.140625" style="546"/>
    <col min="13569" max="13569" width="5.85546875" style="546" customWidth="1"/>
    <col min="13570" max="13570" width="54.28515625" style="546" customWidth="1"/>
    <col min="13571" max="13663" width="0" style="546" hidden="1" customWidth="1"/>
    <col min="13664" max="13674" width="10.7109375" style="546" customWidth="1"/>
    <col min="13675" max="13675" width="10.42578125" style="546" customWidth="1"/>
    <col min="13676" max="13676" width="11" style="546" bestFit="1" customWidth="1"/>
    <col min="13677" max="13824" width="9.140625" style="546"/>
    <col min="13825" max="13825" width="5.85546875" style="546" customWidth="1"/>
    <col min="13826" max="13826" width="54.28515625" style="546" customWidth="1"/>
    <col min="13827" max="13919" width="0" style="546" hidden="1" customWidth="1"/>
    <col min="13920" max="13930" width="10.7109375" style="546" customWidth="1"/>
    <col min="13931" max="13931" width="10.42578125" style="546" customWidth="1"/>
    <col min="13932" max="13932" width="11" style="546" bestFit="1" customWidth="1"/>
    <col min="13933" max="14080" width="9.140625" style="546"/>
    <col min="14081" max="14081" width="5.85546875" style="546" customWidth="1"/>
    <col min="14082" max="14082" width="54.28515625" style="546" customWidth="1"/>
    <col min="14083" max="14175" width="0" style="546" hidden="1" customWidth="1"/>
    <col min="14176" max="14186" width="10.7109375" style="546" customWidth="1"/>
    <col min="14187" max="14187" width="10.42578125" style="546" customWidth="1"/>
    <col min="14188" max="14188" width="11" style="546" bestFit="1" customWidth="1"/>
    <col min="14189" max="14336" width="9.140625" style="546"/>
    <col min="14337" max="14337" width="5.85546875" style="546" customWidth="1"/>
    <col min="14338" max="14338" width="54.28515625" style="546" customWidth="1"/>
    <col min="14339" max="14431" width="0" style="546" hidden="1" customWidth="1"/>
    <col min="14432" max="14442" width="10.7109375" style="546" customWidth="1"/>
    <col min="14443" max="14443" width="10.42578125" style="546" customWidth="1"/>
    <col min="14444" max="14444" width="11" style="546" bestFit="1" customWidth="1"/>
    <col min="14445" max="14592" width="9.140625" style="546"/>
    <col min="14593" max="14593" width="5.85546875" style="546" customWidth="1"/>
    <col min="14594" max="14594" width="54.28515625" style="546" customWidth="1"/>
    <col min="14595" max="14687" width="0" style="546" hidden="1" customWidth="1"/>
    <col min="14688" max="14698" width="10.7109375" style="546" customWidth="1"/>
    <col min="14699" max="14699" width="10.42578125" style="546" customWidth="1"/>
    <col min="14700" max="14700" width="11" style="546" bestFit="1" customWidth="1"/>
    <col min="14701" max="14848" width="9.140625" style="546"/>
    <col min="14849" max="14849" width="5.85546875" style="546" customWidth="1"/>
    <col min="14850" max="14850" width="54.28515625" style="546" customWidth="1"/>
    <col min="14851" max="14943" width="0" style="546" hidden="1" customWidth="1"/>
    <col min="14944" max="14954" width="10.7109375" style="546" customWidth="1"/>
    <col min="14955" max="14955" width="10.42578125" style="546" customWidth="1"/>
    <col min="14956" max="14956" width="11" style="546" bestFit="1" customWidth="1"/>
    <col min="14957" max="15104" width="9.140625" style="546"/>
    <col min="15105" max="15105" width="5.85546875" style="546" customWidth="1"/>
    <col min="15106" max="15106" width="54.28515625" style="546" customWidth="1"/>
    <col min="15107" max="15199" width="0" style="546" hidden="1" customWidth="1"/>
    <col min="15200" max="15210" width="10.7109375" style="546" customWidth="1"/>
    <col min="15211" max="15211" width="10.42578125" style="546" customWidth="1"/>
    <col min="15212" max="15212" width="11" style="546" bestFit="1" customWidth="1"/>
    <col min="15213" max="15360" width="9.140625" style="546"/>
    <col min="15361" max="15361" width="5.85546875" style="546" customWidth="1"/>
    <col min="15362" max="15362" width="54.28515625" style="546" customWidth="1"/>
    <col min="15363" max="15455" width="0" style="546" hidden="1" customWidth="1"/>
    <col min="15456" max="15466" width="10.7109375" style="546" customWidth="1"/>
    <col min="15467" max="15467" width="10.42578125" style="546" customWidth="1"/>
    <col min="15468" max="15468" width="11" style="546" bestFit="1" customWidth="1"/>
    <col min="15469" max="15616" width="9.140625" style="546"/>
    <col min="15617" max="15617" width="5.85546875" style="546" customWidth="1"/>
    <col min="15618" max="15618" width="54.28515625" style="546" customWidth="1"/>
    <col min="15619" max="15711" width="0" style="546" hidden="1" customWidth="1"/>
    <col min="15712" max="15722" width="10.7109375" style="546" customWidth="1"/>
    <col min="15723" max="15723" width="10.42578125" style="546" customWidth="1"/>
    <col min="15724" max="15724" width="11" style="546" bestFit="1" customWidth="1"/>
    <col min="15725" max="15872" width="9.140625" style="546"/>
    <col min="15873" max="15873" width="5.85546875" style="546" customWidth="1"/>
    <col min="15874" max="15874" width="54.28515625" style="546" customWidth="1"/>
    <col min="15875" max="15967" width="0" style="546" hidden="1" customWidth="1"/>
    <col min="15968" max="15978" width="10.7109375" style="546" customWidth="1"/>
    <col min="15979" max="15979" width="10.42578125" style="546" customWidth="1"/>
    <col min="15980" max="15980" width="11" style="546" bestFit="1" customWidth="1"/>
    <col min="15981" max="16128" width="9.140625" style="546"/>
    <col min="16129" max="16129" width="5.85546875" style="546" customWidth="1"/>
    <col min="16130" max="16130" width="54.28515625" style="546" customWidth="1"/>
    <col min="16131" max="16223" width="0" style="546" hidden="1" customWidth="1"/>
    <col min="16224" max="16234" width="10.7109375" style="546" customWidth="1"/>
    <col min="16235" max="16235" width="10.42578125" style="546" customWidth="1"/>
    <col min="16236" max="16236" width="11" style="546" bestFit="1" customWidth="1"/>
    <col min="16237" max="16384" width="9.140625" style="546"/>
  </cols>
  <sheetData>
    <row r="1" spans="1:111" ht="18.75">
      <c r="A1" s="486" t="s">
        <v>471</v>
      </c>
      <c r="B1" s="544"/>
      <c r="C1" s="545"/>
      <c r="D1" s="403"/>
      <c r="E1" s="403"/>
      <c r="F1" s="403"/>
      <c r="G1" s="403"/>
      <c r="H1" s="403"/>
      <c r="I1" s="403"/>
      <c r="J1" s="403"/>
      <c r="K1" s="403"/>
      <c r="L1" s="403"/>
      <c r="M1" s="403"/>
      <c r="N1" s="403"/>
      <c r="O1" s="403"/>
      <c r="P1" s="403"/>
      <c r="Q1" s="403"/>
      <c r="R1" s="403"/>
      <c r="S1" s="403"/>
      <c r="T1" s="403"/>
      <c r="U1" s="403"/>
      <c r="V1" s="403"/>
      <c r="W1" s="403"/>
      <c r="X1" s="403"/>
      <c r="Y1" s="403"/>
      <c r="Z1" s="403"/>
      <c r="AA1" s="403"/>
      <c r="AB1" s="403"/>
    </row>
    <row r="2" spans="1:111" hidden="1">
      <c r="A2" s="547"/>
      <c r="B2" s="548"/>
      <c r="C2" s="549"/>
      <c r="D2" s="403"/>
      <c r="E2" s="403"/>
      <c r="F2" s="403"/>
      <c r="G2" s="403"/>
      <c r="H2" s="403"/>
      <c r="I2" s="403"/>
      <c r="J2" s="403"/>
      <c r="K2" s="403"/>
      <c r="L2" s="403"/>
      <c r="M2" s="403"/>
      <c r="N2" s="403"/>
      <c r="O2" s="403"/>
      <c r="P2" s="403"/>
      <c r="Q2" s="403"/>
      <c r="R2" s="403"/>
      <c r="S2" s="403"/>
      <c r="T2" s="403"/>
      <c r="U2" s="403"/>
      <c r="V2" s="403"/>
      <c r="W2" s="403"/>
      <c r="X2" s="403"/>
      <c r="Y2" s="403"/>
      <c r="Z2" s="403"/>
      <c r="AA2" s="403"/>
      <c r="AB2" s="403"/>
    </row>
    <row r="3" spans="1:111" ht="17.25" customHeight="1" thickBot="1">
      <c r="A3" s="489"/>
      <c r="B3" s="489"/>
      <c r="C3" s="403"/>
      <c r="D3" s="403"/>
      <c r="E3" s="403"/>
      <c r="F3" s="403"/>
      <c r="G3" s="403"/>
      <c r="H3" s="403"/>
      <c r="I3" s="403"/>
      <c r="J3" s="403"/>
      <c r="K3" s="403"/>
      <c r="L3" s="403"/>
      <c r="M3" s="403"/>
      <c r="N3" s="403"/>
      <c r="O3" s="403"/>
      <c r="P3" s="403"/>
      <c r="Q3" s="403"/>
      <c r="R3" s="403"/>
      <c r="S3" s="403"/>
      <c r="T3" s="403"/>
      <c r="V3" s="403"/>
      <c r="W3" s="403"/>
      <c r="X3" s="403"/>
      <c r="Y3" s="403"/>
      <c r="Z3" s="403"/>
      <c r="AA3" s="403"/>
      <c r="AB3" s="403"/>
      <c r="AC3" s="406"/>
      <c r="AD3" s="406"/>
      <c r="AG3" s="406"/>
      <c r="AN3" s="3215"/>
      <c r="AO3" s="3215"/>
      <c r="AQ3" s="3215"/>
      <c r="AR3" s="3215"/>
      <c r="AT3" s="3215"/>
      <c r="AU3" s="3215"/>
      <c r="AZ3" s="3215"/>
      <c r="BA3" s="3215"/>
      <c r="BB3" s="3215"/>
      <c r="BC3" s="3215"/>
      <c r="BI3" s="3215"/>
      <c r="BJ3" s="3215"/>
      <c r="BK3" s="550"/>
      <c r="BL3" s="550"/>
      <c r="BM3" s="405"/>
      <c r="BN3" s="405"/>
      <c r="BO3" s="3215"/>
      <c r="BP3" s="3215"/>
      <c r="BQ3" s="405"/>
      <c r="BR3" s="405"/>
      <c r="BV3" s="612"/>
      <c r="BX3" s="613"/>
      <c r="BY3" s="613"/>
      <c r="BZ3" s="613"/>
      <c r="CA3" s="613"/>
      <c r="CB3" s="613"/>
      <c r="CC3" s="613"/>
      <c r="CD3" s="613"/>
      <c r="CE3" s="613"/>
      <c r="CF3" s="613"/>
      <c r="CG3" s="613"/>
      <c r="CH3" s="613"/>
      <c r="CI3" s="613"/>
      <c r="CJ3" s="613"/>
      <c r="CK3" s="613"/>
      <c r="CL3" s="613"/>
      <c r="CM3" s="613"/>
      <c r="CN3" s="613"/>
      <c r="CO3" s="613"/>
      <c r="CP3" s="613"/>
      <c r="CQ3" s="613"/>
      <c r="CR3" s="613"/>
      <c r="CS3" s="613"/>
      <c r="CT3" s="613"/>
      <c r="CU3" s="613"/>
      <c r="CV3" s="613"/>
      <c r="CW3" s="613"/>
      <c r="CY3" s="613"/>
      <c r="CZ3" s="613"/>
      <c r="DA3" s="613"/>
      <c r="DE3" s="601"/>
      <c r="DF3" s="601"/>
      <c r="DG3" s="601" t="s">
        <v>472</v>
      </c>
    </row>
    <row r="4" spans="1:111" ht="23.25" customHeight="1" thickTop="1" thickBot="1">
      <c r="A4" s="491" t="s">
        <v>401</v>
      </c>
      <c r="B4" s="492" t="s">
        <v>402</v>
      </c>
      <c r="C4" s="495">
        <v>38504</v>
      </c>
      <c r="D4" s="495">
        <v>38534</v>
      </c>
      <c r="E4" s="495">
        <v>38565</v>
      </c>
      <c r="F4" s="553">
        <v>38596</v>
      </c>
      <c r="G4" s="495">
        <v>38626</v>
      </c>
      <c r="H4" s="554">
        <v>38657</v>
      </c>
      <c r="I4" s="495">
        <v>38687</v>
      </c>
      <c r="J4" s="495">
        <v>38718</v>
      </c>
      <c r="K4" s="495">
        <v>38749</v>
      </c>
      <c r="L4" s="495">
        <v>38777</v>
      </c>
      <c r="M4" s="553">
        <v>38808</v>
      </c>
      <c r="N4" s="495">
        <v>38838</v>
      </c>
      <c r="O4" s="495">
        <v>38869</v>
      </c>
      <c r="P4" s="495">
        <v>38899</v>
      </c>
      <c r="Q4" s="495">
        <v>38930</v>
      </c>
      <c r="R4" s="495">
        <v>38961</v>
      </c>
      <c r="S4" s="495">
        <v>38991</v>
      </c>
      <c r="T4" s="495">
        <v>39022</v>
      </c>
      <c r="U4" s="495">
        <v>39052</v>
      </c>
      <c r="V4" s="495">
        <v>39083</v>
      </c>
      <c r="W4" s="495">
        <v>39114</v>
      </c>
      <c r="X4" s="495">
        <v>39142</v>
      </c>
      <c r="Y4" s="495">
        <v>39173</v>
      </c>
      <c r="Z4" s="495">
        <v>39203</v>
      </c>
      <c r="AA4" s="495">
        <v>39234</v>
      </c>
      <c r="AB4" s="495">
        <v>39264</v>
      </c>
      <c r="AC4" s="495">
        <v>39295</v>
      </c>
      <c r="AD4" s="495">
        <v>39326</v>
      </c>
      <c r="AE4" s="495">
        <v>39356</v>
      </c>
      <c r="AF4" s="495">
        <v>39387</v>
      </c>
      <c r="AG4" s="495">
        <v>39417</v>
      </c>
      <c r="AH4" s="495">
        <v>39448</v>
      </c>
      <c r="AI4" s="495">
        <v>39479</v>
      </c>
      <c r="AJ4" s="495">
        <v>39508</v>
      </c>
      <c r="AK4" s="495">
        <v>39539</v>
      </c>
      <c r="AL4" s="495">
        <v>39569</v>
      </c>
      <c r="AM4" s="495">
        <v>39600</v>
      </c>
      <c r="AN4" s="495">
        <v>39630</v>
      </c>
      <c r="AO4" s="495">
        <v>39661</v>
      </c>
      <c r="AP4" s="554">
        <v>39692</v>
      </c>
      <c r="AQ4" s="554">
        <v>39722</v>
      </c>
      <c r="AR4" s="495">
        <v>39753</v>
      </c>
      <c r="AS4" s="495">
        <v>39783</v>
      </c>
      <c r="AT4" s="495">
        <v>39814</v>
      </c>
      <c r="AU4" s="495">
        <v>39845</v>
      </c>
      <c r="AV4" s="495">
        <v>39881</v>
      </c>
      <c r="AW4" s="495">
        <v>39904</v>
      </c>
      <c r="AX4" s="495">
        <v>39934</v>
      </c>
      <c r="AY4" s="495">
        <v>39965</v>
      </c>
      <c r="AZ4" s="495">
        <v>39995</v>
      </c>
      <c r="BA4" s="495">
        <v>40026</v>
      </c>
      <c r="BB4" s="495">
        <v>40057</v>
      </c>
      <c r="BC4" s="495">
        <v>40087</v>
      </c>
      <c r="BD4" s="495">
        <v>40118</v>
      </c>
      <c r="BE4" s="495">
        <v>40148</v>
      </c>
      <c r="BF4" s="495">
        <v>40179</v>
      </c>
      <c r="BG4" s="495">
        <v>40210</v>
      </c>
      <c r="BH4" s="495">
        <v>40238</v>
      </c>
      <c r="BI4" s="495">
        <v>40269</v>
      </c>
      <c r="BJ4" s="495">
        <v>40299</v>
      </c>
      <c r="BK4" s="495">
        <v>40330</v>
      </c>
      <c r="BL4" s="495">
        <v>40360</v>
      </c>
      <c r="BM4" s="495">
        <v>40391</v>
      </c>
      <c r="BN4" s="495">
        <v>40422</v>
      </c>
      <c r="BO4" s="495">
        <v>40452</v>
      </c>
      <c r="BP4" s="495">
        <v>40483</v>
      </c>
      <c r="BQ4" s="495">
        <v>40513</v>
      </c>
      <c r="BR4" s="495">
        <v>40544</v>
      </c>
      <c r="BS4" s="495">
        <v>40575</v>
      </c>
      <c r="BT4" s="495">
        <v>40603</v>
      </c>
      <c r="BU4" s="495">
        <v>40634</v>
      </c>
      <c r="BV4" s="495">
        <v>40664</v>
      </c>
      <c r="BW4" s="495">
        <v>40695</v>
      </c>
      <c r="BX4" s="495">
        <v>40725</v>
      </c>
      <c r="BY4" s="495">
        <v>40756</v>
      </c>
      <c r="BZ4" s="495">
        <v>40787</v>
      </c>
      <c r="CA4" s="495">
        <v>40817</v>
      </c>
      <c r="CB4" s="495">
        <v>40848</v>
      </c>
      <c r="CC4" s="495">
        <v>40878</v>
      </c>
      <c r="CD4" s="495">
        <v>40909</v>
      </c>
      <c r="CE4" s="495">
        <v>40940</v>
      </c>
      <c r="CF4" s="495">
        <v>40969</v>
      </c>
      <c r="CG4" s="495">
        <v>41000</v>
      </c>
      <c r="CH4" s="495">
        <v>41030</v>
      </c>
      <c r="CI4" s="495">
        <v>41061</v>
      </c>
      <c r="CJ4" s="495">
        <v>41091</v>
      </c>
      <c r="CK4" s="495">
        <v>41122</v>
      </c>
      <c r="CL4" s="495">
        <v>41153</v>
      </c>
      <c r="CM4" s="495">
        <v>41183</v>
      </c>
      <c r="CN4" s="495">
        <v>41214</v>
      </c>
      <c r="CO4" s="495">
        <v>41244</v>
      </c>
      <c r="CP4" s="495">
        <v>41275</v>
      </c>
      <c r="CQ4" s="495">
        <v>41306</v>
      </c>
      <c r="CR4" s="495">
        <v>41334</v>
      </c>
      <c r="CS4" s="495">
        <v>41365</v>
      </c>
      <c r="CT4" s="495">
        <v>41395</v>
      </c>
      <c r="CU4" s="495">
        <v>41426</v>
      </c>
      <c r="CV4" s="495">
        <v>41456</v>
      </c>
      <c r="CW4" s="495">
        <v>41487</v>
      </c>
      <c r="CX4" s="495">
        <v>41518</v>
      </c>
      <c r="CY4" s="495">
        <v>41548</v>
      </c>
      <c r="CZ4" s="495">
        <v>41579</v>
      </c>
      <c r="DA4" s="495">
        <v>41609</v>
      </c>
      <c r="DB4" s="495">
        <v>41640</v>
      </c>
      <c r="DC4" s="495">
        <v>41671</v>
      </c>
      <c r="DD4" s="493">
        <v>41699</v>
      </c>
      <c r="DE4" s="493">
        <v>41730</v>
      </c>
      <c r="DF4" s="493">
        <v>41760</v>
      </c>
      <c r="DG4" s="493">
        <v>41791</v>
      </c>
    </row>
    <row r="5" spans="1:111" ht="24" customHeight="1" thickTop="1">
      <c r="A5" s="602"/>
      <c r="B5" s="603"/>
      <c r="C5" s="604"/>
      <c r="D5" s="604"/>
      <c r="E5" s="604"/>
      <c r="F5" s="455"/>
      <c r="G5" s="604"/>
      <c r="H5" s="605"/>
      <c r="I5" s="604"/>
      <c r="J5" s="604"/>
      <c r="K5" s="604"/>
      <c r="L5" s="604"/>
      <c r="M5" s="455"/>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6"/>
      <c r="AQ5" s="606"/>
      <c r="AR5" s="604"/>
      <c r="AS5" s="604"/>
      <c r="AT5" s="604"/>
      <c r="AU5" s="604"/>
      <c r="AV5" s="604"/>
      <c r="AW5" s="604"/>
      <c r="AX5" s="604"/>
      <c r="AY5" s="604"/>
      <c r="AZ5" s="604"/>
      <c r="BA5" s="604"/>
      <c r="BB5" s="614"/>
      <c r="BC5" s="614"/>
      <c r="BD5" s="614"/>
      <c r="BE5" s="614"/>
      <c r="BF5" s="614"/>
      <c r="BG5" s="614"/>
      <c r="BH5" s="614"/>
      <c r="BI5" s="614"/>
      <c r="BJ5" s="614"/>
      <c r="BK5" s="614"/>
      <c r="BL5" s="614"/>
      <c r="BM5" s="614"/>
      <c r="BN5" s="614"/>
      <c r="BO5" s="614"/>
      <c r="BP5" s="614"/>
      <c r="BQ5" s="614"/>
      <c r="BR5" s="614"/>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c r="CU5" s="607"/>
      <c r="CV5" s="607"/>
      <c r="CW5" s="607"/>
      <c r="CX5" s="607"/>
      <c r="CY5" s="607"/>
      <c r="CZ5" s="607"/>
      <c r="DA5" s="607"/>
      <c r="DB5" s="607"/>
      <c r="DC5" s="607"/>
      <c r="DD5" s="608"/>
      <c r="DE5" s="608"/>
      <c r="DF5" s="608"/>
      <c r="DG5" s="608"/>
    </row>
    <row r="6" spans="1:111" ht="17.25" customHeight="1">
      <c r="A6" s="615" t="s">
        <v>403</v>
      </c>
      <c r="B6" s="506" t="s">
        <v>404</v>
      </c>
      <c r="C6" s="561">
        <v>0</v>
      </c>
      <c r="D6" s="561">
        <v>0</v>
      </c>
      <c r="E6" s="561">
        <v>0</v>
      </c>
      <c r="F6" s="562">
        <v>0</v>
      </c>
      <c r="G6" s="561">
        <v>0</v>
      </c>
      <c r="H6" s="563">
        <v>0</v>
      </c>
      <c r="I6" s="561">
        <v>0</v>
      </c>
      <c r="J6" s="561">
        <v>0</v>
      </c>
      <c r="K6" s="561">
        <v>0</v>
      </c>
      <c r="L6" s="561">
        <v>0</v>
      </c>
      <c r="M6" s="562">
        <v>0</v>
      </c>
      <c r="N6" s="561">
        <v>0</v>
      </c>
      <c r="O6" s="561">
        <v>0</v>
      </c>
      <c r="P6" s="561">
        <v>0</v>
      </c>
      <c r="Q6" s="561">
        <v>0</v>
      </c>
      <c r="R6" s="561">
        <v>0</v>
      </c>
      <c r="S6" s="561">
        <v>0</v>
      </c>
      <c r="T6" s="561">
        <v>0</v>
      </c>
      <c r="U6" s="561">
        <v>0</v>
      </c>
      <c r="V6" s="561">
        <v>0</v>
      </c>
      <c r="W6" s="561">
        <v>0</v>
      </c>
      <c r="X6" s="561">
        <v>0</v>
      </c>
      <c r="Y6" s="561">
        <v>0</v>
      </c>
      <c r="Z6" s="561">
        <v>0</v>
      </c>
      <c r="AA6" s="561">
        <v>0</v>
      </c>
      <c r="AB6" s="561">
        <v>0</v>
      </c>
      <c r="AC6" s="561">
        <v>0</v>
      </c>
      <c r="AD6" s="561">
        <v>0</v>
      </c>
      <c r="AE6" s="561">
        <v>0</v>
      </c>
      <c r="AF6" s="561">
        <v>0</v>
      </c>
      <c r="AG6" s="561">
        <v>0</v>
      </c>
      <c r="AH6" s="561">
        <v>0</v>
      </c>
      <c r="AI6" s="561">
        <v>0</v>
      </c>
      <c r="AJ6" s="561">
        <v>0</v>
      </c>
      <c r="AK6" s="561">
        <v>0</v>
      </c>
      <c r="AL6" s="561">
        <v>0</v>
      </c>
      <c r="AM6" s="561">
        <v>0</v>
      </c>
      <c r="AN6" s="561">
        <v>0</v>
      </c>
      <c r="AO6" s="561">
        <v>0</v>
      </c>
      <c r="AP6" s="561">
        <v>0</v>
      </c>
      <c r="AQ6" s="561">
        <v>0</v>
      </c>
      <c r="AR6" s="561">
        <v>0</v>
      </c>
      <c r="AS6" s="561">
        <v>0</v>
      </c>
      <c r="AT6" s="561">
        <v>0</v>
      </c>
      <c r="AU6" s="561">
        <v>0</v>
      </c>
      <c r="AV6" s="561">
        <v>0</v>
      </c>
      <c r="AW6" s="561">
        <v>0</v>
      </c>
      <c r="AX6" s="561">
        <v>0</v>
      </c>
      <c r="AY6" s="561">
        <v>0</v>
      </c>
      <c r="AZ6" s="561">
        <v>0</v>
      </c>
      <c r="BA6" s="561">
        <v>0</v>
      </c>
      <c r="BB6" s="561">
        <v>0</v>
      </c>
      <c r="BC6" s="561">
        <v>0</v>
      </c>
      <c r="BD6" s="561">
        <v>0</v>
      </c>
      <c r="BE6" s="561">
        <v>0</v>
      </c>
      <c r="BF6" s="561">
        <v>0</v>
      </c>
      <c r="BG6" s="561">
        <v>0</v>
      </c>
      <c r="BH6" s="561">
        <v>0</v>
      </c>
      <c r="BI6" s="561">
        <v>0</v>
      </c>
      <c r="BJ6" s="561">
        <v>0</v>
      </c>
      <c r="BK6" s="561">
        <v>0</v>
      </c>
      <c r="BL6" s="561">
        <v>0</v>
      </c>
      <c r="BM6" s="561">
        <v>0</v>
      </c>
      <c r="BN6" s="561">
        <v>0</v>
      </c>
      <c r="BO6" s="561">
        <v>0</v>
      </c>
      <c r="BP6" s="561">
        <v>0</v>
      </c>
      <c r="BQ6" s="561">
        <v>0</v>
      </c>
      <c r="BR6" s="561">
        <v>0</v>
      </c>
      <c r="BS6" s="561">
        <v>0</v>
      </c>
      <c r="BT6" s="561">
        <v>0</v>
      </c>
      <c r="BU6" s="561">
        <v>0</v>
      </c>
      <c r="BV6" s="561">
        <v>0</v>
      </c>
      <c r="BW6" s="561">
        <v>0</v>
      </c>
      <c r="BX6" s="561">
        <v>0</v>
      </c>
      <c r="BY6" s="561">
        <v>0</v>
      </c>
      <c r="BZ6" s="561">
        <v>0</v>
      </c>
      <c r="CA6" s="561">
        <v>0</v>
      </c>
      <c r="CB6" s="561">
        <v>0</v>
      </c>
      <c r="CC6" s="561">
        <v>0</v>
      </c>
      <c r="CD6" s="561">
        <v>0</v>
      </c>
      <c r="CE6" s="561">
        <v>0</v>
      </c>
      <c r="CF6" s="561">
        <v>0</v>
      </c>
      <c r="CG6" s="561">
        <v>0</v>
      </c>
      <c r="CH6" s="561">
        <v>0</v>
      </c>
      <c r="CI6" s="561">
        <v>0</v>
      </c>
      <c r="CJ6" s="561">
        <v>0</v>
      </c>
      <c r="CK6" s="561">
        <v>0</v>
      </c>
      <c r="CL6" s="561">
        <v>0</v>
      </c>
      <c r="CM6" s="561">
        <v>0</v>
      </c>
      <c r="CN6" s="561">
        <v>0</v>
      </c>
      <c r="CO6" s="561">
        <v>0</v>
      </c>
      <c r="CP6" s="561">
        <v>0</v>
      </c>
      <c r="CQ6" s="561">
        <v>0</v>
      </c>
      <c r="CR6" s="561">
        <v>0</v>
      </c>
      <c r="CS6" s="561">
        <v>0</v>
      </c>
      <c r="CT6" s="561">
        <v>0</v>
      </c>
      <c r="CU6" s="561">
        <v>0</v>
      </c>
      <c r="CV6" s="561">
        <v>0</v>
      </c>
      <c r="CW6" s="561">
        <v>0</v>
      </c>
      <c r="CX6" s="561">
        <v>0</v>
      </c>
      <c r="CY6" s="561">
        <v>0</v>
      </c>
      <c r="CZ6" s="561">
        <v>0</v>
      </c>
      <c r="DA6" s="561">
        <v>0</v>
      </c>
      <c r="DB6" s="561">
        <v>0</v>
      </c>
      <c r="DC6" s="561">
        <v>0</v>
      </c>
      <c r="DD6" s="507">
        <v>0</v>
      </c>
      <c r="DE6" s="507">
        <v>0</v>
      </c>
      <c r="DF6" s="507">
        <v>0</v>
      </c>
      <c r="DG6" s="507">
        <v>0</v>
      </c>
    </row>
    <row r="7" spans="1:111" ht="17.25" customHeight="1">
      <c r="A7" s="616"/>
      <c r="B7" s="510"/>
      <c r="C7" s="565"/>
      <c r="D7" s="565"/>
      <c r="E7" s="565"/>
      <c r="F7" s="566"/>
      <c r="G7" s="565"/>
      <c r="H7" s="567"/>
      <c r="I7" s="565"/>
      <c r="J7" s="565"/>
      <c r="K7" s="565"/>
      <c r="L7" s="565"/>
      <c r="M7" s="566"/>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c r="CJ7" s="565"/>
      <c r="CK7" s="565"/>
      <c r="CL7" s="565"/>
      <c r="CM7" s="565"/>
      <c r="CN7" s="565"/>
      <c r="CO7" s="565"/>
      <c r="CP7" s="565"/>
      <c r="CQ7" s="565"/>
      <c r="CR7" s="565"/>
      <c r="CS7" s="565"/>
      <c r="CT7" s="565"/>
      <c r="CU7" s="565"/>
      <c r="CV7" s="565"/>
      <c r="CW7" s="565"/>
      <c r="CX7" s="565"/>
      <c r="CY7" s="565"/>
      <c r="CZ7" s="565"/>
      <c r="DA7" s="565"/>
      <c r="DB7" s="565"/>
      <c r="DC7" s="565"/>
      <c r="DD7" s="511"/>
      <c r="DE7" s="511"/>
      <c r="DF7" s="511"/>
      <c r="DG7" s="511"/>
    </row>
    <row r="8" spans="1:111" ht="17.25" customHeight="1">
      <c r="A8" s="615" t="s">
        <v>405</v>
      </c>
      <c r="B8" s="506" t="s">
        <v>406</v>
      </c>
      <c r="C8" s="561">
        <v>137386.0341277422</v>
      </c>
      <c r="D8" s="561">
        <v>117399.348093801</v>
      </c>
      <c r="E8" s="561">
        <v>131125.28454545111</v>
      </c>
      <c r="F8" s="562">
        <v>140720.59705364634</v>
      </c>
      <c r="G8" s="561">
        <v>141011.62746160629</v>
      </c>
      <c r="H8" s="563">
        <v>159497.48855781881</v>
      </c>
      <c r="I8" s="561">
        <v>145285.62479737948</v>
      </c>
      <c r="J8" s="561">
        <v>150117.14150413964</v>
      </c>
      <c r="K8" s="561">
        <v>180139.24913477548</v>
      </c>
      <c r="L8" s="561">
        <v>185596.64168305803</v>
      </c>
      <c r="M8" s="562">
        <v>171768.35285375925</v>
      </c>
      <c r="N8" s="561">
        <v>197853.7032548814</v>
      </c>
      <c r="O8" s="561">
        <v>189741.42472981042</v>
      </c>
      <c r="P8" s="561">
        <v>201220.75243668648</v>
      </c>
      <c r="Q8" s="561">
        <v>207376.85327395448</v>
      </c>
      <c r="R8" s="561">
        <v>232379.02466321187</v>
      </c>
      <c r="S8" s="561">
        <v>235220.29024859404</v>
      </c>
      <c r="T8" s="561">
        <v>253038.36976652572</v>
      </c>
      <c r="U8" s="561">
        <v>278446.37739369058</v>
      </c>
      <c r="V8" s="561">
        <v>245272.14790840913</v>
      </c>
      <c r="W8" s="561">
        <v>242442.3100011294</v>
      </c>
      <c r="X8" s="561">
        <v>241406.61946127925</v>
      </c>
      <c r="Y8" s="561">
        <v>230874.92979168013</v>
      </c>
      <c r="Z8" s="561">
        <v>229179.90703698719</v>
      </c>
      <c r="AA8" s="561">
        <v>236414.29466614086</v>
      </c>
      <c r="AB8" s="561">
        <v>262561.77986380341</v>
      </c>
      <c r="AC8" s="561">
        <v>275642.83616328746</v>
      </c>
      <c r="AD8" s="561">
        <v>279192.4884326607</v>
      </c>
      <c r="AE8" s="561">
        <v>266967.41221147869</v>
      </c>
      <c r="AF8" s="561">
        <v>298101.25039353222</v>
      </c>
      <c r="AG8" s="561">
        <v>280388.48017139942</v>
      </c>
      <c r="AH8" s="561">
        <v>297271.43602694536</v>
      </c>
      <c r="AI8" s="561">
        <v>272698.01819091185</v>
      </c>
      <c r="AJ8" s="561">
        <v>263998.76533190883</v>
      </c>
      <c r="AK8" s="561">
        <v>241307.58789939963</v>
      </c>
      <c r="AL8" s="561">
        <v>248295.76869701056</v>
      </c>
      <c r="AM8" s="561">
        <v>260348.38627041283</v>
      </c>
      <c r="AN8" s="561">
        <v>284965.82628359669</v>
      </c>
      <c r="AO8" s="561">
        <v>262508.99074876745</v>
      </c>
      <c r="AP8" s="561">
        <v>240133.13641787361</v>
      </c>
      <c r="AQ8" s="561">
        <v>247172.15100666095</v>
      </c>
      <c r="AR8" s="561">
        <v>247318.16636269708</v>
      </c>
      <c r="AS8" s="561">
        <v>226472.68194759256</v>
      </c>
      <c r="AT8" s="561">
        <v>248498.39609261439</v>
      </c>
      <c r="AU8" s="561">
        <v>255750.81632148125</v>
      </c>
      <c r="AV8" s="561">
        <v>261668.2340031841</v>
      </c>
      <c r="AW8" s="561">
        <v>250963.08280641586</v>
      </c>
      <c r="AX8" s="561">
        <v>247165.85171388794</v>
      </c>
      <c r="AY8" s="561">
        <v>239066.4802707693</v>
      </c>
      <c r="AZ8" s="561">
        <v>222235.0930853264</v>
      </c>
      <c r="BA8" s="561">
        <v>213157.40076199675</v>
      </c>
      <c r="BB8" s="561">
        <v>221243.51232874728</v>
      </c>
      <c r="BC8" s="561">
        <v>230038.60302393045</v>
      </c>
      <c r="BD8" s="561">
        <v>225281.30221427255</v>
      </c>
      <c r="BE8" s="561">
        <v>242699.68803018064</v>
      </c>
      <c r="BF8" s="561">
        <v>252608.18815209827</v>
      </c>
      <c r="BG8" s="561">
        <v>246450.13653262565</v>
      </c>
      <c r="BH8" s="561">
        <v>257805.51736637356</v>
      </c>
      <c r="BI8" s="561">
        <v>240144.475173174</v>
      </c>
      <c r="BJ8" s="561">
        <v>273052.42501328693</v>
      </c>
      <c r="BK8" s="561">
        <v>258250.54107368217</v>
      </c>
      <c r="BL8" s="561">
        <v>213353.58345542761</v>
      </c>
      <c r="BM8" s="561">
        <v>240985.29380027275</v>
      </c>
      <c r="BN8" s="561">
        <v>244599.46316346692</v>
      </c>
      <c r="BO8" s="561">
        <v>251201.50909209871</v>
      </c>
      <c r="BP8" s="561">
        <v>257937.35828741209</v>
      </c>
      <c r="BQ8" s="561">
        <v>254678.39536562684</v>
      </c>
      <c r="BR8" s="561">
        <v>255903.56181570969</v>
      </c>
      <c r="BS8" s="561">
        <v>256948.65902961243</v>
      </c>
      <c r="BT8" s="561">
        <v>216110.11891233135</v>
      </c>
      <c r="BU8" s="561">
        <v>252412.87371397743</v>
      </c>
      <c r="BV8" s="561">
        <v>211799.71538531585</v>
      </c>
      <c r="BW8" s="561">
        <v>243411.21701593651</v>
      </c>
      <c r="BX8" s="561">
        <v>218376.56731882371</v>
      </c>
      <c r="BY8" s="561">
        <v>205178.3766125745</v>
      </c>
      <c r="BZ8" s="561">
        <v>217597.39724131243</v>
      </c>
      <c r="CA8" s="561">
        <v>217877.85670702509</v>
      </c>
      <c r="CB8" s="561">
        <v>264835.77243650565</v>
      </c>
      <c r="CC8" s="561">
        <v>214652.98685543862</v>
      </c>
      <c r="CD8" s="561">
        <v>175112.90033093217</v>
      </c>
      <c r="CE8" s="561">
        <v>196333.64010481746</v>
      </c>
      <c r="CF8" s="561">
        <v>245776.2354906844</v>
      </c>
      <c r="CG8" s="561">
        <v>243471.86069752497</v>
      </c>
      <c r="CH8" s="561">
        <v>250375.97247934691</v>
      </c>
      <c r="CI8" s="561">
        <v>191631.19084373233</v>
      </c>
      <c r="CJ8" s="561">
        <v>234311.0357581196</v>
      </c>
      <c r="CK8" s="561">
        <v>203931.27148979629</v>
      </c>
      <c r="CL8" s="561">
        <v>213939.94777051674</v>
      </c>
      <c r="CM8" s="561">
        <v>222561.47313528575</v>
      </c>
      <c r="CN8" s="561">
        <v>222971.41418918199</v>
      </c>
      <c r="CO8" s="561">
        <v>246823.32745835738</v>
      </c>
      <c r="CP8" s="561">
        <v>261840.31835304777</v>
      </c>
      <c r="CQ8" s="561">
        <v>215643.19264672711</v>
      </c>
      <c r="CR8" s="561">
        <v>253630.18403316487</v>
      </c>
      <c r="CS8" s="561">
        <v>255781.11688117657</v>
      </c>
      <c r="CT8" s="561">
        <v>278848.96760224138</v>
      </c>
      <c r="CU8" s="561">
        <v>259194.77186890645</v>
      </c>
      <c r="CV8" s="561">
        <v>277408.43667797395</v>
      </c>
      <c r="CW8" s="561">
        <v>250762.62740113301</v>
      </c>
      <c r="CX8" s="561">
        <v>248287.181337691</v>
      </c>
      <c r="CY8" s="561">
        <v>243315.283596783</v>
      </c>
      <c r="CZ8" s="561">
        <v>250895.80286462622</v>
      </c>
      <c r="DA8" s="561">
        <v>298861.06407877535</v>
      </c>
      <c r="DB8" s="561">
        <v>266446.31054302875</v>
      </c>
      <c r="DC8" s="561">
        <v>276911.55744731298</v>
      </c>
      <c r="DD8" s="507">
        <v>294091.43711811712</v>
      </c>
      <c r="DE8" s="507">
        <v>281590.62893361552</v>
      </c>
      <c r="DF8" s="507">
        <v>251634.25020283967</v>
      </c>
      <c r="DG8" s="507">
        <v>245249.35824401345</v>
      </c>
    </row>
    <row r="9" spans="1:111" ht="17.25" customHeight="1">
      <c r="A9" s="616" t="s">
        <v>407</v>
      </c>
      <c r="B9" s="510" t="s">
        <v>257</v>
      </c>
      <c r="C9" s="530">
        <v>2411.6448719245864</v>
      </c>
      <c r="D9" s="530">
        <v>2374.4042479120635</v>
      </c>
      <c r="E9" s="530">
        <v>2689.557767122385</v>
      </c>
      <c r="F9" s="569">
        <v>2609.4719283896675</v>
      </c>
      <c r="G9" s="530">
        <v>2830.1345873619593</v>
      </c>
      <c r="H9" s="570">
        <v>3422.5043247995222</v>
      </c>
      <c r="I9" s="530">
        <v>3857.1887310018651</v>
      </c>
      <c r="J9" s="530">
        <v>2834.8099402158277</v>
      </c>
      <c r="K9" s="530">
        <v>2471.336450793483</v>
      </c>
      <c r="L9" s="530">
        <v>2243.0124421296227</v>
      </c>
      <c r="M9" s="569">
        <v>2325.8836747241262</v>
      </c>
      <c r="N9" s="530">
        <v>2201.271461872574</v>
      </c>
      <c r="O9" s="530">
        <v>2000.5660083582759</v>
      </c>
      <c r="P9" s="530">
        <v>2248.3279587485636</v>
      </c>
      <c r="Q9" s="530">
        <v>2611.3851675302876</v>
      </c>
      <c r="R9" s="530">
        <v>2145.5334598244067</v>
      </c>
      <c r="S9" s="530">
        <v>2471.2829387531992</v>
      </c>
      <c r="T9" s="530">
        <v>2775.8332068863997</v>
      </c>
      <c r="U9" s="530">
        <v>3733.53284045079</v>
      </c>
      <c r="V9" s="530">
        <v>2768.4633993110911</v>
      </c>
      <c r="W9" s="530">
        <v>2662.2735426748309</v>
      </c>
      <c r="X9" s="530">
        <v>2443.9914995117688</v>
      </c>
      <c r="Y9" s="530">
        <v>2448.4930247718553</v>
      </c>
      <c r="Z9" s="530">
        <v>2350.2080557019381</v>
      </c>
      <c r="AA9" s="530">
        <v>2179.9660078971137</v>
      </c>
      <c r="AB9" s="530">
        <v>2431.050977735094</v>
      </c>
      <c r="AC9" s="530">
        <v>2273.008936529533</v>
      </c>
      <c r="AD9" s="530">
        <v>2236.9975068954045</v>
      </c>
      <c r="AE9" s="530">
        <v>2654.2667859085932</v>
      </c>
      <c r="AF9" s="530">
        <v>2637.1692764746685</v>
      </c>
      <c r="AG9" s="530">
        <v>4080.571408117969</v>
      </c>
      <c r="AH9" s="530">
        <v>3184.2296227115567</v>
      </c>
      <c r="AI9" s="530">
        <v>2678.3764082254934</v>
      </c>
      <c r="AJ9" s="530">
        <v>2471.1708194960197</v>
      </c>
      <c r="AK9" s="530">
        <v>2611.5033620126337</v>
      </c>
      <c r="AL9" s="530">
        <v>2543.5802629821205</v>
      </c>
      <c r="AM9" s="530">
        <v>2419.5564327564121</v>
      </c>
      <c r="AN9" s="530">
        <v>2828.8218833200708</v>
      </c>
      <c r="AO9" s="530">
        <v>2636.1945565999749</v>
      </c>
      <c r="AP9" s="530">
        <v>2433.2374582085795</v>
      </c>
      <c r="AQ9" s="530">
        <v>2728.3825553319652</v>
      </c>
      <c r="AR9" s="530">
        <v>2743.7347612636531</v>
      </c>
      <c r="AS9" s="530">
        <v>4920.3742663607209</v>
      </c>
      <c r="AT9" s="530">
        <v>3158.0098267541052</v>
      </c>
      <c r="AU9" s="530">
        <v>2932.2880551760159</v>
      </c>
      <c r="AV9" s="530">
        <v>2636.3657891956341</v>
      </c>
      <c r="AW9" s="530">
        <v>2803.1081531132422</v>
      </c>
      <c r="AX9" s="530">
        <v>2501.6318487829526</v>
      </c>
      <c r="AY9" s="530">
        <v>2639.8834569233595</v>
      </c>
      <c r="AZ9" s="530">
        <v>2766.7236381778416</v>
      </c>
      <c r="BA9" s="530">
        <v>2763.7267800536069</v>
      </c>
      <c r="BB9" s="530">
        <v>2588.0230722182687</v>
      </c>
      <c r="BC9" s="530">
        <v>2616.4069659249826</v>
      </c>
      <c r="BD9" s="530">
        <v>2906.4401303405753</v>
      </c>
      <c r="BE9" s="530">
        <v>4540.8459481838481</v>
      </c>
      <c r="BF9" s="530">
        <v>3193.9353958894894</v>
      </c>
      <c r="BG9" s="530">
        <v>3014.0849166912244</v>
      </c>
      <c r="BH9" s="530">
        <v>3331.4921098954283</v>
      </c>
      <c r="BI9" s="530">
        <v>3034.892107271859</v>
      </c>
      <c r="BJ9" s="530">
        <v>3058.530793599246</v>
      </c>
      <c r="BK9" s="530">
        <v>3044.7412596029767</v>
      </c>
      <c r="BL9" s="530">
        <v>2922.8846427241333</v>
      </c>
      <c r="BM9" s="530">
        <v>3204.4366829432884</v>
      </c>
      <c r="BN9" s="530">
        <v>3270.9799411855515</v>
      </c>
      <c r="BO9" s="530">
        <v>3170.9120614312574</v>
      </c>
      <c r="BP9" s="530">
        <v>3235.7485965076662</v>
      </c>
      <c r="BQ9" s="530">
        <v>4206.4172802693201</v>
      </c>
      <c r="BR9" s="530">
        <v>3861.5959101247977</v>
      </c>
      <c r="BS9" s="530">
        <v>3248.3862172234908</v>
      </c>
      <c r="BT9" s="530">
        <v>3401.9818232472849</v>
      </c>
      <c r="BU9" s="530">
        <v>3143.5539530932256</v>
      </c>
      <c r="BV9" s="530">
        <v>3348.1496243326078</v>
      </c>
      <c r="BW9" s="530">
        <v>3196.0201372805332</v>
      </c>
      <c r="BX9" s="530">
        <v>3271.0530970156478</v>
      </c>
      <c r="BY9" s="530">
        <v>3723.4052513859419</v>
      </c>
      <c r="BZ9" s="530">
        <v>3523.040140670726</v>
      </c>
      <c r="CA9" s="530">
        <v>3952.8994427882349</v>
      </c>
      <c r="CB9" s="530">
        <v>3990.452736690575</v>
      </c>
      <c r="CC9" s="530">
        <v>4740.9176379585651</v>
      </c>
      <c r="CD9" s="530">
        <v>3776.1984780613684</v>
      </c>
      <c r="CE9" s="530">
        <v>3640.6363961059837</v>
      </c>
      <c r="CF9" s="530">
        <v>3312.0465586532928</v>
      </c>
      <c r="CG9" s="530">
        <v>3394.6748425060241</v>
      </c>
      <c r="CH9" s="530">
        <v>3669.5814846955191</v>
      </c>
      <c r="CI9" s="530">
        <v>3071.6160394472058</v>
      </c>
      <c r="CJ9" s="530">
        <v>3325.7167871601114</v>
      </c>
      <c r="CK9" s="530">
        <v>3592.0347304622965</v>
      </c>
      <c r="CL9" s="530">
        <v>3576.0201575213905</v>
      </c>
      <c r="CM9" s="530">
        <v>4228.9072712417847</v>
      </c>
      <c r="CN9" s="530">
        <v>3980.6171380319374</v>
      </c>
      <c r="CO9" s="530">
        <v>5632.117172286582</v>
      </c>
      <c r="CP9" s="530">
        <v>4741.4006917473353</v>
      </c>
      <c r="CQ9" s="530">
        <v>4118.0065336866073</v>
      </c>
      <c r="CR9" s="530">
        <v>4351.0623698149129</v>
      </c>
      <c r="CS9" s="530">
        <v>4596.3606216431745</v>
      </c>
      <c r="CT9" s="530">
        <v>4329.2837483554204</v>
      </c>
      <c r="CU9" s="530">
        <v>4266.0397142115489</v>
      </c>
      <c r="CV9" s="530">
        <v>4925.9016351455193</v>
      </c>
      <c r="CW9" s="530">
        <v>4658.7204731614402</v>
      </c>
      <c r="CX9" s="530">
        <v>4654.4669752292812</v>
      </c>
      <c r="CY9" s="530">
        <v>5259.4821673398319</v>
      </c>
      <c r="CZ9" s="530">
        <v>5001.5660718872232</v>
      </c>
      <c r="DA9" s="530">
        <v>7542.0020901580083</v>
      </c>
      <c r="DB9" s="530">
        <v>5697.5715944966496</v>
      </c>
      <c r="DC9" s="530">
        <v>5343.9951523647906</v>
      </c>
      <c r="DD9" s="512">
        <v>5083.3654926177778</v>
      </c>
      <c r="DE9" s="512">
        <v>5535.5682916965552</v>
      </c>
      <c r="DF9" s="512">
        <v>4747.4852326913342</v>
      </c>
      <c r="DG9" s="512">
        <v>5116.8642503795218</v>
      </c>
    </row>
    <row r="10" spans="1:111" ht="17.25" customHeight="1">
      <c r="A10" s="616" t="s">
        <v>409</v>
      </c>
      <c r="B10" s="510" t="s">
        <v>460</v>
      </c>
      <c r="C10" s="530">
        <v>19975.080293458301</v>
      </c>
      <c r="D10" s="530">
        <v>22346.902759003209</v>
      </c>
      <c r="E10" s="530">
        <v>20475.947543321927</v>
      </c>
      <c r="F10" s="569">
        <v>22877.597539004928</v>
      </c>
      <c r="G10" s="530">
        <v>21847.663648703674</v>
      </c>
      <c r="H10" s="570">
        <v>34663.355402387118</v>
      </c>
      <c r="I10" s="530">
        <v>17902.909454611141</v>
      </c>
      <c r="J10" s="530">
        <v>25677.515168207792</v>
      </c>
      <c r="K10" s="530">
        <v>21561.612577053904</v>
      </c>
      <c r="L10" s="530">
        <v>22323.829189218744</v>
      </c>
      <c r="M10" s="569">
        <v>21509.83215564246</v>
      </c>
      <c r="N10" s="530">
        <v>22200.380501133372</v>
      </c>
      <c r="O10" s="530">
        <v>30343.168662323718</v>
      </c>
      <c r="P10" s="530">
        <v>73088.583959607771</v>
      </c>
      <c r="Q10" s="530">
        <v>20138.284316349331</v>
      </c>
      <c r="R10" s="530">
        <v>24953.663398915643</v>
      </c>
      <c r="S10" s="530">
        <v>24222.421543240973</v>
      </c>
      <c r="T10" s="530">
        <v>79514.592170465985</v>
      </c>
      <c r="U10" s="530">
        <v>90611.003020587581</v>
      </c>
      <c r="V10" s="530">
        <v>85868.06333871161</v>
      </c>
      <c r="W10" s="530">
        <v>86225.300003184399</v>
      </c>
      <c r="X10" s="530">
        <v>87306.730941753791</v>
      </c>
      <c r="Y10" s="530">
        <v>73307.135789904234</v>
      </c>
      <c r="Z10" s="530">
        <v>75156.728640008048</v>
      </c>
      <c r="AA10" s="530">
        <v>85896.07315991525</v>
      </c>
      <c r="AB10" s="530">
        <v>95706.061487670566</v>
      </c>
      <c r="AC10" s="530">
        <v>100024.42352192786</v>
      </c>
      <c r="AD10" s="530">
        <v>106983.1036179873</v>
      </c>
      <c r="AE10" s="530">
        <v>105272.22278386854</v>
      </c>
      <c r="AF10" s="530">
        <v>128581.35657862392</v>
      </c>
      <c r="AG10" s="530">
        <v>119614.38863466259</v>
      </c>
      <c r="AH10" s="530">
        <v>116901.70349935519</v>
      </c>
      <c r="AI10" s="530">
        <v>122889.85854175108</v>
      </c>
      <c r="AJ10" s="530">
        <v>116413.52518368076</v>
      </c>
      <c r="AK10" s="530">
        <v>104087.51083708563</v>
      </c>
      <c r="AL10" s="530">
        <v>116160.66223781955</v>
      </c>
      <c r="AM10" s="530">
        <v>117149.00051827468</v>
      </c>
      <c r="AN10" s="530">
        <v>125242.36273515598</v>
      </c>
      <c r="AO10" s="530">
        <v>123449.53393194849</v>
      </c>
      <c r="AP10" s="530">
        <v>103228.08979591788</v>
      </c>
      <c r="AQ10" s="530">
        <v>106145.31807003192</v>
      </c>
      <c r="AR10" s="530">
        <v>111695.80547703271</v>
      </c>
      <c r="AS10" s="530">
        <v>94127.095238527792</v>
      </c>
      <c r="AT10" s="530">
        <v>109408.71932217915</v>
      </c>
      <c r="AU10" s="530">
        <v>116582.52539816564</v>
      </c>
      <c r="AV10" s="530">
        <v>121635.64622612936</v>
      </c>
      <c r="AW10" s="530">
        <v>116678.60981528788</v>
      </c>
      <c r="AX10" s="530">
        <v>129243.60248592439</v>
      </c>
      <c r="AY10" s="530">
        <v>116942.44460790638</v>
      </c>
      <c r="AZ10" s="530">
        <v>113403.86664098399</v>
      </c>
      <c r="BA10" s="530">
        <v>93559.366855159329</v>
      </c>
      <c r="BB10" s="530">
        <v>112313.31301834264</v>
      </c>
      <c r="BC10" s="530">
        <v>127555.66274654098</v>
      </c>
      <c r="BD10" s="530">
        <v>118620.74633788063</v>
      </c>
      <c r="BE10" s="530">
        <v>132849.31107179535</v>
      </c>
      <c r="BF10" s="530">
        <v>85469.596649490719</v>
      </c>
      <c r="BG10" s="530">
        <v>111904.64422547795</v>
      </c>
      <c r="BH10" s="530">
        <v>117164.47701259931</v>
      </c>
      <c r="BI10" s="530">
        <v>124509.89209567537</v>
      </c>
      <c r="BJ10" s="530">
        <v>130066.30620843144</v>
      </c>
      <c r="BK10" s="530">
        <v>120171.29273877224</v>
      </c>
      <c r="BL10" s="530">
        <v>107286.74789194504</v>
      </c>
      <c r="BM10" s="530">
        <v>112166.31690164335</v>
      </c>
      <c r="BN10" s="530">
        <v>126786.72434546983</v>
      </c>
      <c r="BO10" s="530">
        <v>121092.10067095078</v>
      </c>
      <c r="BP10" s="530">
        <v>141326.79744404394</v>
      </c>
      <c r="BQ10" s="530">
        <v>131412.7484882109</v>
      </c>
      <c r="BR10" s="530">
        <v>113844.89811462261</v>
      </c>
      <c r="BS10" s="530">
        <v>127472.02314959349</v>
      </c>
      <c r="BT10" s="530">
        <v>106409.80316978128</v>
      </c>
      <c r="BU10" s="530">
        <v>100178.15867654752</v>
      </c>
      <c r="BV10" s="530">
        <v>95285.305464231365</v>
      </c>
      <c r="BW10" s="530">
        <v>112379.86962005035</v>
      </c>
      <c r="BX10" s="530">
        <v>96368.938647299103</v>
      </c>
      <c r="BY10" s="530">
        <v>97993.702883231395</v>
      </c>
      <c r="BZ10" s="530">
        <v>95265.289534892945</v>
      </c>
      <c r="CA10" s="530">
        <v>76726.773073888238</v>
      </c>
      <c r="CB10" s="530">
        <v>89010.888355937175</v>
      </c>
      <c r="CC10" s="530">
        <v>81702.210347968896</v>
      </c>
      <c r="CD10" s="530">
        <v>75748.717375522581</v>
      </c>
      <c r="CE10" s="530">
        <v>96946.295553742704</v>
      </c>
      <c r="CF10" s="530">
        <v>153645.87541378877</v>
      </c>
      <c r="CG10" s="530">
        <v>139707.75868664263</v>
      </c>
      <c r="CH10" s="530">
        <v>160857.2852431722</v>
      </c>
      <c r="CI10" s="530">
        <v>102410.46502473236</v>
      </c>
      <c r="CJ10" s="530">
        <v>141983.86840759171</v>
      </c>
      <c r="CK10" s="530">
        <v>101094.19029405949</v>
      </c>
      <c r="CL10" s="530">
        <v>114787.49756484</v>
      </c>
      <c r="CM10" s="530">
        <v>122996.08724202342</v>
      </c>
      <c r="CN10" s="530">
        <v>124265.81529070709</v>
      </c>
      <c r="CO10" s="530">
        <v>143331.1175241709</v>
      </c>
      <c r="CP10" s="530">
        <v>152212.84297757698</v>
      </c>
      <c r="CQ10" s="530">
        <v>104857.82785965674</v>
      </c>
      <c r="CR10" s="530">
        <v>122722.59521257292</v>
      </c>
      <c r="CS10" s="530">
        <v>126916.34748882419</v>
      </c>
      <c r="CT10" s="530">
        <v>139663.68233417126</v>
      </c>
      <c r="CU10" s="530">
        <v>131439.39612011795</v>
      </c>
      <c r="CV10" s="530">
        <v>131609.89199681405</v>
      </c>
      <c r="CW10" s="530">
        <v>126086.54356509868</v>
      </c>
      <c r="CX10" s="530">
        <v>126079.10050486807</v>
      </c>
      <c r="CY10" s="530">
        <v>124894.59331730337</v>
      </c>
      <c r="CZ10" s="530">
        <v>139588.10234629267</v>
      </c>
      <c r="DA10" s="530">
        <v>168583.42046297353</v>
      </c>
      <c r="DB10" s="530">
        <v>130482.78209013322</v>
      </c>
      <c r="DC10" s="530">
        <v>127093.03286621736</v>
      </c>
      <c r="DD10" s="512">
        <v>131561.0166720773</v>
      </c>
      <c r="DE10" s="512">
        <v>138847.11918340626</v>
      </c>
      <c r="DF10" s="512">
        <v>114062.96360885935</v>
      </c>
      <c r="DG10" s="512">
        <v>117536.28898080392</v>
      </c>
    </row>
    <row r="11" spans="1:111" ht="17.25" customHeight="1">
      <c r="A11" s="616" t="s">
        <v>411</v>
      </c>
      <c r="B11" s="510" t="s">
        <v>468</v>
      </c>
      <c r="C11" s="530">
        <v>218.78021294999994</v>
      </c>
      <c r="D11" s="530">
        <v>479.12523298420001</v>
      </c>
      <c r="E11" s="530">
        <v>701.29248116420001</v>
      </c>
      <c r="F11" s="569">
        <v>385.54954311239999</v>
      </c>
      <c r="G11" s="530">
        <v>361.83599612679996</v>
      </c>
      <c r="H11" s="570">
        <v>1017.6780878194</v>
      </c>
      <c r="I11" s="530">
        <v>892.30805765639991</v>
      </c>
      <c r="J11" s="530">
        <v>1636.4558734556001</v>
      </c>
      <c r="K11" s="530">
        <v>918.29561470860006</v>
      </c>
      <c r="L11" s="530">
        <v>583.53288016479996</v>
      </c>
      <c r="M11" s="569">
        <v>797.90734200079999</v>
      </c>
      <c r="N11" s="530">
        <v>567.79508362299998</v>
      </c>
      <c r="O11" s="530">
        <v>404.05200875619988</v>
      </c>
      <c r="P11" s="530">
        <v>670.92330815859975</v>
      </c>
      <c r="Q11" s="530">
        <v>351.8244658915998</v>
      </c>
      <c r="R11" s="530">
        <v>360.95612798829973</v>
      </c>
      <c r="S11" s="530">
        <v>419.07166179979976</v>
      </c>
      <c r="T11" s="530">
        <v>407.1469993419999</v>
      </c>
      <c r="U11" s="530">
        <v>253.83415127499975</v>
      </c>
      <c r="V11" s="530">
        <v>398.89524168839989</v>
      </c>
      <c r="W11" s="530">
        <v>422.57914170369997</v>
      </c>
      <c r="X11" s="530">
        <v>344.25226376949979</v>
      </c>
      <c r="Y11" s="530">
        <v>327.54693126949985</v>
      </c>
      <c r="Z11" s="530">
        <v>345.70045700549986</v>
      </c>
      <c r="AA11" s="530">
        <v>415.78733357549993</v>
      </c>
      <c r="AB11" s="530">
        <v>322.57316390549983</v>
      </c>
      <c r="AC11" s="530">
        <v>381.24796877549994</v>
      </c>
      <c r="AD11" s="530">
        <v>342.66218756549989</v>
      </c>
      <c r="AE11" s="530">
        <v>415.11937078549983</v>
      </c>
      <c r="AF11" s="530">
        <v>463.51516345549982</v>
      </c>
      <c r="AG11" s="530">
        <v>415.43479584749974</v>
      </c>
      <c r="AH11" s="530">
        <v>815.05812312750004</v>
      </c>
      <c r="AI11" s="530">
        <v>802.83032962549987</v>
      </c>
      <c r="AJ11" s="530">
        <v>1135.1767810254998</v>
      </c>
      <c r="AK11" s="530">
        <v>886.41189388749979</v>
      </c>
      <c r="AL11" s="530">
        <v>840.51549616949967</v>
      </c>
      <c r="AM11" s="530">
        <v>970.02344611949979</v>
      </c>
      <c r="AN11" s="530">
        <v>891.52603242949999</v>
      </c>
      <c r="AO11" s="530">
        <v>895.08640470949979</v>
      </c>
      <c r="AP11" s="530">
        <v>670.43637266999997</v>
      </c>
      <c r="AQ11" s="530">
        <v>671.15422126999988</v>
      </c>
      <c r="AR11" s="530">
        <v>820.21852910999985</v>
      </c>
      <c r="AS11" s="530">
        <v>679.80989671999976</v>
      </c>
      <c r="AT11" s="530">
        <v>708.72556519999978</v>
      </c>
      <c r="AU11" s="530">
        <v>358.72875690999996</v>
      </c>
      <c r="AV11" s="530">
        <v>519.43095133999998</v>
      </c>
      <c r="AW11" s="530">
        <v>564.67693534000023</v>
      </c>
      <c r="AX11" s="530">
        <v>574.11750810000024</v>
      </c>
      <c r="AY11" s="530">
        <v>714.27319077120444</v>
      </c>
      <c r="AZ11" s="530">
        <v>901.16196808000018</v>
      </c>
      <c r="BA11" s="530">
        <v>943.81252893999977</v>
      </c>
      <c r="BB11" s="530">
        <v>703.73942211999997</v>
      </c>
      <c r="BC11" s="530">
        <v>930.61532617000012</v>
      </c>
      <c r="BD11" s="530">
        <v>769.33369759000016</v>
      </c>
      <c r="BE11" s="530">
        <v>874.56711007299998</v>
      </c>
      <c r="BF11" s="530">
        <v>731.51162923300001</v>
      </c>
      <c r="BG11" s="530">
        <v>1090.8223261130004</v>
      </c>
      <c r="BH11" s="530">
        <v>1327.5394631030001</v>
      </c>
      <c r="BI11" s="530">
        <v>1112.3969502259999</v>
      </c>
      <c r="BJ11" s="530">
        <v>1296.6844534877525</v>
      </c>
      <c r="BK11" s="530">
        <v>1198.1438791159997</v>
      </c>
      <c r="BL11" s="530">
        <v>981.85332459775259</v>
      </c>
      <c r="BM11" s="530">
        <v>1058.9843746860001</v>
      </c>
      <c r="BN11" s="530">
        <v>1092.9500498259999</v>
      </c>
      <c r="BO11" s="530">
        <v>1516.8234844930005</v>
      </c>
      <c r="BP11" s="530">
        <v>910.01958114300021</v>
      </c>
      <c r="BQ11" s="530">
        <v>879.76789356300003</v>
      </c>
      <c r="BR11" s="530">
        <v>1102.2721801730004</v>
      </c>
      <c r="BS11" s="530">
        <v>1165.3789722830002</v>
      </c>
      <c r="BT11" s="530">
        <v>1379.4388065599999</v>
      </c>
      <c r="BU11" s="530">
        <v>1828.9585669699998</v>
      </c>
      <c r="BV11" s="530">
        <v>1846.1887993699995</v>
      </c>
      <c r="BW11" s="530">
        <v>1020.9280029099999</v>
      </c>
      <c r="BX11" s="530">
        <v>1489.1784517899998</v>
      </c>
      <c r="BY11" s="530">
        <v>1295.146992332787</v>
      </c>
      <c r="BZ11" s="530">
        <v>1236.6824080599997</v>
      </c>
      <c r="CA11" s="530">
        <v>1188.6795859400006</v>
      </c>
      <c r="CB11" s="530">
        <v>1147.8261792799999</v>
      </c>
      <c r="CC11" s="530">
        <v>1151.2427044000001</v>
      </c>
      <c r="CD11" s="530">
        <v>1167.7523538799999</v>
      </c>
      <c r="CE11" s="530">
        <v>1052.5402204800002</v>
      </c>
      <c r="CF11" s="530">
        <v>1165.4846706000008</v>
      </c>
      <c r="CG11" s="530">
        <v>1374.7085454199998</v>
      </c>
      <c r="CH11" s="530">
        <v>904.32682813999952</v>
      </c>
      <c r="CI11" s="530">
        <v>1243.4650270600007</v>
      </c>
      <c r="CJ11" s="530">
        <v>893.48213018000001</v>
      </c>
      <c r="CK11" s="530">
        <v>930.23218397999926</v>
      </c>
      <c r="CL11" s="530">
        <v>960.76329350999958</v>
      </c>
      <c r="CM11" s="530">
        <v>998.74835851000023</v>
      </c>
      <c r="CN11" s="530">
        <v>887.46812767155393</v>
      </c>
      <c r="CO11" s="530">
        <v>891.35222507000015</v>
      </c>
      <c r="CP11" s="530">
        <v>742.26391527000021</v>
      </c>
      <c r="CQ11" s="530">
        <v>841.32659916999944</v>
      </c>
      <c r="CR11" s="530">
        <v>909.71778108249976</v>
      </c>
      <c r="CS11" s="530">
        <v>924.12947358000019</v>
      </c>
      <c r="CT11" s="530">
        <v>891.18874602999983</v>
      </c>
      <c r="CU11" s="530">
        <v>868.42660398999908</v>
      </c>
      <c r="CV11" s="530">
        <v>1091.3549138400003</v>
      </c>
      <c r="CW11" s="530">
        <v>1105.8538156299996</v>
      </c>
      <c r="CX11" s="530">
        <v>1102.8760863800005</v>
      </c>
      <c r="CY11" s="530">
        <v>1208.7891288799997</v>
      </c>
      <c r="CZ11" s="530">
        <v>973.80052544000125</v>
      </c>
      <c r="DA11" s="530">
        <v>982.85475648999943</v>
      </c>
      <c r="DB11" s="530">
        <v>903.75075932000038</v>
      </c>
      <c r="DC11" s="530">
        <v>922.91814051000097</v>
      </c>
      <c r="DD11" s="512">
        <v>956.55295500000011</v>
      </c>
      <c r="DE11" s="512">
        <v>1291.2759329700007</v>
      </c>
      <c r="DF11" s="512">
        <v>1050.364744583733</v>
      </c>
      <c r="DG11" s="512">
        <v>1131.5947210700003</v>
      </c>
    </row>
    <row r="12" spans="1:111" ht="17.25" customHeight="1">
      <c r="A12" s="616" t="s">
        <v>413</v>
      </c>
      <c r="B12" s="510" t="s">
        <v>469</v>
      </c>
      <c r="C12" s="530">
        <v>114780.52874940931</v>
      </c>
      <c r="D12" s="530">
        <v>92198.915853901533</v>
      </c>
      <c r="E12" s="530">
        <v>107258.48675384259</v>
      </c>
      <c r="F12" s="569">
        <v>114847.97804313936</v>
      </c>
      <c r="G12" s="530">
        <v>115971.99322941387</v>
      </c>
      <c r="H12" s="570">
        <v>120393.95074281278</v>
      </c>
      <c r="I12" s="530">
        <v>122633.21855411009</v>
      </c>
      <c r="J12" s="530">
        <v>119968.36052226041</v>
      </c>
      <c r="K12" s="530">
        <v>155188.00449221951</v>
      </c>
      <c r="L12" s="530">
        <v>160446.26717154487</v>
      </c>
      <c r="M12" s="569">
        <v>147134.72968139185</v>
      </c>
      <c r="N12" s="530">
        <v>172884.25620825245</v>
      </c>
      <c r="O12" s="530">
        <v>156993.63805037222</v>
      </c>
      <c r="P12" s="530">
        <v>125212.91721017154</v>
      </c>
      <c r="Q12" s="530">
        <v>184275.35932418326</v>
      </c>
      <c r="R12" s="530">
        <v>204918.87167648351</v>
      </c>
      <c r="S12" s="530">
        <v>208107.51410480007</v>
      </c>
      <c r="T12" s="530">
        <v>170340.79738983134</v>
      </c>
      <c r="U12" s="530">
        <v>183848.00738137719</v>
      </c>
      <c r="V12" s="530">
        <v>156236.72592869803</v>
      </c>
      <c r="W12" s="530">
        <v>153132.15731356648</v>
      </c>
      <c r="X12" s="530">
        <v>151311.64475624418</v>
      </c>
      <c r="Y12" s="530">
        <v>154791.75404573453</v>
      </c>
      <c r="Z12" s="530">
        <v>151327.26988427169</v>
      </c>
      <c r="AA12" s="530">
        <v>147922.46816475302</v>
      </c>
      <c r="AB12" s="530">
        <v>164102.09423449222</v>
      </c>
      <c r="AC12" s="530">
        <v>172964.15573605456</v>
      </c>
      <c r="AD12" s="530">
        <v>169629.7251202125</v>
      </c>
      <c r="AE12" s="530">
        <v>158625.80327091605</v>
      </c>
      <c r="AF12" s="530">
        <v>166419.20937497812</v>
      </c>
      <c r="AG12" s="530">
        <v>156278.08533277138</v>
      </c>
      <c r="AH12" s="530">
        <v>176370.44478175111</v>
      </c>
      <c r="AI12" s="530">
        <v>146326.95291130981</v>
      </c>
      <c r="AJ12" s="530">
        <v>143978.89254770655</v>
      </c>
      <c r="AK12" s="530">
        <v>133722.16180641385</v>
      </c>
      <c r="AL12" s="530">
        <v>128751.01070003939</v>
      </c>
      <c r="AM12" s="530">
        <v>139809.80587326223</v>
      </c>
      <c r="AN12" s="530">
        <v>156003.11563269113</v>
      </c>
      <c r="AO12" s="530">
        <v>135528.1758555095</v>
      </c>
      <c r="AP12" s="530">
        <v>133801.37279107716</v>
      </c>
      <c r="AQ12" s="530">
        <v>137627.29616002706</v>
      </c>
      <c r="AR12" s="530">
        <v>132058.40759529072</v>
      </c>
      <c r="AS12" s="530">
        <v>126745.40254598403</v>
      </c>
      <c r="AT12" s="530">
        <v>135222.94137848113</v>
      </c>
      <c r="AU12" s="530">
        <v>135877.27411122961</v>
      </c>
      <c r="AV12" s="530">
        <v>136876.79103651911</v>
      </c>
      <c r="AW12" s="530">
        <v>130916.68790267475</v>
      </c>
      <c r="AX12" s="530">
        <v>114846.4998710806</v>
      </c>
      <c r="AY12" s="530">
        <v>118769.87901516836</v>
      </c>
      <c r="AZ12" s="530">
        <v>105163.34083808456</v>
      </c>
      <c r="BA12" s="530">
        <v>115890.49459784379</v>
      </c>
      <c r="BB12" s="530">
        <v>105638.43681606637</v>
      </c>
      <c r="BC12" s="530">
        <v>98935.917985294494</v>
      </c>
      <c r="BD12" s="530">
        <v>102984.78204846136</v>
      </c>
      <c r="BE12" s="530">
        <v>104434.96390012844</v>
      </c>
      <c r="BF12" s="530">
        <v>163213.14447748504</v>
      </c>
      <c r="BG12" s="530">
        <v>130440.58506434348</v>
      </c>
      <c r="BH12" s="530">
        <v>135982.00878077582</v>
      </c>
      <c r="BI12" s="530">
        <v>111487.29402000074</v>
      </c>
      <c r="BJ12" s="530">
        <v>138630.9035577685</v>
      </c>
      <c r="BK12" s="530">
        <v>133836.36319619094</v>
      </c>
      <c r="BL12" s="530">
        <v>102162.09759616066</v>
      </c>
      <c r="BM12" s="530">
        <v>124555.55584100011</v>
      </c>
      <c r="BN12" s="530">
        <v>113448.80882698554</v>
      </c>
      <c r="BO12" s="530">
        <v>125421.67287522368</v>
      </c>
      <c r="BP12" s="530">
        <v>112464.7926657175</v>
      </c>
      <c r="BQ12" s="530">
        <v>118179.46170358364</v>
      </c>
      <c r="BR12" s="530">
        <v>137094.79561078927</v>
      </c>
      <c r="BS12" s="530">
        <v>125062.87069051244</v>
      </c>
      <c r="BT12" s="530">
        <v>104918.89511274277</v>
      </c>
      <c r="BU12" s="530">
        <v>147262.20251736668</v>
      </c>
      <c r="BV12" s="530">
        <v>111320.07149738188</v>
      </c>
      <c r="BW12" s="530">
        <v>126814.39925569562</v>
      </c>
      <c r="BX12" s="530">
        <v>117247.39712271896</v>
      </c>
      <c r="BY12" s="530">
        <v>102166.1214856244</v>
      </c>
      <c r="BZ12" s="530">
        <v>117572.38515768877</v>
      </c>
      <c r="CA12" s="530">
        <v>136009.50460440863</v>
      </c>
      <c r="CB12" s="530">
        <v>170686.60516459792</v>
      </c>
      <c r="CC12" s="530">
        <v>127058.61616511113</v>
      </c>
      <c r="CD12" s="530">
        <v>94420.232123468231</v>
      </c>
      <c r="CE12" s="530">
        <v>94694.167934488767</v>
      </c>
      <c r="CF12" s="530">
        <v>87652.828847642333</v>
      </c>
      <c r="CG12" s="530">
        <v>98994.718622956323</v>
      </c>
      <c r="CH12" s="530">
        <v>84944.778923339196</v>
      </c>
      <c r="CI12" s="530">
        <v>84905.64475249275</v>
      </c>
      <c r="CJ12" s="530">
        <v>88107.968433187765</v>
      </c>
      <c r="CK12" s="530">
        <v>98314.814281294501</v>
      </c>
      <c r="CL12" s="530">
        <v>94615.666754645339</v>
      </c>
      <c r="CM12" s="530">
        <v>94337.730263510544</v>
      </c>
      <c r="CN12" s="530">
        <v>93837.513632771414</v>
      </c>
      <c r="CO12" s="530">
        <v>96968.740536829879</v>
      </c>
      <c r="CP12" s="530">
        <v>104143.81076845342</v>
      </c>
      <c r="CQ12" s="530">
        <v>105826.03165421376</v>
      </c>
      <c r="CR12" s="530">
        <v>125646.80866969452</v>
      </c>
      <c r="CS12" s="530">
        <v>123344.27929712922</v>
      </c>
      <c r="CT12" s="530">
        <v>133964.81277368468</v>
      </c>
      <c r="CU12" s="530">
        <v>122620.90943058695</v>
      </c>
      <c r="CV12" s="530">
        <v>139781.28813217438</v>
      </c>
      <c r="CW12" s="530">
        <v>118911.50954724291</v>
      </c>
      <c r="CX12" s="530">
        <v>116450.73777121364</v>
      </c>
      <c r="CY12" s="530">
        <v>111952.41898325982</v>
      </c>
      <c r="CZ12" s="530">
        <v>105332.33392100636</v>
      </c>
      <c r="DA12" s="530">
        <v>121752.78676915383</v>
      </c>
      <c r="DB12" s="530">
        <v>129362.20609907889</v>
      </c>
      <c r="DC12" s="530">
        <v>143551.6112882208</v>
      </c>
      <c r="DD12" s="512">
        <v>156490.50199842203</v>
      </c>
      <c r="DE12" s="512">
        <v>135916.66552554272</v>
      </c>
      <c r="DF12" s="512">
        <v>131773.43661670526</v>
      </c>
      <c r="DG12" s="512">
        <v>121464.61029176002</v>
      </c>
    </row>
    <row r="13" spans="1:111" ht="17.25" customHeight="1">
      <c r="A13" s="616"/>
      <c r="B13" s="510"/>
      <c r="C13" s="565"/>
      <c r="D13" s="565"/>
      <c r="E13" s="565"/>
      <c r="F13" s="566"/>
      <c r="G13" s="565"/>
      <c r="H13" s="567"/>
      <c r="I13" s="565"/>
      <c r="J13" s="565"/>
      <c r="K13" s="565"/>
      <c r="L13" s="565"/>
      <c r="M13" s="566"/>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565"/>
      <c r="BW13" s="565"/>
      <c r="BX13" s="565"/>
      <c r="BY13" s="565"/>
      <c r="BZ13" s="565"/>
      <c r="CA13" s="565"/>
      <c r="CB13" s="565"/>
      <c r="CC13" s="565"/>
      <c r="CD13" s="565"/>
      <c r="CE13" s="565"/>
      <c r="CF13" s="565"/>
      <c r="CG13" s="565"/>
      <c r="CH13" s="565"/>
      <c r="CI13" s="565"/>
      <c r="CJ13" s="565"/>
      <c r="CK13" s="565"/>
      <c r="CL13" s="565"/>
      <c r="CM13" s="565"/>
      <c r="CN13" s="565"/>
      <c r="CO13" s="565"/>
      <c r="CP13" s="565"/>
      <c r="CQ13" s="565"/>
      <c r="CR13" s="565"/>
      <c r="CS13" s="565"/>
      <c r="CT13" s="565"/>
      <c r="CU13" s="565"/>
      <c r="CV13" s="565"/>
      <c r="CW13" s="565"/>
      <c r="CX13" s="565"/>
      <c r="CY13" s="565"/>
      <c r="CZ13" s="565"/>
      <c r="DA13" s="565"/>
      <c r="DB13" s="565"/>
      <c r="DC13" s="565"/>
      <c r="DD13" s="511"/>
      <c r="DE13" s="511"/>
      <c r="DF13" s="511"/>
      <c r="DG13" s="511"/>
    </row>
    <row r="14" spans="1:111" ht="17.25" customHeight="1">
      <c r="A14" s="615" t="s">
        <v>415</v>
      </c>
      <c r="B14" s="506" t="s">
        <v>416</v>
      </c>
      <c r="C14" s="561">
        <v>85768.101618001616</v>
      </c>
      <c r="D14" s="561">
        <v>86725.799356485091</v>
      </c>
      <c r="E14" s="561">
        <v>84956.440768187036</v>
      </c>
      <c r="F14" s="562">
        <v>81904.329046623796</v>
      </c>
      <c r="G14" s="561">
        <v>81098.844307442909</v>
      </c>
      <c r="H14" s="563">
        <v>77922.091213270891</v>
      </c>
      <c r="I14" s="561">
        <v>77836.155041532154</v>
      </c>
      <c r="J14" s="561">
        <v>81628.329868855144</v>
      </c>
      <c r="K14" s="561">
        <v>80483.982146845359</v>
      </c>
      <c r="L14" s="561">
        <v>79601.826141637634</v>
      </c>
      <c r="M14" s="562">
        <v>77293.845814212837</v>
      </c>
      <c r="N14" s="561">
        <v>81197.003264282714</v>
      </c>
      <c r="O14" s="561">
        <v>80414.083177176522</v>
      </c>
      <c r="P14" s="561">
        <v>82165.709417242309</v>
      </c>
      <c r="Q14" s="561">
        <v>81879.003795156183</v>
      </c>
      <c r="R14" s="561">
        <v>77790.34492112766</v>
      </c>
      <c r="S14" s="561">
        <v>75679.422153171807</v>
      </c>
      <c r="T14" s="561">
        <v>75242.739826202829</v>
      </c>
      <c r="U14" s="561">
        <v>74950.694285117264</v>
      </c>
      <c r="V14" s="561">
        <v>73817.490238368322</v>
      </c>
      <c r="W14" s="561">
        <v>73793.102170893326</v>
      </c>
      <c r="X14" s="561">
        <v>76649.205505761129</v>
      </c>
      <c r="Y14" s="561">
        <v>82416.771496184316</v>
      </c>
      <c r="Z14" s="561">
        <v>82709.379905860493</v>
      </c>
      <c r="AA14" s="561">
        <v>83753.22513865566</v>
      </c>
      <c r="AB14" s="561">
        <v>82097.369034867952</v>
      </c>
      <c r="AC14" s="561">
        <v>84682.888815698796</v>
      </c>
      <c r="AD14" s="561">
        <v>83395.484899504401</v>
      </c>
      <c r="AE14" s="561">
        <v>82814.570828131255</v>
      </c>
      <c r="AF14" s="561">
        <v>86235.736855679963</v>
      </c>
      <c r="AG14" s="561">
        <v>85592.699238705725</v>
      </c>
      <c r="AH14" s="561">
        <v>86847.866583002033</v>
      </c>
      <c r="AI14" s="561">
        <v>87935.646434789407</v>
      </c>
      <c r="AJ14" s="561">
        <v>75792.299272587217</v>
      </c>
      <c r="AK14" s="561">
        <v>82780.492313511859</v>
      </c>
      <c r="AL14" s="561">
        <v>92953.9536492482</v>
      </c>
      <c r="AM14" s="561">
        <v>98168.8645630721</v>
      </c>
      <c r="AN14" s="561">
        <v>87532.163223141804</v>
      </c>
      <c r="AO14" s="561">
        <v>83537.093903936533</v>
      </c>
      <c r="AP14" s="561">
        <v>81121.660092495367</v>
      </c>
      <c r="AQ14" s="561">
        <v>78695.590004808691</v>
      </c>
      <c r="AR14" s="561">
        <v>77595.451426086671</v>
      </c>
      <c r="AS14" s="561">
        <v>95724.537910414336</v>
      </c>
      <c r="AT14" s="561">
        <v>79497.849259822455</v>
      </c>
      <c r="AU14" s="561">
        <v>80101.791451565427</v>
      </c>
      <c r="AV14" s="561">
        <v>81027.962760390219</v>
      </c>
      <c r="AW14" s="561">
        <v>86810.682307831783</v>
      </c>
      <c r="AX14" s="561">
        <v>88311.381266260389</v>
      </c>
      <c r="AY14" s="561">
        <v>98378.730677803658</v>
      </c>
      <c r="AZ14" s="561">
        <v>106751.2103873233</v>
      </c>
      <c r="BA14" s="561">
        <v>105095.83186605357</v>
      </c>
      <c r="BB14" s="561">
        <v>102090.4187805697</v>
      </c>
      <c r="BC14" s="561">
        <v>104504.09536311703</v>
      </c>
      <c r="BD14" s="561">
        <v>107636.63077667206</v>
      </c>
      <c r="BE14" s="561">
        <v>112580.29737774999</v>
      </c>
      <c r="BF14" s="561">
        <v>113283.95283699065</v>
      </c>
      <c r="BG14" s="561">
        <v>123425.61055936545</v>
      </c>
      <c r="BH14" s="561">
        <v>125147.82091468478</v>
      </c>
      <c r="BI14" s="561">
        <v>131099.95932432913</v>
      </c>
      <c r="BJ14" s="561">
        <v>149411.28451591876</v>
      </c>
      <c r="BK14" s="561">
        <v>145894.76729189398</v>
      </c>
      <c r="BL14" s="561">
        <v>140521.48015151516</v>
      </c>
      <c r="BM14" s="561">
        <v>141984.81507186859</v>
      </c>
      <c r="BN14" s="561">
        <v>148152.31360519517</v>
      </c>
      <c r="BO14" s="561">
        <v>145244.71763102073</v>
      </c>
      <c r="BP14" s="561">
        <v>145300.04737531042</v>
      </c>
      <c r="BQ14" s="561">
        <v>142236.58001312456</v>
      </c>
      <c r="BR14" s="561">
        <v>133650.78699992941</v>
      </c>
      <c r="BS14" s="561">
        <v>129806.03437077765</v>
      </c>
      <c r="BT14" s="561">
        <v>130737.22348823029</v>
      </c>
      <c r="BU14" s="561">
        <v>129580.16269868378</v>
      </c>
      <c r="BV14" s="561">
        <v>122182.56104689998</v>
      </c>
      <c r="BW14" s="561">
        <v>132378.82492657253</v>
      </c>
      <c r="BX14" s="561">
        <v>136296.67640350119</v>
      </c>
      <c r="BY14" s="561">
        <v>138176.53691638046</v>
      </c>
      <c r="BZ14" s="561">
        <v>134900.86854621588</v>
      </c>
      <c r="CA14" s="561">
        <v>136433.58327222336</v>
      </c>
      <c r="CB14" s="561">
        <v>129162.57147044834</v>
      </c>
      <c r="CC14" s="561">
        <v>125800.19534152022</v>
      </c>
      <c r="CD14" s="561">
        <v>137594.30727903513</v>
      </c>
      <c r="CE14" s="561">
        <v>132341.8026527745</v>
      </c>
      <c r="CF14" s="561">
        <v>135432.31771875036</v>
      </c>
      <c r="CG14" s="561">
        <v>139169.0883524252</v>
      </c>
      <c r="CH14" s="561">
        <v>135179.96924033374</v>
      </c>
      <c r="CI14" s="561">
        <v>145398.66199286413</v>
      </c>
      <c r="CJ14" s="561">
        <v>137592.6133651961</v>
      </c>
      <c r="CK14" s="561">
        <v>142779.8234122046</v>
      </c>
      <c r="CL14" s="561">
        <v>145313.72486497837</v>
      </c>
      <c r="CM14" s="561">
        <v>146552.84723938318</v>
      </c>
      <c r="CN14" s="561">
        <v>153501.3643928185</v>
      </c>
      <c r="CO14" s="561">
        <v>133773.74684271324</v>
      </c>
      <c r="CP14" s="561">
        <v>138524.56655245015</v>
      </c>
      <c r="CQ14" s="561">
        <v>143343.46704574098</v>
      </c>
      <c r="CR14" s="561">
        <v>151675.06701490912</v>
      </c>
      <c r="CS14" s="561">
        <v>151292.84146505498</v>
      </c>
      <c r="CT14" s="561">
        <v>152942.65517575535</v>
      </c>
      <c r="CU14" s="561">
        <v>149372.17086628088</v>
      </c>
      <c r="CV14" s="561">
        <v>159673.53533067036</v>
      </c>
      <c r="CW14" s="561">
        <v>158089.45567560461</v>
      </c>
      <c r="CX14" s="561">
        <v>162306.6078591843</v>
      </c>
      <c r="CY14" s="561">
        <v>150458.80137371802</v>
      </c>
      <c r="CZ14" s="561">
        <v>156918.44334227438</v>
      </c>
      <c r="DA14" s="561">
        <v>150458.92853299854</v>
      </c>
      <c r="DB14" s="561">
        <v>155067.06359033793</v>
      </c>
      <c r="DC14" s="561">
        <v>154661.32788848877</v>
      </c>
      <c r="DD14" s="507">
        <v>159063.34399853015</v>
      </c>
      <c r="DE14" s="507">
        <v>154812.7137783498</v>
      </c>
      <c r="DF14" s="507">
        <v>160866.07027832422</v>
      </c>
      <c r="DG14" s="507">
        <v>166143.56734609968</v>
      </c>
    </row>
    <row r="15" spans="1:111" ht="17.25" customHeight="1">
      <c r="A15" s="616"/>
      <c r="B15" s="510"/>
      <c r="C15" s="565"/>
      <c r="D15" s="565"/>
      <c r="E15" s="565"/>
      <c r="F15" s="566"/>
      <c r="G15" s="565"/>
      <c r="H15" s="567"/>
      <c r="I15" s="565"/>
      <c r="J15" s="565"/>
      <c r="K15" s="565"/>
      <c r="L15" s="565"/>
      <c r="M15" s="566"/>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565"/>
      <c r="BW15" s="565"/>
      <c r="BX15" s="565"/>
      <c r="BY15" s="565"/>
      <c r="BZ15" s="565"/>
      <c r="CA15" s="565"/>
      <c r="CB15" s="565"/>
      <c r="CC15" s="565"/>
      <c r="CD15" s="565"/>
      <c r="CE15" s="565"/>
      <c r="CF15" s="565"/>
      <c r="CG15" s="565"/>
      <c r="CH15" s="565"/>
      <c r="CI15" s="565"/>
      <c r="CJ15" s="565"/>
      <c r="CK15" s="565"/>
      <c r="CL15" s="565"/>
      <c r="CM15" s="565"/>
      <c r="CN15" s="565"/>
      <c r="CO15" s="565"/>
      <c r="CP15" s="565"/>
      <c r="CQ15" s="565"/>
      <c r="CR15" s="565"/>
      <c r="CS15" s="565"/>
      <c r="CT15" s="565"/>
      <c r="CU15" s="565"/>
      <c r="CV15" s="565"/>
      <c r="CW15" s="565"/>
      <c r="CX15" s="565"/>
      <c r="CY15" s="565"/>
      <c r="CZ15" s="565"/>
      <c r="DA15" s="565"/>
      <c r="DB15" s="565"/>
      <c r="DC15" s="565"/>
      <c r="DD15" s="511"/>
      <c r="DE15" s="511"/>
      <c r="DF15" s="511"/>
      <c r="DG15" s="511"/>
    </row>
    <row r="16" spans="1:111" ht="17.25" customHeight="1">
      <c r="A16" s="615" t="s">
        <v>417</v>
      </c>
      <c r="B16" s="506" t="s">
        <v>201</v>
      </c>
      <c r="C16" s="561">
        <v>199044.86807115094</v>
      </c>
      <c r="D16" s="561">
        <v>199273.87546531469</v>
      </c>
      <c r="E16" s="561">
        <v>200495.96875494719</v>
      </c>
      <c r="F16" s="562">
        <v>211374.12298909877</v>
      </c>
      <c r="G16" s="561">
        <v>209511.00246092153</v>
      </c>
      <c r="H16" s="563">
        <v>214380.85127147011</v>
      </c>
      <c r="I16" s="561">
        <v>216970.39499971044</v>
      </c>
      <c r="J16" s="561">
        <v>213131.13359317151</v>
      </c>
      <c r="K16" s="561">
        <v>210940.86692220892</v>
      </c>
      <c r="L16" s="561">
        <v>213698.30339226313</v>
      </c>
      <c r="M16" s="562">
        <v>222588.12279015593</v>
      </c>
      <c r="N16" s="561">
        <v>224021.10441421121</v>
      </c>
      <c r="O16" s="561">
        <v>224723.73570730275</v>
      </c>
      <c r="P16" s="561">
        <v>229838.18915842168</v>
      </c>
      <c r="Q16" s="561">
        <v>235868.75987431384</v>
      </c>
      <c r="R16" s="561">
        <v>240171.76476980947</v>
      </c>
      <c r="S16" s="561">
        <v>244440.67127370514</v>
      </c>
      <c r="T16" s="561">
        <v>252325.20331988618</v>
      </c>
      <c r="U16" s="561">
        <v>257409.18419898144</v>
      </c>
      <c r="V16" s="561">
        <v>262165.68204397318</v>
      </c>
      <c r="W16" s="561">
        <v>267493.53941010131</v>
      </c>
      <c r="X16" s="561">
        <v>281565.6706634998</v>
      </c>
      <c r="Y16" s="561">
        <v>286015.18726825056</v>
      </c>
      <c r="Z16" s="561">
        <v>293370.46462622704</v>
      </c>
      <c r="AA16" s="561">
        <v>304210.65120580251</v>
      </c>
      <c r="AB16" s="561">
        <v>302206.42017566657</v>
      </c>
      <c r="AC16" s="561">
        <v>304231.07448118116</v>
      </c>
      <c r="AD16" s="561">
        <v>311040.32277567685</v>
      </c>
      <c r="AE16" s="561">
        <v>320397.54983698472</v>
      </c>
      <c r="AF16" s="561">
        <v>331158.09054063866</v>
      </c>
      <c r="AG16" s="561">
        <v>331584.08298876742</v>
      </c>
      <c r="AH16" s="561">
        <v>342869.78521438804</v>
      </c>
      <c r="AI16" s="561">
        <v>348051.61166220682</v>
      </c>
      <c r="AJ16" s="561">
        <v>351947.5163436741</v>
      </c>
      <c r="AK16" s="561">
        <v>361502.89571217826</v>
      </c>
      <c r="AL16" s="561">
        <v>381153.23289374856</v>
      </c>
      <c r="AM16" s="561">
        <v>372472.46521316923</v>
      </c>
      <c r="AN16" s="561">
        <v>379003.75121309294</v>
      </c>
      <c r="AO16" s="561">
        <v>395775.9335207729</v>
      </c>
      <c r="AP16" s="561">
        <v>406834.60189462733</v>
      </c>
      <c r="AQ16" s="561">
        <v>436364.27636165597</v>
      </c>
      <c r="AR16" s="561">
        <v>438699.17790112528</v>
      </c>
      <c r="AS16" s="561">
        <v>437685.23793102987</v>
      </c>
      <c r="AT16" s="561">
        <v>437963.12173500529</v>
      </c>
      <c r="AU16" s="561">
        <v>439346.65455416957</v>
      </c>
      <c r="AV16" s="561">
        <v>424656.87682331202</v>
      </c>
      <c r="AW16" s="561">
        <v>419404.1463423876</v>
      </c>
      <c r="AX16" s="561">
        <v>414458.31451376568</v>
      </c>
      <c r="AY16" s="561">
        <v>410554.79309852852</v>
      </c>
      <c r="AZ16" s="561">
        <v>416485.54505075578</v>
      </c>
      <c r="BA16" s="561">
        <v>424937.65203636384</v>
      </c>
      <c r="BB16" s="561">
        <v>422625.32893888786</v>
      </c>
      <c r="BC16" s="561">
        <v>407640.50574806577</v>
      </c>
      <c r="BD16" s="561">
        <v>401543.06341815571</v>
      </c>
      <c r="BE16" s="561">
        <v>401376.81859416811</v>
      </c>
      <c r="BF16" s="561">
        <v>399243.52598673524</v>
      </c>
      <c r="BG16" s="561">
        <v>405466.44113927928</v>
      </c>
      <c r="BH16" s="561">
        <v>400972.46744072455</v>
      </c>
      <c r="BI16" s="561">
        <v>406537.31378205703</v>
      </c>
      <c r="BJ16" s="561">
        <v>433189.61248306325</v>
      </c>
      <c r="BK16" s="561">
        <v>442087.62024915137</v>
      </c>
      <c r="BL16" s="561">
        <v>441283.6088587023</v>
      </c>
      <c r="BM16" s="561">
        <v>450408.83801341825</v>
      </c>
      <c r="BN16" s="561">
        <v>445690.54504195182</v>
      </c>
      <c r="BO16" s="561">
        <v>443414.1225878126</v>
      </c>
      <c r="BP16" s="561">
        <v>446137.76658484689</v>
      </c>
      <c r="BQ16" s="561">
        <v>459466.78179734439</v>
      </c>
      <c r="BR16" s="561">
        <v>454961.55947965285</v>
      </c>
      <c r="BS16" s="561">
        <v>460404.29006142786</v>
      </c>
      <c r="BT16" s="561">
        <v>464652.66967792017</v>
      </c>
      <c r="BU16" s="561">
        <v>462654.02410401317</v>
      </c>
      <c r="BV16" s="561">
        <v>479648.43227309361</v>
      </c>
      <c r="BW16" s="561">
        <v>488435.90139164717</v>
      </c>
      <c r="BX16" s="561">
        <v>493550.4179817565</v>
      </c>
      <c r="BY16" s="561">
        <v>502263.41366293386</v>
      </c>
      <c r="BZ16" s="561">
        <v>509989.11698373855</v>
      </c>
      <c r="CA16" s="561">
        <v>512171.04834408086</v>
      </c>
      <c r="CB16" s="561">
        <v>521216.10183510539</v>
      </c>
      <c r="CC16" s="561">
        <v>533230.02726011456</v>
      </c>
      <c r="CD16" s="561">
        <v>536867.2763463913</v>
      </c>
      <c r="CE16" s="561">
        <v>525394.7975881641</v>
      </c>
      <c r="CF16" s="561">
        <v>526865.93319035333</v>
      </c>
      <c r="CG16" s="561">
        <v>527549.37775482878</v>
      </c>
      <c r="CH16" s="561">
        <v>536956.54280896531</v>
      </c>
      <c r="CI16" s="561">
        <v>557198.28514259751</v>
      </c>
      <c r="CJ16" s="561">
        <v>549969.14302484749</v>
      </c>
      <c r="CK16" s="561">
        <v>542636.02177314542</v>
      </c>
      <c r="CL16" s="561">
        <v>547270.4549938601</v>
      </c>
      <c r="CM16" s="561">
        <v>562688.6582219745</v>
      </c>
      <c r="CN16" s="561">
        <v>573128.48870609084</v>
      </c>
      <c r="CO16" s="561">
        <v>572836.64611042477</v>
      </c>
      <c r="CP16" s="561">
        <v>567285.89485305955</v>
      </c>
      <c r="CQ16" s="561">
        <v>576052.60663343885</v>
      </c>
      <c r="CR16" s="561">
        <v>565986.73899171792</v>
      </c>
      <c r="CS16" s="561">
        <v>575598.77089072135</v>
      </c>
      <c r="CT16" s="561">
        <v>577173.94285986328</v>
      </c>
      <c r="CU16" s="561">
        <v>580687.38346187875</v>
      </c>
      <c r="CV16" s="561">
        <v>586519.62847970054</v>
      </c>
      <c r="CW16" s="561">
        <v>595701.36300285079</v>
      </c>
      <c r="CX16" s="561">
        <v>588717.21137349878</v>
      </c>
      <c r="CY16" s="561">
        <v>588161.50215942971</v>
      </c>
      <c r="CZ16" s="561">
        <v>595968.39827161573</v>
      </c>
      <c r="DA16" s="561">
        <v>590129.46080587571</v>
      </c>
      <c r="DB16" s="561">
        <v>587569.69376326213</v>
      </c>
      <c r="DC16" s="561">
        <v>586919.09243850491</v>
      </c>
      <c r="DD16" s="507">
        <v>583219.23576268775</v>
      </c>
      <c r="DE16" s="507">
        <v>595577.4291535907</v>
      </c>
      <c r="DF16" s="507">
        <v>602736.20708928129</v>
      </c>
      <c r="DG16" s="507">
        <v>603841.48757523263</v>
      </c>
    </row>
    <row r="17" spans="1:111" ht="17.25" customHeight="1">
      <c r="A17" s="616"/>
      <c r="B17" s="510"/>
      <c r="C17" s="565"/>
      <c r="D17" s="565"/>
      <c r="E17" s="565"/>
      <c r="F17" s="566"/>
      <c r="G17" s="565"/>
      <c r="H17" s="567"/>
      <c r="I17" s="565"/>
      <c r="J17" s="565"/>
      <c r="K17" s="565"/>
      <c r="L17" s="565"/>
      <c r="M17" s="566"/>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565"/>
      <c r="AN17" s="565"/>
      <c r="AO17" s="565"/>
      <c r="AP17" s="565"/>
      <c r="AQ17" s="565"/>
      <c r="AR17" s="565"/>
      <c r="AS17" s="565"/>
      <c r="AT17" s="565"/>
      <c r="AU17" s="565"/>
      <c r="AV17" s="565"/>
      <c r="AW17" s="565"/>
      <c r="AX17" s="565"/>
      <c r="AY17" s="565"/>
      <c r="AZ17" s="565"/>
      <c r="BA17" s="565"/>
      <c r="BB17" s="565"/>
      <c r="BC17" s="565"/>
      <c r="BD17" s="565"/>
      <c r="BE17" s="565"/>
      <c r="BF17" s="565"/>
      <c r="BG17" s="565"/>
      <c r="BH17" s="565"/>
      <c r="BI17" s="565"/>
      <c r="BJ17" s="565"/>
      <c r="BK17" s="565"/>
      <c r="BL17" s="565"/>
      <c r="BM17" s="565"/>
      <c r="BN17" s="565"/>
      <c r="BO17" s="565"/>
      <c r="BP17" s="565"/>
      <c r="BQ17" s="565"/>
      <c r="BR17" s="565"/>
      <c r="BS17" s="565"/>
      <c r="BT17" s="565"/>
      <c r="BU17" s="565"/>
      <c r="BV17" s="565"/>
      <c r="BW17" s="565"/>
      <c r="BX17" s="565"/>
      <c r="BY17" s="565"/>
      <c r="BZ17" s="565"/>
      <c r="CA17" s="565"/>
      <c r="CB17" s="565"/>
      <c r="CC17" s="565"/>
      <c r="CD17" s="565"/>
      <c r="CE17" s="565"/>
      <c r="CF17" s="565"/>
      <c r="CG17" s="565"/>
      <c r="CH17" s="565"/>
      <c r="CI17" s="565"/>
      <c r="CJ17" s="565"/>
      <c r="CK17" s="565"/>
      <c r="CL17" s="565"/>
      <c r="CM17" s="565"/>
      <c r="CN17" s="565"/>
      <c r="CO17" s="565"/>
      <c r="CP17" s="565"/>
      <c r="CQ17" s="565"/>
      <c r="CR17" s="565"/>
      <c r="CS17" s="565"/>
      <c r="CT17" s="565"/>
      <c r="CU17" s="565"/>
      <c r="CV17" s="565"/>
      <c r="CW17" s="565"/>
      <c r="CX17" s="565"/>
      <c r="CY17" s="565"/>
      <c r="CZ17" s="565"/>
      <c r="DA17" s="565"/>
      <c r="DB17" s="565"/>
      <c r="DC17" s="565"/>
      <c r="DD17" s="511"/>
      <c r="DE17" s="511"/>
      <c r="DF17" s="511"/>
      <c r="DG17" s="511"/>
    </row>
    <row r="18" spans="1:111" ht="17.25" customHeight="1">
      <c r="A18" s="615" t="s">
        <v>418</v>
      </c>
      <c r="B18" s="506" t="s">
        <v>419</v>
      </c>
      <c r="C18" s="561">
        <v>5531.3803072675273</v>
      </c>
      <c r="D18" s="561">
        <v>6387.5791570814499</v>
      </c>
      <c r="E18" s="561">
        <v>6435.8123346383036</v>
      </c>
      <c r="F18" s="562">
        <v>6358.3726471190885</v>
      </c>
      <c r="G18" s="561">
        <v>6542.0766587614062</v>
      </c>
      <c r="H18" s="563">
        <v>6668.0273447598711</v>
      </c>
      <c r="I18" s="561">
        <v>6894.7895552277487</v>
      </c>
      <c r="J18" s="561">
        <v>6210.6469639805737</v>
      </c>
      <c r="K18" s="561">
        <v>6506.7939579539252</v>
      </c>
      <c r="L18" s="561">
        <v>6725.2691993683256</v>
      </c>
      <c r="M18" s="562">
        <v>6598.1875387907567</v>
      </c>
      <c r="N18" s="561">
        <v>6278.6362166460058</v>
      </c>
      <c r="O18" s="561">
        <v>7148.2176707650815</v>
      </c>
      <c r="P18" s="561">
        <v>7908.8866773073569</v>
      </c>
      <c r="Q18" s="561">
        <v>8262.1763758011475</v>
      </c>
      <c r="R18" s="561">
        <v>8439.8508473656493</v>
      </c>
      <c r="S18" s="561">
        <v>8876.5765234594801</v>
      </c>
      <c r="T18" s="561">
        <v>9159.1296191671809</v>
      </c>
      <c r="U18" s="561">
        <v>9227.589290234595</v>
      </c>
      <c r="V18" s="561">
        <v>8978.897620083173</v>
      </c>
      <c r="W18" s="561">
        <v>8949.6615872760776</v>
      </c>
      <c r="X18" s="561">
        <v>9163.1837597375415</v>
      </c>
      <c r="Y18" s="561">
        <v>9007.7821756606354</v>
      </c>
      <c r="Z18" s="561">
        <v>9274.506712431059</v>
      </c>
      <c r="AA18" s="561">
        <v>9830.2076527208119</v>
      </c>
      <c r="AB18" s="561">
        <v>9838.630834851343</v>
      </c>
      <c r="AC18" s="561">
        <v>9756.1844034573533</v>
      </c>
      <c r="AD18" s="561">
        <v>10025.473527816757</v>
      </c>
      <c r="AE18" s="561">
        <v>10193.467147840891</v>
      </c>
      <c r="AF18" s="561">
        <v>10055.262286736246</v>
      </c>
      <c r="AG18" s="561">
        <v>9654.0002269930301</v>
      </c>
      <c r="AH18" s="561">
        <v>9300.7369838365121</v>
      </c>
      <c r="AI18" s="561">
        <v>9242.7451026681883</v>
      </c>
      <c r="AJ18" s="561">
        <v>9192.6543237565475</v>
      </c>
      <c r="AK18" s="561">
        <v>9730.5789755466085</v>
      </c>
      <c r="AL18" s="561">
        <v>10188.353875013227</v>
      </c>
      <c r="AM18" s="561">
        <v>10558.961892640469</v>
      </c>
      <c r="AN18" s="561">
        <v>10430.709256339031</v>
      </c>
      <c r="AO18" s="561">
        <v>10420.232326054505</v>
      </c>
      <c r="AP18" s="561">
        <v>10283.576908598152</v>
      </c>
      <c r="AQ18" s="561">
        <v>10541.917578099252</v>
      </c>
      <c r="AR18" s="561">
        <v>10406.70067774412</v>
      </c>
      <c r="AS18" s="561">
        <v>10191.067582308317</v>
      </c>
      <c r="AT18" s="561">
        <v>10658.039614393652</v>
      </c>
      <c r="AU18" s="561">
        <v>10623.769803176141</v>
      </c>
      <c r="AV18" s="561">
        <v>10520.695410769431</v>
      </c>
      <c r="AW18" s="561">
        <v>10959.411512755578</v>
      </c>
      <c r="AX18" s="561">
        <v>11109.244786260213</v>
      </c>
      <c r="AY18" s="561">
        <v>11333.925216700934</v>
      </c>
      <c r="AZ18" s="561">
        <v>11142.604930165548</v>
      </c>
      <c r="BA18" s="561">
        <v>11197.881889352053</v>
      </c>
      <c r="BB18" s="561">
        <v>11521.457824656423</v>
      </c>
      <c r="BC18" s="561">
        <v>11428.483071625669</v>
      </c>
      <c r="BD18" s="561">
        <v>10972.59682197724</v>
      </c>
      <c r="BE18" s="561">
        <v>10744.865053888021</v>
      </c>
      <c r="BF18" s="561">
        <v>10824.733215237027</v>
      </c>
      <c r="BG18" s="561">
        <v>10314.152701945242</v>
      </c>
      <c r="BH18" s="561">
        <v>10598.433889664768</v>
      </c>
      <c r="BI18" s="561">
        <v>10538.736307325125</v>
      </c>
      <c r="BJ18" s="561">
        <v>10865.438622063248</v>
      </c>
      <c r="BK18" s="561">
        <v>11011.583328469778</v>
      </c>
      <c r="BL18" s="561">
        <v>10717.871770146487</v>
      </c>
      <c r="BM18" s="561">
        <v>10656.442933645629</v>
      </c>
      <c r="BN18" s="561">
        <v>10802.052404263091</v>
      </c>
      <c r="BO18" s="561">
        <v>10651.057622400416</v>
      </c>
      <c r="BP18" s="561">
        <v>10829.986002679034</v>
      </c>
      <c r="BQ18" s="561">
        <v>11359.467919985384</v>
      </c>
      <c r="BR18" s="561">
        <v>11304.982898396216</v>
      </c>
      <c r="BS18" s="561">
        <v>14357.840949577105</v>
      </c>
      <c r="BT18" s="561">
        <v>14343.210789106744</v>
      </c>
      <c r="BU18" s="561">
        <v>14222.00636356217</v>
      </c>
      <c r="BV18" s="561">
        <v>14480.126228350526</v>
      </c>
      <c r="BW18" s="561">
        <v>14898.04368517014</v>
      </c>
      <c r="BX18" s="561">
        <v>14758.578493405426</v>
      </c>
      <c r="BY18" s="561">
        <v>14517.367938910365</v>
      </c>
      <c r="BZ18" s="561">
        <v>15764.188411157973</v>
      </c>
      <c r="CA18" s="561">
        <v>15580.806845007333</v>
      </c>
      <c r="CB18" s="561">
        <v>15687.677436771995</v>
      </c>
      <c r="CC18" s="561">
        <v>13019.25104160525</v>
      </c>
      <c r="CD18" s="561">
        <v>12516.397201959582</v>
      </c>
      <c r="CE18" s="561">
        <v>13010.489896758496</v>
      </c>
      <c r="CF18" s="561">
        <v>14424.495194139741</v>
      </c>
      <c r="CG18" s="561">
        <v>15094.444195205204</v>
      </c>
      <c r="CH18" s="561">
        <v>15158.76710254092</v>
      </c>
      <c r="CI18" s="561">
        <v>15562.900465170398</v>
      </c>
      <c r="CJ18" s="561">
        <v>13910.043776192188</v>
      </c>
      <c r="CK18" s="561">
        <v>14241.144984327355</v>
      </c>
      <c r="CL18" s="561">
        <v>13492.500500712837</v>
      </c>
      <c r="CM18" s="561">
        <v>14024.466817268953</v>
      </c>
      <c r="CN18" s="561">
        <v>13762.226982812961</v>
      </c>
      <c r="CO18" s="561">
        <v>14506.032264859767</v>
      </c>
      <c r="CP18" s="561">
        <v>14008.857242580611</v>
      </c>
      <c r="CQ18" s="561">
        <v>13964.903900511505</v>
      </c>
      <c r="CR18" s="561">
        <v>14731.668035126782</v>
      </c>
      <c r="CS18" s="561">
        <v>15675.746735911605</v>
      </c>
      <c r="CT18" s="561">
        <v>17427.129096901157</v>
      </c>
      <c r="CU18" s="561">
        <v>16388.295159861784</v>
      </c>
      <c r="CV18" s="561">
        <v>15684.912529701458</v>
      </c>
      <c r="CW18" s="561">
        <v>14633.007551274062</v>
      </c>
      <c r="CX18" s="561">
        <v>15043.772992744618</v>
      </c>
      <c r="CY18" s="561">
        <v>15907.734889215501</v>
      </c>
      <c r="CZ18" s="561">
        <v>15738.582291339371</v>
      </c>
      <c r="DA18" s="561">
        <v>15373.211958661608</v>
      </c>
      <c r="DB18" s="561">
        <v>15327.034943849416</v>
      </c>
      <c r="DC18" s="561">
        <v>15340.378772302898</v>
      </c>
      <c r="DD18" s="507">
        <v>15795.325884716456</v>
      </c>
      <c r="DE18" s="507">
        <v>16213.914816034627</v>
      </c>
      <c r="DF18" s="507">
        <v>18601.116393538407</v>
      </c>
      <c r="DG18" s="507">
        <v>15283.691793063517</v>
      </c>
    </row>
    <row r="19" spans="1:111" ht="17.25" customHeight="1">
      <c r="A19" s="616"/>
      <c r="B19" s="514"/>
      <c r="C19" s="565"/>
      <c r="D19" s="565"/>
      <c r="E19" s="565"/>
      <c r="F19" s="566"/>
      <c r="G19" s="565"/>
      <c r="H19" s="567"/>
      <c r="I19" s="565"/>
      <c r="J19" s="565"/>
      <c r="K19" s="565"/>
      <c r="L19" s="565"/>
      <c r="M19" s="566"/>
      <c r="N19" s="565"/>
      <c r="O19" s="565"/>
      <c r="P19" s="565"/>
      <c r="Q19" s="565"/>
      <c r="R19" s="565"/>
      <c r="S19" s="565"/>
      <c r="T19" s="565"/>
      <c r="U19" s="565"/>
      <c r="V19" s="565"/>
      <c r="W19" s="5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565"/>
      <c r="BT19" s="565"/>
      <c r="BU19" s="565"/>
      <c r="BV19" s="565"/>
      <c r="BW19" s="565"/>
      <c r="BX19" s="565"/>
      <c r="BY19" s="565"/>
      <c r="BZ19" s="565"/>
      <c r="CA19" s="565"/>
      <c r="CB19" s="565"/>
      <c r="CC19" s="565"/>
      <c r="CD19" s="565"/>
      <c r="CE19" s="565"/>
      <c r="CF19" s="565"/>
      <c r="CG19" s="565"/>
      <c r="CH19" s="565"/>
      <c r="CI19" s="565"/>
      <c r="CJ19" s="565"/>
      <c r="CK19" s="565"/>
      <c r="CL19" s="565"/>
      <c r="CM19" s="565"/>
      <c r="CN19" s="565"/>
      <c r="CO19" s="565"/>
      <c r="CP19" s="565"/>
      <c r="CQ19" s="565"/>
      <c r="CR19" s="565"/>
      <c r="CS19" s="565"/>
      <c r="CT19" s="565"/>
      <c r="CU19" s="565"/>
      <c r="CV19" s="565"/>
      <c r="CW19" s="565"/>
      <c r="CX19" s="565"/>
      <c r="CY19" s="565"/>
      <c r="CZ19" s="565"/>
      <c r="DA19" s="565"/>
      <c r="DB19" s="565"/>
      <c r="DC19" s="565"/>
      <c r="DD19" s="511"/>
      <c r="DE19" s="511"/>
      <c r="DF19" s="511"/>
      <c r="DG19" s="511"/>
    </row>
    <row r="20" spans="1:111" ht="17.25" customHeight="1">
      <c r="A20" s="615" t="s">
        <v>420</v>
      </c>
      <c r="B20" s="506" t="s">
        <v>421</v>
      </c>
      <c r="C20" s="561">
        <v>0</v>
      </c>
      <c r="D20" s="561">
        <v>0</v>
      </c>
      <c r="E20" s="561">
        <v>0</v>
      </c>
      <c r="F20" s="562">
        <v>0</v>
      </c>
      <c r="G20" s="561">
        <v>0</v>
      </c>
      <c r="H20" s="563">
        <v>0</v>
      </c>
      <c r="I20" s="561">
        <v>0</v>
      </c>
      <c r="J20" s="561">
        <v>0</v>
      </c>
      <c r="K20" s="561">
        <v>0</v>
      </c>
      <c r="L20" s="561">
        <v>0</v>
      </c>
      <c r="M20" s="562">
        <v>0</v>
      </c>
      <c r="N20" s="561">
        <v>0</v>
      </c>
      <c r="O20" s="561">
        <v>0</v>
      </c>
      <c r="P20" s="561">
        <v>0</v>
      </c>
      <c r="Q20" s="561">
        <v>0</v>
      </c>
      <c r="R20" s="561">
        <v>0</v>
      </c>
      <c r="S20" s="561">
        <v>0</v>
      </c>
      <c r="T20" s="561">
        <v>0</v>
      </c>
      <c r="U20" s="561">
        <v>0</v>
      </c>
      <c r="V20" s="561">
        <v>0</v>
      </c>
      <c r="W20" s="561">
        <v>0</v>
      </c>
      <c r="X20" s="561">
        <v>0</v>
      </c>
      <c r="Y20" s="561">
        <v>0</v>
      </c>
      <c r="Z20" s="561">
        <v>0</v>
      </c>
      <c r="AA20" s="561">
        <v>0</v>
      </c>
      <c r="AB20" s="561">
        <v>0</v>
      </c>
      <c r="AC20" s="561">
        <v>0</v>
      </c>
      <c r="AD20" s="561">
        <v>0</v>
      </c>
      <c r="AE20" s="561">
        <v>0</v>
      </c>
      <c r="AF20" s="561">
        <v>0</v>
      </c>
      <c r="AG20" s="561">
        <v>0</v>
      </c>
      <c r="AH20" s="561">
        <v>0</v>
      </c>
      <c r="AI20" s="561">
        <v>0</v>
      </c>
      <c r="AJ20" s="561">
        <v>0</v>
      </c>
      <c r="AK20" s="561">
        <v>0</v>
      </c>
      <c r="AL20" s="561">
        <v>0</v>
      </c>
      <c r="AM20" s="561">
        <v>0</v>
      </c>
      <c r="AN20" s="561">
        <v>0</v>
      </c>
      <c r="AO20" s="561">
        <v>0</v>
      </c>
      <c r="AP20" s="561">
        <v>0</v>
      </c>
      <c r="AQ20" s="561">
        <v>0</v>
      </c>
      <c r="AR20" s="561">
        <v>0</v>
      </c>
      <c r="AS20" s="561">
        <v>0</v>
      </c>
      <c r="AT20" s="561">
        <v>0</v>
      </c>
      <c r="AU20" s="561">
        <v>0</v>
      </c>
      <c r="AV20" s="561">
        <v>0</v>
      </c>
      <c r="AW20" s="561">
        <v>0</v>
      </c>
      <c r="AX20" s="561">
        <v>0</v>
      </c>
      <c r="AY20" s="561">
        <v>0</v>
      </c>
      <c r="AZ20" s="561">
        <v>0</v>
      </c>
      <c r="BA20" s="561">
        <v>0</v>
      </c>
      <c r="BB20" s="561">
        <v>0</v>
      </c>
      <c r="BC20" s="561">
        <v>0</v>
      </c>
      <c r="BD20" s="561">
        <v>0</v>
      </c>
      <c r="BE20" s="561">
        <v>0</v>
      </c>
      <c r="BF20" s="561">
        <v>0</v>
      </c>
      <c r="BG20" s="561">
        <v>0</v>
      </c>
      <c r="BH20" s="561">
        <v>0</v>
      </c>
      <c r="BI20" s="561">
        <v>0</v>
      </c>
      <c r="BJ20" s="561">
        <v>0</v>
      </c>
      <c r="BK20" s="561">
        <v>0</v>
      </c>
      <c r="BL20" s="561">
        <v>0</v>
      </c>
      <c r="BM20" s="561">
        <v>0</v>
      </c>
      <c r="BN20" s="561">
        <v>0</v>
      </c>
      <c r="BO20" s="561">
        <v>0</v>
      </c>
      <c r="BP20" s="561">
        <v>0</v>
      </c>
      <c r="BQ20" s="561">
        <v>0</v>
      </c>
      <c r="BR20" s="561">
        <v>0</v>
      </c>
      <c r="BS20" s="561">
        <v>0</v>
      </c>
      <c r="BT20" s="561">
        <v>0</v>
      </c>
      <c r="BU20" s="561">
        <v>0</v>
      </c>
      <c r="BV20" s="561">
        <v>0</v>
      </c>
      <c r="BW20" s="561">
        <v>0</v>
      </c>
      <c r="BX20" s="561">
        <v>0</v>
      </c>
      <c r="BY20" s="561">
        <v>0</v>
      </c>
      <c r="BZ20" s="561">
        <v>0</v>
      </c>
      <c r="CA20" s="561">
        <v>0</v>
      </c>
      <c r="CB20" s="561">
        <v>0</v>
      </c>
      <c r="CC20" s="561">
        <v>0</v>
      </c>
      <c r="CD20" s="561">
        <v>0</v>
      </c>
      <c r="CE20" s="561">
        <v>0</v>
      </c>
      <c r="CF20" s="561">
        <v>0</v>
      </c>
      <c r="CG20" s="561">
        <v>0</v>
      </c>
      <c r="CH20" s="561">
        <v>0</v>
      </c>
      <c r="CI20" s="561">
        <v>0</v>
      </c>
      <c r="CJ20" s="561">
        <v>0</v>
      </c>
      <c r="CK20" s="561">
        <v>0</v>
      </c>
      <c r="CL20" s="561">
        <v>0</v>
      </c>
      <c r="CM20" s="561">
        <v>0</v>
      </c>
      <c r="CN20" s="561">
        <v>0</v>
      </c>
      <c r="CO20" s="561">
        <v>0</v>
      </c>
      <c r="CP20" s="561">
        <v>0</v>
      </c>
      <c r="CQ20" s="561">
        <v>0</v>
      </c>
      <c r="CR20" s="561">
        <v>0</v>
      </c>
      <c r="CS20" s="561">
        <v>0</v>
      </c>
      <c r="CT20" s="561">
        <v>0</v>
      </c>
      <c r="CU20" s="561">
        <v>0</v>
      </c>
      <c r="CV20" s="561">
        <v>0</v>
      </c>
      <c r="CW20" s="561">
        <v>0</v>
      </c>
      <c r="CX20" s="561">
        <v>0</v>
      </c>
      <c r="CY20" s="561">
        <v>0</v>
      </c>
      <c r="CZ20" s="561">
        <v>0</v>
      </c>
      <c r="DA20" s="561">
        <v>0</v>
      </c>
      <c r="DB20" s="561">
        <v>0</v>
      </c>
      <c r="DC20" s="561">
        <v>0</v>
      </c>
      <c r="DD20" s="507">
        <v>0</v>
      </c>
      <c r="DE20" s="507">
        <v>0</v>
      </c>
      <c r="DF20" s="507">
        <v>0</v>
      </c>
      <c r="DG20" s="507">
        <v>0</v>
      </c>
    </row>
    <row r="21" spans="1:111" ht="17.25" customHeight="1">
      <c r="A21" s="616"/>
      <c r="B21" s="510"/>
      <c r="C21" s="565"/>
      <c r="D21" s="565"/>
      <c r="E21" s="565"/>
      <c r="F21" s="566"/>
      <c r="G21" s="565"/>
      <c r="H21" s="567"/>
      <c r="I21" s="565"/>
      <c r="J21" s="565"/>
      <c r="K21" s="565"/>
      <c r="L21" s="565"/>
      <c r="M21" s="566"/>
      <c r="N21" s="565"/>
      <c r="O21" s="565"/>
      <c r="P21" s="565"/>
      <c r="Q21" s="565"/>
      <c r="R21" s="565"/>
      <c r="S21" s="565"/>
      <c r="T21" s="565"/>
      <c r="U21" s="565"/>
      <c r="V21" s="565"/>
      <c r="W21" s="565"/>
      <c r="X21" s="565"/>
      <c r="Y21" s="565"/>
      <c r="Z21" s="565"/>
      <c r="AA21" s="565"/>
      <c r="AB21" s="565"/>
      <c r="AC21" s="565"/>
      <c r="AD21" s="565"/>
      <c r="AE21" s="565"/>
      <c r="AF21" s="565"/>
      <c r="AG21" s="565"/>
      <c r="AH21" s="565"/>
      <c r="AI21" s="565"/>
      <c r="AJ21" s="565"/>
      <c r="AK21" s="565"/>
      <c r="AL21" s="565"/>
      <c r="AM21" s="565"/>
      <c r="AN21" s="565"/>
      <c r="AO21" s="565"/>
      <c r="AP21" s="565"/>
      <c r="AQ21" s="565"/>
      <c r="AR21" s="565"/>
      <c r="AS21" s="565"/>
      <c r="AT21" s="565"/>
      <c r="AU21" s="565"/>
      <c r="AV21" s="565"/>
      <c r="AW21" s="565"/>
      <c r="AX21" s="565"/>
      <c r="AY21" s="565"/>
      <c r="AZ21" s="565"/>
      <c r="BA21" s="565"/>
      <c r="BB21" s="565"/>
      <c r="BC21" s="565"/>
      <c r="BD21" s="565"/>
      <c r="BE21" s="565"/>
      <c r="BF21" s="565"/>
      <c r="BG21" s="565"/>
      <c r="BH21" s="565"/>
      <c r="BI21" s="565"/>
      <c r="BJ21" s="565"/>
      <c r="BK21" s="565"/>
      <c r="BL21" s="565"/>
      <c r="BM21" s="565"/>
      <c r="BN21" s="565"/>
      <c r="BO21" s="565"/>
      <c r="BP21" s="565"/>
      <c r="BQ21" s="565"/>
      <c r="BR21" s="565"/>
      <c r="BS21" s="565"/>
      <c r="BT21" s="565"/>
      <c r="BU21" s="565"/>
      <c r="BV21" s="565"/>
      <c r="BW21" s="565"/>
      <c r="BX21" s="565"/>
      <c r="BY21" s="565"/>
      <c r="BZ21" s="565"/>
      <c r="CA21" s="565"/>
      <c r="CB21" s="565"/>
      <c r="CC21" s="565"/>
      <c r="CD21" s="565"/>
      <c r="CE21" s="565"/>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11"/>
      <c r="DE21" s="511"/>
      <c r="DF21" s="511"/>
      <c r="DG21" s="511"/>
    </row>
    <row r="22" spans="1:111" ht="17.25" customHeight="1">
      <c r="A22" s="615" t="s">
        <v>422</v>
      </c>
      <c r="B22" s="506" t="s">
        <v>423</v>
      </c>
      <c r="C22" s="561">
        <v>26183.901282920287</v>
      </c>
      <c r="D22" s="561">
        <v>30920.629340638301</v>
      </c>
      <c r="E22" s="561">
        <v>30127.544491920886</v>
      </c>
      <c r="F22" s="562">
        <v>27572.021538983245</v>
      </c>
      <c r="G22" s="561">
        <v>33933.736539922735</v>
      </c>
      <c r="H22" s="563">
        <v>32760.140197956243</v>
      </c>
      <c r="I22" s="561">
        <v>30932.200626476388</v>
      </c>
      <c r="J22" s="561">
        <v>36789.194293661276</v>
      </c>
      <c r="K22" s="561">
        <v>38716.69300264043</v>
      </c>
      <c r="L22" s="561">
        <v>35113.899233169977</v>
      </c>
      <c r="M22" s="562">
        <v>38261.367843577915</v>
      </c>
      <c r="N22" s="561">
        <v>35373.730196793753</v>
      </c>
      <c r="O22" s="561">
        <v>30702.881672898991</v>
      </c>
      <c r="P22" s="561">
        <v>24608.514195546501</v>
      </c>
      <c r="Q22" s="561">
        <v>23590.456271051909</v>
      </c>
      <c r="R22" s="561">
        <v>26051.634146052649</v>
      </c>
      <c r="S22" s="561">
        <v>23754.468337843799</v>
      </c>
      <c r="T22" s="561">
        <v>26204.682153106383</v>
      </c>
      <c r="U22" s="561">
        <v>20675.033267786333</v>
      </c>
      <c r="V22" s="561">
        <v>22950.153968386727</v>
      </c>
      <c r="W22" s="561">
        <v>23418.528605273306</v>
      </c>
      <c r="X22" s="561">
        <v>25423.366629636468</v>
      </c>
      <c r="Y22" s="561">
        <v>29513.872719127681</v>
      </c>
      <c r="Z22" s="561">
        <v>23818.396172333396</v>
      </c>
      <c r="AA22" s="561">
        <v>34451.741724165789</v>
      </c>
      <c r="AB22" s="561">
        <v>33222.715717653664</v>
      </c>
      <c r="AC22" s="561">
        <v>30110.290967177945</v>
      </c>
      <c r="AD22" s="561">
        <v>28922.717702781105</v>
      </c>
      <c r="AE22" s="561">
        <v>34532.161147931627</v>
      </c>
      <c r="AF22" s="561">
        <v>30103.844928940875</v>
      </c>
      <c r="AG22" s="561">
        <v>26603.276718278383</v>
      </c>
      <c r="AH22" s="561">
        <v>26714.359443100075</v>
      </c>
      <c r="AI22" s="561">
        <v>40370.62161006096</v>
      </c>
      <c r="AJ22" s="561">
        <v>42571.506750741144</v>
      </c>
      <c r="AK22" s="561">
        <v>34963.558149141951</v>
      </c>
      <c r="AL22" s="561">
        <v>38700.580017500237</v>
      </c>
      <c r="AM22" s="561">
        <v>38769.383876147826</v>
      </c>
      <c r="AN22" s="561">
        <v>38750.924156272849</v>
      </c>
      <c r="AO22" s="561">
        <v>41982.447517360888</v>
      </c>
      <c r="AP22" s="561">
        <v>37091.78975061958</v>
      </c>
      <c r="AQ22" s="561">
        <v>57479.341437148803</v>
      </c>
      <c r="AR22" s="561">
        <v>42436.091494125823</v>
      </c>
      <c r="AS22" s="561">
        <v>48467.510631874728</v>
      </c>
      <c r="AT22" s="561">
        <v>43766.19374855388</v>
      </c>
      <c r="AU22" s="561">
        <v>43751.220261671922</v>
      </c>
      <c r="AV22" s="561">
        <v>43168.524312416805</v>
      </c>
      <c r="AW22" s="561">
        <v>54777.149352958186</v>
      </c>
      <c r="AX22" s="561">
        <v>56565.334847755534</v>
      </c>
      <c r="AY22" s="561">
        <v>70806.799089933018</v>
      </c>
      <c r="AZ22" s="561">
        <v>90527.344397130335</v>
      </c>
      <c r="BA22" s="561">
        <v>96028.651392077169</v>
      </c>
      <c r="BB22" s="561">
        <v>76118.656717261925</v>
      </c>
      <c r="BC22" s="561">
        <v>80474.430639867147</v>
      </c>
      <c r="BD22" s="561">
        <v>77218.847195249997</v>
      </c>
      <c r="BE22" s="561">
        <v>98721.071718576917</v>
      </c>
      <c r="BF22" s="561">
        <v>111246.1864692542</v>
      </c>
      <c r="BG22" s="561">
        <v>123630.10038815008</v>
      </c>
      <c r="BH22" s="561">
        <v>137628.01191243459</v>
      </c>
      <c r="BI22" s="561">
        <v>145174.68787323617</v>
      </c>
      <c r="BJ22" s="561">
        <v>179768.03997429187</v>
      </c>
      <c r="BK22" s="561">
        <v>170478.7823330292</v>
      </c>
      <c r="BL22" s="561">
        <v>161000.1806050069</v>
      </c>
      <c r="BM22" s="561">
        <v>164772.99928111248</v>
      </c>
      <c r="BN22" s="561">
        <v>180117.91477136695</v>
      </c>
      <c r="BO22" s="561">
        <v>196966.81957067244</v>
      </c>
      <c r="BP22" s="561">
        <v>164974.35568354317</v>
      </c>
      <c r="BQ22" s="561">
        <v>205532.71512867292</v>
      </c>
      <c r="BR22" s="561">
        <v>233615.43440302191</v>
      </c>
      <c r="BS22" s="561">
        <v>237429.01184841729</v>
      </c>
      <c r="BT22" s="561">
        <v>229439.60619730927</v>
      </c>
      <c r="BU22" s="561">
        <v>264086.64914514747</v>
      </c>
      <c r="BV22" s="561">
        <v>227132.10828651127</v>
      </c>
      <c r="BW22" s="561">
        <v>243937.36260248709</v>
      </c>
      <c r="BX22" s="561">
        <v>234468.511852241</v>
      </c>
      <c r="BY22" s="561">
        <v>223431.57729376826</v>
      </c>
      <c r="BZ22" s="561">
        <v>280749.98540102836</v>
      </c>
      <c r="CA22" s="561">
        <v>259276.10367702376</v>
      </c>
      <c r="CB22" s="561">
        <v>238813.20075755485</v>
      </c>
      <c r="CC22" s="561">
        <v>291326.19892175758</v>
      </c>
      <c r="CD22" s="561">
        <v>332228.6903683822</v>
      </c>
      <c r="CE22" s="561">
        <v>366057.60420105705</v>
      </c>
      <c r="CF22" s="561">
        <v>332692.92225448351</v>
      </c>
      <c r="CG22" s="561">
        <v>306885.93879038072</v>
      </c>
      <c r="CH22" s="561">
        <v>326897.43717744708</v>
      </c>
      <c r="CI22" s="561">
        <v>345977.21981359209</v>
      </c>
      <c r="CJ22" s="561">
        <v>356196.03470418812</v>
      </c>
      <c r="CK22" s="561">
        <v>345138.7756166319</v>
      </c>
      <c r="CL22" s="561">
        <v>352278.96527660429</v>
      </c>
      <c r="CM22" s="561">
        <v>331072.12614123517</v>
      </c>
      <c r="CN22" s="561">
        <v>288516.44618739793</v>
      </c>
      <c r="CO22" s="561">
        <v>281109.40385980502</v>
      </c>
      <c r="CP22" s="561">
        <v>298079.43139751867</v>
      </c>
      <c r="CQ22" s="561">
        <v>298951.46021708444</v>
      </c>
      <c r="CR22" s="561">
        <v>308166.34326273529</v>
      </c>
      <c r="CS22" s="561">
        <v>284867.13106017641</v>
      </c>
      <c r="CT22" s="561">
        <v>297357.83912524022</v>
      </c>
      <c r="CU22" s="561">
        <v>295323.93049225374</v>
      </c>
      <c r="CV22" s="561">
        <v>314515.56371994573</v>
      </c>
      <c r="CW22" s="561">
        <v>370297.8490114939</v>
      </c>
      <c r="CX22" s="561">
        <v>363107.71730177087</v>
      </c>
      <c r="CY22" s="561">
        <v>312843.50544339872</v>
      </c>
      <c r="CZ22" s="561">
        <v>290773.28742760501</v>
      </c>
      <c r="DA22" s="561">
        <v>245961.29706358048</v>
      </c>
      <c r="DB22" s="561">
        <v>228788.83545939447</v>
      </c>
      <c r="DC22" s="561">
        <v>236889.84815945203</v>
      </c>
      <c r="DD22" s="507">
        <v>224507.99969644891</v>
      </c>
      <c r="DE22" s="507">
        <v>216242.61411776507</v>
      </c>
      <c r="DF22" s="507">
        <v>210178.16381137507</v>
      </c>
      <c r="DG22" s="507">
        <v>199296.28029635065</v>
      </c>
    </row>
    <row r="23" spans="1:111" ht="17.25" customHeight="1">
      <c r="A23" s="616"/>
      <c r="B23" s="510"/>
      <c r="C23" s="565"/>
      <c r="D23" s="565"/>
      <c r="E23" s="565"/>
      <c r="F23" s="566"/>
      <c r="G23" s="565"/>
      <c r="H23" s="567"/>
      <c r="I23" s="565"/>
      <c r="J23" s="565"/>
      <c r="K23" s="565"/>
      <c r="L23" s="565"/>
      <c r="M23" s="566"/>
      <c r="N23" s="565"/>
      <c r="O23" s="565"/>
      <c r="P23" s="565"/>
      <c r="Q23" s="565"/>
      <c r="R23" s="565"/>
      <c r="S23" s="565"/>
      <c r="T23" s="565"/>
      <c r="U23" s="565"/>
      <c r="V23" s="565"/>
      <c r="W23" s="565"/>
      <c r="X23" s="565"/>
      <c r="Y23" s="565"/>
      <c r="Z23" s="565"/>
      <c r="AA23" s="565"/>
      <c r="AB23" s="565"/>
      <c r="AC23" s="565"/>
      <c r="AD23" s="565"/>
      <c r="AE23" s="565"/>
      <c r="AF23" s="565"/>
      <c r="AG23" s="565"/>
      <c r="AH23" s="565"/>
      <c r="AI23" s="565"/>
      <c r="AJ23" s="565"/>
      <c r="AK23" s="565"/>
      <c r="AL23" s="565"/>
      <c r="AM23" s="565"/>
      <c r="AN23" s="565"/>
      <c r="AO23" s="565"/>
      <c r="AP23" s="565"/>
      <c r="AQ23" s="565"/>
      <c r="AR23" s="565"/>
      <c r="AS23" s="565"/>
      <c r="AT23" s="565"/>
      <c r="AU23" s="565"/>
      <c r="AV23" s="565"/>
      <c r="AW23" s="565"/>
      <c r="AX23" s="565"/>
      <c r="AY23" s="565"/>
      <c r="AZ23" s="565"/>
      <c r="BA23" s="565"/>
      <c r="BB23" s="565"/>
      <c r="BC23" s="565"/>
      <c r="BD23" s="565"/>
      <c r="BE23" s="565"/>
      <c r="BF23" s="565"/>
      <c r="BG23" s="565"/>
      <c r="BH23" s="565"/>
      <c r="BI23" s="565"/>
      <c r="BJ23" s="565"/>
      <c r="BK23" s="565"/>
      <c r="BL23" s="565"/>
      <c r="BM23" s="565"/>
      <c r="BN23" s="565"/>
      <c r="BO23" s="565"/>
      <c r="BP23" s="565"/>
      <c r="BQ23" s="565"/>
      <c r="BR23" s="565"/>
      <c r="BS23" s="565"/>
      <c r="BT23" s="565"/>
      <c r="BU23" s="565"/>
      <c r="BV23" s="565"/>
      <c r="BW23" s="565"/>
      <c r="BX23" s="565"/>
      <c r="BY23" s="565"/>
      <c r="BZ23" s="565"/>
      <c r="CA23" s="565"/>
      <c r="CB23" s="565"/>
      <c r="CC23" s="565"/>
      <c r="CD23" s="565"/>
      <c r="CE23" s="565"/>
      <c r="CF23" s="565"/>
      <c r="CG23" s="565"/>
      <c r="CH23" s="565"/>
      <c r="CI23" s="565"/>
      <c r="CJ23" s="565"/>
      <c r="CK23" s="565"/>
      <c r="CL23" s="565"/>
      <c r="CM23" s="565"/>
      <c r="CN23" s="565"/>
      <c r="CO23" s="565"/>
      <c r="CP23" s="565"/>
      <c r="CQ23" s="565"/>
      <c r="CR23" s="565"/>
      <c r="CS23" s="565"/>
      <c r="CT23" s="565"/>
      <c r="CU23" s="565"/>
      <c r="CV23" s="565"/>
      <c r="CW23" s="565"/>
      <c r="CX23" s="565"/>
      <c r="CY23" s="565"/>
      <c r="CZ23" s="565"/>
      <c r="DA23" s="565"/>
      <c r="DB23" s="565"/>
      <c r="DC23" s="565"/>
      <c r="DD23" s="511"/>
      <c r="DE23" s="511"/>
      <c r="DF23" s="511"/>
      <c r="DG23" s="511"/>
    </row>
    <row r="24" spans="1:111" ht="17.25" customHeight="1">
      <c r="A24" s="615" t="s">
        <v>424</v>
      </c>
      <c r="B24" s="506" t="s">
        <v>425</v>
      </c>
      <c r="C24" s="561">
        <v>6383.2490385549081</v>
      </c>
      <c r="D24" s="561">
        <v>6649.8405896661707</v>
      </c>
      <c r="E24" s="561">
        <v>7114.2721878804759</v>
      </c>
      <c r="F24" s="562">
        <v>8514.2723916826089</v>
      </c>
      <c r="G24" s="561">
        <v>7303.9531977657052</v>
      </c>
      <c r="H24" s="563">
        <v>6915.06683532226</v>
      </c>
      <c r="I24" s="561">
        <v>7351.6898221375768</v>
      </c>
      <c r="J24" s="561">
        <v>7413.8849713734871</v>
      </c>
      <c r="K24" s="561">
        <v>7834.4323220745764</v>
      </c>
      <c r="L24" s="561">
        <v>7607.2765266712577</v>
      </c>
      <c r="M24" s="562">
        <v>8447.5385416162244</v>
      </c>
      <c r="N24" s="561">
        <v>8554.2135511803626</v>
      </c>
      <c r="O24" s="561">
        <v>9073.511018862926</v>
      </c>
      <c r="P24" s="561">
        <v>5899.4864869296798</v>
      </c>
      <c r="Q24" s="561">
        <v>6416.5738889620161</v>
      </c>
      <c r="R24" s="561">
        <v>8286.586384338043</v>
      </c>
      <c r="S24" s="561">
        <v>8298.6934993518025</v>
      </c>
      <c r="T24" s="561">
        <v>8975.7309610712982</v>
      </c>
      <c r="U24" s="561">
        <v>8215.2288523839616</v>
      </c>
      <c r="V24" s="561">
        <v>7728.3014778496608</v>
      </c>
      <c r="W24" s="561">
        <v>8629.2179477669088</v>
      </c>
      <c r="X24" s="561">
        <v>9340.7354288686456</v>
      </c>
      <c r="Y24" s="561">
        <v>12455.983672407905</v>
      </c>
      <c r="Z24" s="561">
        <v>13814.342736707898</v>
      </c>
      <c r="AA24" s="561">
        <v>14568.723427268338</v>
      </c>
      <c r="AB24" s="561">
        <v>12229.331331489073</v>
      </c>
      <c r="AC24" s="561">
        <v>12616.693411344611</v>
      </c>
      <c r="AD24" s="561">
        <v>11780.312898310107</v>
      </c>
      <c r="AE24" s="561">
        <v>12642.616229038504</v>
      </c>
      <c r="AF24" s="561">
        <v>11514.791850246491</v>
      </c>
      <c r="AG24" s="561">
        <v>11408.89432211054</v>
      </c>
      <c r="AH24" s="561">
        <v>12066.10625621072</v>
      </c>
      <c r="AI24" s="561">
        <v>12795.007061236227</v>
      </c>
      <c r="AJ24" s="561">
        <v>13327.70138321153</v>
      </c>
      <c r="AK24" s="561">
        <v>12470.688510267537</v>
      </c>
      <c r="AL24" s="561">
        <v>12401.375957310336</v>
      </c>
      <c r="AM24" s="561">
        <v>16578.990062358636</v>
      </c>
      <c r="AN24" s="561">
        <v>14233.110935510573</v>
      </c>
      <c r="AO24" s="561">
        <v>11871.338927178003</v>
      </c>
      <c r="AP24" s="561">
        <v>13742.275090813202</v>
      </c>
      <c r="AQ24" s="561">
        <v>16301.614131301429</v>
      </c>
      <c r="AR24" s="561">
        <v>14028.447093499477</v>
      </c>
      <c r="AS24" s="561">
        <v>14139.58602274734</v>
      </c>
      <c r="AT24" s="561">
        <v>11506.650629684891</v>
      </c>
      <c r="AU24" s="561">
        <v>12165.676450732737</v>
      </c>
      <c r="AV24" s="561">
        <v>13579.916542724737</v>
      </c>
      <c r="AW24" s="561">
        <v>12725.279247709694</v>
      </c>
      <c r="AX24" s="561">
        <v>12737.41604833714</v>
      </c>
      <c r="AY24" s="561">
        <v>12124.612961108782</v>
      </c>
      <c r="AZ24" s="561">
        <v>11017.24773704162</v>
      </c>
      <c r="BA24" s="561">
        <v>11875.871985426129</v>
      </c>
      <c r="BB24" s="561">
        <v>11104.933083112432</v>
      </c>
      <c r="BC24" s="561">
        <v>10153.916028146237</v>
      </c>
      <c r="BD24" s="561">
        <v>10149.670348070938</v>
      </c>
      <c r="BE24" s="561">
        <v>12306.792525007198</v>
      </c>
      <c r="BF24" s="561">
        <v>12112.721526070703</v>
      </c>
      <c r="BG24" s="561">
        <v>11582.558207341845</v>
      </c>
      <c r="BH24" s="561">
        <v>9518.4790455101702</v>
      </c>
      <c r="BI24" s="561">
        <v>8681.0042345374677</v>
      </c>
      <c r="BJ24" s="561">
        <v>7713.9847456788284</v>
      </c>
      <c r="BK24" s="561">
        <v>10163.115702151084</v>
      </c>
      <c r="BL24" s="561">
        <v>12977.486856481886</v>
      </c>
      <c r="BM24" s="561">
        <v>9168.8171159211252</v>
      </c>
      <c r="BN24" s="561">
        <v>8811.5464913536125</v>
      </c>
      <c r="BO24" s="561">
        <v>11821.644279738002</v>
      </c>
      <c r="BP24" s="561">
        <v>13645.589335515086</v>
      </c>
      <c r="BQ24" s="561">
        <v>13612.214057874427</v>
      </c>
      <c r="BR24" s="561">
        <v>13680.717392060966</v>
      </c>
      <c r="BS24" s="561">
        <v>12760.772569695599</v>
      </c>
      <c r="BT24" s="561">
        <v>24013.506030372882</v>
      </c>
      <c r="BU24" s="561">
        <v>23013.201073529097</v>
      </c>
      <c r="BV24" s="561">
        <v>18677.003819306119</v>
      </c>
      <c r="BW24" s="561">
        <v>16736.971253524825</v>
      </c>
      <c r="BX24" s="561">
        <v>16341.12426787452</v>
      </c>
      <c r="BY24" s="561">
        <v>8331.8106840226228</v>
      </c>
      <c r="BZ24" s="561">
        <v>18461.318596219749</v>
      </c>
      <c r="CA24" s="561">
        <v>18557.850228962649</v>
      </c>
      <c r="CB24" s="561">
        <v>20120.93315196945</v>
      </c>
      <c r="CC24" s="561">
        <v>21892.161488708211</v>
      </c>
      <c r="CD24" s="561">
        <v>19769.976753474097</v>
      </c>
      <c r="CE24" s="561">
        <v>19424.047709338327</v>
      </c>
      <c r="CF24" s="561">
        <v>18861.794187661322</v>
      </c>
      <c r="CG24" s="561">
        <v>20053.202827854817</v>
      </c>
      <c r="CH24" s="561">
        <v>25084.961723414857</v>
      </c>
      <c r="CI24" s="561">
        <v>24469.048413259949</v>
      </c>
      <c r="CJ24" s="561">
        <v>23530.975873098447</v>
      </c>
      <c r="CK24" s="561">
        <v>22241.974738439789</v>
      </c>
      <c r="CL24" s="561">
        <v>21840.044962163753</v>
      </c>
      <c r="CM24" s="561">
        <v>20331.502870957593</v>
      </c>
      <c r="CN24" s="561">
        <v>19280.85071621116</v>
      </c>
      <c r="CO24" s="561">
        <v>27604.694450787036</v>
      </c>
      <c r="CP24" s="561">
        <v>26935.272888946314</v>
      </c>
      <c r="CQ24" s="561">
        <v>26263.908825751721</v>
      </c>
      <c r="CR24" s="561">
        <v>23970.443309422441</v>
      </c>
      <c r="CS24" s="561">
        <v>24072.447682477483</v>
      </c>
      <c r="CT24" s="561">
        <v>21775.253964864623</v>
      </c>
      <c r="CU24" s="561">
        <v>23393.112546856104</v>
      </c>
      <c r="CV24" s="561">
        <v>25576.786002686127</v>
      </c>
      <c r="CW24" s="561">
        <v>26435.227941971436</v>
      </c>
      <c r="CX24" s="561">
        <v>25675.635647600808</v>
      </c>
      <c r="CY24" s="561">
        <v>22615.936895204573</v>
      </c>
      <c r="CZ24" s="561">
        <v>14873.142389816247</v>
      </c>
      <c r="DA24" s="561">
        <v>14760.620502544829</v>
      </c>
      <c r="DB24" s="561">
        <v>14726.619122892487</v>
      </c>
      <c r="DC24" s="561">
        <v>16138.105107426947</v>
      </c>
      <c r="DD24" s="507">
        <v>13998.813096603109</v>
      </c>
      <c r="DE24" s="507">
        <v>14965.689715532197</v>
      </c>
      <c r="DF24" s="507">
        <v>15091.165610121518</v>
      </c>
      <c r="DG24" s="507">
        <v>16380.913855891731</v>
      </c>
    </row>
    <row r="25" spans="1:111" ht="17.25" customHeight="1">
      <c r="A25" s="616"/>
      <c r="B25" s="510"/>
      <c r="C25" s="565"/>
      <c r="D25" s="565"/>
      <c r="E25" s="565"/>
      <c r="F25" s="566"/>
      <c r="G25" s="565"/>
      <c r="H25" s="567"/>
      <c r="I25" s="565"/>
      <c r="J25" s="565"/>
      <c r="K25" s="565"/>
      <c r="L25" s="565"/>
      <c r="M25" s="566"/>
      <c r="N25" s="565"/>
      <c r="O25" s="565"/>
      <c r="P25" s="565"/>
      <c r="Q25" s="565"/>
      <c r="R25" s="565"/>
      <c r="S25" s="565"/>
      <c r="T25" s="565"/>
      <c r="U25" s="565"/>
      <c r="V25" s="565"/>
      <c r="W25" s="565"/>
      <c r="X25" s="565"/>
      <c r="Y25" s="565"/>
      <c r="Z25" s="565"/>
      <c r="AA25" s="565"/>
      <c r="AB25" s="565"/>
      <c r="AC25" s="565"/>
      <c r="AD25" s="565"/>
      <c r="AE25" s="565"/>
      <c r="AF25" s="565"/>
      <c r="AG25" s="565"/>
      <c r="AH25" s="565"/>
      <c r="AI25" s="565"/>
      <c r="AJ25" s="565"/>
      <c r="AK25" s="565"/>
      <c r="AL25" s="565"/>
      <c r="AM25" s="565"/>
      <c r="AN25" s="565"/>
      <c r="AO25" s="565"/>
      <c r="AP25" s="565"/>
      <c r="AQ25" s="565"/>
      <c r="AR25" s="565"/>
      <c r="AS25" s="565"/>
      <c r="AT25" s="565"/>
      <c r="AU25" s="565"/>
      <c r="AV25" s="565"/>
      <c r="AW25" s="565"/>
      <c r="AX25" s="565"/>
      <c r="AY25" s="565"/>
      <c r="AZ25" s="565"/>
      <c r="BA25" s="565"/>
      <c r="BB25" s="565"/>
      <c r="BC25" s="565"/>
      <c r="BD25" s="565"/>
      <c r="BE25" s="565"/>
      <c r="BF25" s="565"/>
      <c r="BG25" s="565"/>
      <c r="BH25" s="565"/>
      <c r="BI25" s="565"/>
      <c r="BJ25" s="565"/>
      <c r="BK25" s="565"/>
      <c r="BL25" s="565"/>
      <c r="BM25" s="565"/>
      <c r="BN25" s="565"/>
      <c r="BO25" s="565"/>
      <c r="BP25" s="565"/>
      <c r="BQ25" s="565"/>
      <c r="BR25" s="565"/>
      <c r="BS25" s="565"/>
      <c r="BT25" s="565"/>
      <c r="BU25" s="565"/>
      <c r="BV25" s="565"/>
      <c r="BW25" s="565"/>
      <c r="BX25" s="565"/>
      <c r="BY25" s="565"/>
      <c r="BZ25" s="565"/>
      <c r="CA25" s="565"/>
      <c r="CB25" s="565"/>
      <c r="CC25" s="565"/>
      <c r="CD25" s="565"/>
      <c r="CE25" s="565"/>
      <c r="CF25" s="565"/>
      <c r="CG25" s="565"/>
      <c r="CH25" s="565"/>
      <c r="CI25" s="565"/>
      <c r="CJ25" s="565"/>
      <c r="CK25" s="565"/>
      <c r="CL25" s="565"/>
      <c r="CM25" s="565"/>
      <c r="CN25" s="565"/>
      <c r="CO25" s="565"/>
      <c r="CP25" s="565"/>
      <c r="CQ25" s="565"/>
      <c r="CR25" s="565"/>
      <c r="CS25" s="565"/>
      <c r="CT25" s="565"/>
      <c r="CU25" s="565"/>
      <c r="CV25" s="565"/>
      <c r="CW25" s="565"/>
      <c r="CX25" s="565"/>
      <c r="CY25" s="565"/>
      <c r="CZ25" s="565"/>
      <c r="DA25" s="565"/>
      <c r="DB25" s="565"/>
      <c r="DC25" s="565"/>
      <c r="DD25" s="511"/>
      <c r="DE25" s="511"/>
      <c r="DF25" s="511"/>
      <c r="DG25" s="511"/>
    </row>
    <row r="26" spans="1:111" ht="17.25" customHeight="1">
      <c r="A26" s="615" t="s">
        <v>426</v>
      </c>
      <c r="B26" s="506" t="s">
        <v>427</v>
      </c>
      <c r="C26" s="561">
        <v>11014.033481526913</v>
      </c>
      <c r="D26" s="561">
        <v>11048.727608207602</v>
      </c>
      <c r="E26" s="561">
        <v>11113.043092204985</v>
      </c>
      <c r="F26" s="562">
        <v>11153.496667586149</v>
      </c>
      <c r="G26" s="561">
        <v>11298.29312364251</v>
      </c>
      <c r="H26" s="563">
        <v>11278.38058623231</v>
      </c>
      <c r="I26" s="561">
        <v>11519.591591549974</v>
      </c>
      <c r="J26" s="561">
        <v>11540.759456266354</v>
      </c>
      <c r="K26" s="561">
        <v>11567.307409254552</v>
      </c>
      <c r="L26" s="561">
        <v>11603.499793669256</v>
      </c>
      <c r="M26" s="562">
        <v>11633.93335772253</v>
      </c>
      <c r="N26" s="561">
        <v>11807.799435036495</v>
      </c>
      <c r="O26" s="561">
        <v>11950.837410409435</v>
      </c>
      <c r="P26" s="561">
        <v>11977.17019824984</v>
      </c>
      <c r="Q26" s="561">
        <v>12000.18354502578</v>
      </c>
      <c r="R26" s="561">
        <v>12139.855507300956</v>
      </c>
      <c r="S26" s="561">
        <v>12169.938106646932</v>
      </c>
      <c r="T26" s="561">
        <v>12150.793829544418</v>
      </c>
      <c r="U26" s="561">
        <v>12221.782184337251</v>
      </c>
      <c r="V26" s="561">
        <v>12246.514085820239</v>
      </c>
      <c r="W26" s="561">
        <v>12221.421608163026</v>
      </c>
      <c r="X26" s="561">
        <v>12295.28914683382</v>
      </c>
      <c r="Y26" s="561">
        <v>12382.660895437844</v>
      </c>
      <c r="Z26" s="561">
        <v>12461.038735059528</v>
      </c>
      <c r="AA26" s="561">
        <v>12616.279351228695</v>
      </c>
      <c r="AB26" s="561">
        <v>12624.981711947359</v>
      </c>
      <c r="AC26" s="561">
        <v>12635.224624657145</v>
      </c>
      <c r="AD26" s="561">
        <v>12732.488328174561</v>
      </c>
      <c r="AE26" s="561">
        <v>12803.934268793244</v>
      </c>
      <c r="AF26" s="561">
        <v>12914.352655954235</v>
      </c>
      <c r="AG26" s="561">
        <v>13034.980613430849</v>
      </c>
      <c r="AH26" s="561">
        <v>13065.772707911896</v>
      </c>
      <c r="AI26" s="561">
        <v>13111.795636254179</v>
      </c>
      <c r="AJ26" s="561">
        <v>13135.517572718358</v>
      </c>
      <c r="AK26" s="561">
        <v>13340.71964781003</v>
      </c>
      <c r="AL26" s="561">
        <v>13385.633625959959</v>
      </c>
      <c r="AM26" s="561">
        <v>13497.897804176378</v>
      </c>
      <c r="AN26" s="561">
        <v>13542.863819914795</v>
      </c>
      <c r="AO26" s="561">
        <v>13847.265824195511</v>
      </c>
      <c r="AP26" s="561">
        <v>13895.378361877878</v>
      </c>
      <c r="AQ26" s="561">
        <v>14061.225677049795</v>
      </c>
      <c r="AR26" s="561">
        <v>14129.948875812004</v>
      </c>
      <c r="AS26" s="561">
        <v>14867.49662544334</v>
      </c>
      <c r="AT26" s="561">
        <v>15016.376592499861</v>
      </c>
      <c r="AU26" s="561">
        <v>14883.294521875829</v>
      </c>
      <c r="AV26" s="561">
        <v>15041.956249365756</v>
      </c>
      <c r="AW26" s="561">
        <v>15235.583839148105</v>
      </c>
      <c r="AX26" s="561">
        <v>15416.093372723208</v>
      </c>
      <c r="AY26" s="561">
        <v>15511.952693063038</v>
      </c>
      <c r="AZ26" s="561">
        <v>15628.316686064878</v>
      </c>
      <c r="BA26" s="561">
        <v>15724.480587961425</v>
      </c>
      <c r="BB26" s="561">
        <v>15728.165902294089</v>
      </c>
      <c r="BC26" s="561">
        <v>15948.920227210907</v>
      </c>
      <c r="BD26" s="561">
        <v>16046.530928559725</v>
      </c>
      <c r="BE26" s="561">
        <v>16179.164306182563</v>
      </c>
      <c r="BF26" s="561">
        <v>16186.430466736743</v>
      </c>
      <c r="BG26" s="561">
        <v>16268.813904278057</v>
      </c>
      <c r="BH26" s="561">
        <v>16370.446699364229</v>
      </c>
      <c r="BI26" s="561">
        <v>16665.968852907914</v>
      </c>
      <c r="BJ26" s="561">
        <v>16991.67181004403</v>
      </c>
      <c r="BK26" s="561">
        <v>17384.710621928669</v>
      </c>
      <c r="BL26" s="561">
        <v>17365.152191463854</v>
      </c>
      <c r="BM26" s="561">
        <v>17523.195378059605</v>
      </c>
      <c r="BN26" s="561">
        <v>17892.213160755415</v>
      </c>
      <c r="BO26" s="561">
        <v>17974.062573762763</v>
      </c>
      <c r="BP26" s="561">
        <v>19541.268493632055</v>
      </c>
      <c r="BQ26" s="561">
        <v>19839.07444869414</v>
      </c>
      <c r="BR26" s="561">
        <v>19881.415035014634</v>
      </c>
      <c r="BS26" s="561">
        <v>19895.270451295564</v>
      </c>
      <c r="BT26" s="561">
        <v>20065.058771296935</v>
      </c>
      <c r="BU26" s="561">
        <v>20064.027496214749</v>
      </c>
      <c r="BV26" s="561">
        <v>20196.003639849067</v>
      </c>
      <c r="BW26" s="561">
        <v>20558.658169025657</v>
      </c>
      <c r="BX26" s="561">
        <v>20793.085392956549</v>
      </c>
      <c r="BY26" s="561">
        <v>21056.009486298484</v>
      </c>
      <c r="BZ26" s="561">
        <v>21211.197226594864</v>
      </c>
      <c r="CA26" s="561">
        <v>21326.651264443</v>
      </c>
      <c r="CB26" s="561">
        <v>21456.918350381893</v>
      </c>
      <c r="CC26" s="561">
        <v>21790.382353207417</v>
      </c>
      <c r="CD26" s="561">
        <v>21813.765446692763</v>
      </c>
      <c r="CE26" s="561">
        <v>21821.621603021606</v>
      </c>
      <c r="CF26" s="561">
        <v>21858.585494262614</v>
      </c>
      <c r="CG26" s="561">
        <v>21896.466863457536</v>
      </c>
      <c r="CH26" s="561">
        <v>22339.695730386007</v>
      </c>
      <c r="CI26" s="561">
        <v>22562.627234666605</v>
      </c>
      <c r="CJ26" s="561">
        <v>21198.993556181529</v>
      </c>
      <c r="CK26" s="561">
        <v>20989.900446220578</v>
      </c>
      <c r="CL26" s="561">
        <v>20999.00918223854</v>
      </c>
      <c r="CM26" s="561">
        <v>21074.540085685647</v>
      </c>
      <c r="CN26" s="561">
        <v>21108.568285388013</v>
      </c>
      <c r="CO26" s="561">
        <v>21466.921812800294</v>
      </c>
      <c r="CP26" s="561">
        <v>21670.397031735833</v>
      </c>
      <c r="CQ26" s="561">
        <v>21722.483108871726</v>
      </c>
      <c r="CR26" s="561">
        <v>21755.276499939078</v>
      </c>
      <c r="CS26" s="561">
        <v>21693.701409915764</v>
      </c>
      <c r="CT26" s="561">
        <v>21773.99069525153</v>
      </c>
      <c r="CU26" s="561">
        <v>21767.139061038757</v>
      </c>
      <c r="CV26" s="561">
        <v>21768.024056184444</v>
      </c>
      <c r="CW26" s="561">
        <v>21789.667662884174</v>
      </c>
      <c r="CX26" s="561">
        <v>21919.728767470304</v>
      </c>
      <c r="CY26" s="561">
        <v>21922.52917172237</v>
      </c>
      <c r="CZ26" s="561">
        <v>21899.189093248657</v>
      </c>
      <c r="DA26" s="561">
        <v>22030.605270988261</v>
      </c>
      <c r="DB26" s="561">
        <v>22142.547430580122</v>
      </c>
      <c r="DC26" s="561">
        <v>22110.232217238514</v>
      </c>
      <c r="DD26" s="507">
        <v>22011.968287195839</v>
      </c>
      <c r="DE26" s="507">
        <v>21973.051377668962</v>
      </c>
      <c r="DF26" s="507">
        <v>22022.779691456803</v>
      </c>
      <c r="DG26" s="507">
        <v>22198.046125911344</v>
      </c>
    </row>
    <row r="27" spans="1:111" ht="17.25" customHeight="1">
      <c r="A27" s="616"/>
      <c r="B27" s="510"/>
      <c r="C27" s="530"/>
      <c r="D27" s="530"/>
      <c r="E27" s="530"/>
      <c r="F27" s="569"/>
      <c r="G27" s="530"/>
      <c r="H27" s="570"/>
      <c r="I27" s="530"/>
      <c r="J27" s="530"/>
      <c r="K27" s="530"/>
      <c r="L27" s="530"/>
      <c r="M27" s="569"/>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30"/>
      <c r="BB27" s="530"/>
      <c r="BC27" s="530"/>
      <c r="BD27" s="530"/>
      <c r="BE27" s="530"/>
      <c r="BF27" s="530"/>
      <c r="BG27" s="530"/>
      <c r="BH27" s="530"/>
      <c r="BI27" s="530"/>
      <c r="BJ27" s="530"/>
      <c r="BK27" s="530"/>
      <c r="BL27" s="530"/>
      <c r="BM27" s="530"/>
      <c r="BN27" s="530"/>
      <c r="BO27" s="530"/>
      <c r="BP27" s="530"/>
      <c r="BQ27" s="530"/>
      <c r="BR27" s="530"/>
      <c r="BS27" s="530"/>
      <c r="BT27" s="530"/>
      <c r="BU27" s="530"/>
      <c r="BV27" s="530"/>
      <c r="BW27" s="530"/>
      <c r="BX27" s="530"/>
      <c r="BY27" s="530"/>
      <c r="BZ27" s="530"/>
      <c r="CA27" s="530"/>
      <c r="CB27" s="530"/>
      <c r="CC27" s="530"/>
      <c r="CD27" s="530"/>
      <c r="CE27" s="530"/>
      <c r="CF27" s="530"/>
      <c r="CG27" s="530"/>
      <c r="CH27" s="530"/>
      <c r="CI27" s="530"/>
      <c r="CJ27" s="530"/>
      <c r="CK27" s="530"/>
      <c r="CL27" s="530"/>
      <c r="CM27" s="530"/>
      <c r="CN27" s="530"/>
      <c r="CO27" s="530"/>
      <c r="CP27" s="530"/>
      <c r="CQ27" s="530"/>
      <c r="CR27" s="530"/>
      <c r="CS27" s="530"/>
      <c r="CT27" s="530"/>
      <c r="CU27" s="530"/>
      <c r="CV27" s="530"/>
      <c r="CW27" s="530"/>
      <c r="CX27" s="530"/>
      <c r="CY27" s="530"/>
      <c r="CZ27" s="530"/>
      <c r="DA27" s="530"/>
      <c r="DB27" s="530"/>
      <c r="DC27" s="530"/>
      <c r="DD27" s="512"/>
      <c r="DE27" s="512"/>
      <c r="DF27" s="512"/>
      <c r="DG27" s="512"/>
    </row>
    <row r="28" spans="1:111" ht="17.25" customHeight="1">
      <c r="A28" s="615"/>
      <c r="B28" s="506" t="s">
        <v>428</v>
      </c>
      <c r="C28" s="561">
        <v>471311.56792716432</v>
      </c>
      <c r="D28" s="561">
        <v>458405.79961119429</v>
      </c>
      <c r="E28" s="561">
        <v>471368.36617523001</v>
      </c>
      <c r="F28" s="562">
        <v>487597.21233473998</v>
      </c>
      <c r="G28" s="561">
        <v>490699.53375006304</v>
      </c>
      <c r="H28" s="563">
        <v>509422.04600683041</v>
      </c>
      <c r="I28" s="561">
        <v>496790.44643401378</v>
      </c>
      <c r="J28" s="561">
        <v>506831.090651448</v>
      </c>
      <c r="K28" s="561">
        <v>536189.32489575329</v>
      </c>
      <c r="L28" s="561">
        <v>539946.7159698375</v>
      </c>
      <c r="M28" s="562">
        <v>536591.34873983543</v>
      </c>
      <c r="N28" s="561">
        <v>565086.19033303193</v>
      </c>
      <c r="O28" s="561">
        <v>553754.69138722611</v>
      </c>
      <c r="P28" s="561">
        <v>563618.70857038384</v>
      </c>
      <c r="Q28" s="561">
        <v>575394.00702426536</v>
      </c>
      <c r="R28" s="561">
        <v>605259.06123920635</v>
      </c>
      <c r="S28" s="561">
        <v>608440.06014277297</v>
      </c>
      <c r="T28" s="561">
        <v>637096.64947550418</v>
      </c>
      <c r="U28" s="561">
        <v>661145.8894725315</v>
      </c>
      <c r="V28" s="561">
        <v>633159.18734289054</v>
      </c>
      <c r="W28" s="561">
        <v>636947.78133060329</v>
      </c>
      <c r="X28" s="561">
        <v>655844.07059561671</v>
      </c>
      <c r="Y28" s="561">
        <v>662667.18801874912</v>
      </c>
      <c r="Z28" s="561">
        <v>664628.03592560661</v>
      </c>
      <c r="AA28" s="561">
        <v>695845.12316598266</v>
      </c>
      <c r="AB28" s="561">
        <v>714781.22867027926</v>
      </c>
      <c r="AC28" s="561">
        <v>729675.19286680454</v>
      </c>
      <c r="AD28" s="561">
        <v>737089.28856492438</v>
      </c>
      <c r="AE28" s="561">
        <v>740351.71167019883</v>
      </c>
      <c r="AF28" s="561">
        <v>780083.3295117286</v>
      </c>
      <c r="AG28" s="561">
        <v>758266.41427968536</v>
      </c>
      <c r="AH28" s="561">
        <v>788136.06321539462</v>
      </c>
      <c r="AI28" s="561">
        <v>784205.4456981275</v>
      </c>
      <c r="AJ28" s="561">
        <v>769965.96097859775</v>
      </c>
      <c r="AK28" s="561">
        <v>756096.5212078559</v>
      </c>
      <c r="AL28" s="561">
        <v>797078.89871579094</v>
      </c>
      <c r="AM28" s="561">
        <v>810394.94968197751</v>
      </c>
      <c r="AN28" s="561">
        <v>828459.34888786869</v>
      </c>
      <c r="AO28" s="561">
        <v>819943.30276826583</v>
      </c>
      <c r="AP28" s="561">
        <v>803102.41851690516</v>
      </c>
      <c r="AQ28" s="561">
        <v>860616.11619672494</v>
      </c>
      <c r="AR28" s="561">
        <v>844613.98383109039</v>
      </c>
      <c r="AS28" s="561">
        <v>847548.11865141056</v>
      </c>
      <c r="AT28" s="561">
        <v>846906.62767257448</v>
      </c>
      <c r="AU28" s="561">
        <v>856623.22336467297</v>
      </c>
      <c r="AV28" s="561">
        <v>849664.16610216291</v>
      </c>
      <c r="AW28" s="561">
        <v>850875.33540920669</v>
      </c>
      <c r="AX28" s="561">
        <v>845763.63654899003</v>
      </c>
      <c r="AY28" s="561">
        <v>857777.29400790727</v>
      </c>
      <c r="AZ28" s="561">
        <v>873787.36227380787</v>
      </c>
      <c r="BA28" s="561">
        <v>878017.7705192311</v>
      </c>
      <c r="BB28" s="561">
        <v>860432.47357552964</v>
      </c>
      <c r="BC28" s="561">
        <v>860188.9541019632</v>
      </c>
      <c r="BD28" s="561">
        <v>848848.64170295815</v>
      </c>
      <c r="BE28" s="561">
        <v>894608.69760575343</v>
      </c>
      <c r="BF28" s="561">
        <v>915505.73865312291</v>
      </c>
      <c r="BG28" s="561">
        <v>937137.81343298568</v>
      </c>
      <c r="BH28" s="561">
        <v>958041.17726875655</v>
      </c>
      <c r="BI28" s="561">
        <v>958842.1455475667</v>
      </c>
      <c r="BJ28" s="561">
        <v>1070992.4571643467</v>
      </c>
      <c r="BK28" s="561">
        <v>1055271.1206003062</v>
      </c>
      <c r="BL28" s="561">
        <v>997219.36388874415</v>
      </c>
      <c r="BM28" s="561">
        <v>1035500.4015942985</v>
      </c>
      <c r="BN28" s="561">
        <v>1056066.0486383529</v>
      </c>
      <c r="BO28" s="561">
        <v>1077273.9333575058</v>
      </c>
      <c r="BP28" s="561">
        <v>1058366.3717629386</v>
      </c>
      <c r="BQ28" s="561">
        <v>1106725.2287313228</v>
      </c>
      <c r="BR28" s="561">
        <v>1122998.4580237856</v>
      </c>
      <c r="BS28" s="561">
        <v>1131601.8792808035</v>
      </c>
      <c r="BT28" s="561">
        <v>1099361.3938665676</v>
      </c>
      <c r="BU28" s="561">
        <v>1166032.9445951278</v>
      </c>
      <c r="BV28" s="561">
        <v>1094115.9506793264</v>
      </c>
      <c r="BW28" s="561">
        <v>1160356.9790443636</v>
      </c>
      <c r="BX28" s="561">
        <v>1134584.961710559</v>
      </c>
      <c r="BY28" s="561">
        <v>1112955.0925948888</v>
      </c>
      <c r="BZ28" s="561">
        <v>1198674.0724062677</v>
      </c>
      <c r="CA28" s="561">
        <v>1181223.9003387662</v>
      </c>
      <c r="CB28" s="561">
        <v>1211293.1754387375</v>
      </c>
      <c r="CC28" s="561">
        <v>1221711.2032623517</v>
      </c>
      <c r="CD28" s="561">
        <v>1235903.3137268671</v>
      </c>
      <c r="CE28" s="561">
        <v>1274384.0037559315</v>
      </c>
      <c r="CF28" s="561">
        <v>1295912.2835303352</v>
      </c>
      <c r="CG28" s="561">
        <v>1274120.3794816772</v>
      </c>
      <c r="CH28" s="561">
        <v>1311993.346262435</v>
      </c>
      <c r="CI28" s="561">
        <v>1302799.933905883</v>
      </c>
      <c r="CJ28" s="561">
        <v>1336708.8400578236</v>
      </c>
      <c r="CK28" s="561">
        <v>1291958.9124607658</v>
      </c>
      <c r="CL28" s="561">
        <v>1315134.6475510746</v>
      </c>
      <c r="CM28" s="561">
        <v>1318305.6145117909</v>
      </c>
      <c r="CN28" s="561">
        <v>1292269.3594599015</v>
      </c>
      <c r="CO28" s="561">
        <v>1298120.7727997475</v>
      </c>
      <c r="CP28" s="561">
        <v>1328344.738319339</v>
      </c>
      <c r="CQ28" s="561">
        <v>1295942.0223781262</v>
      </c>
      <c r="CR28" s="561">
        <v>1339915.7211470155</v>
      </c>
      <c r="CS28" s="561">
        <v>1328981.7561254341</v>
      </c>
      <c r="CT28" s="561">
        <v>1367299.7785201175</v>
      </c>
      <c r="CU28" s="561">
        <v>1346126.8034570767</v>
      </c>
      <c r="CV28" s="561">
        <v>1401146.8867968624</v>
      </c>
      <c r="CW28" s="561">
        <v>1437709.198247212</v>
      </c>
      <c r="CX28" s="561">
        <v>1425057.8552799604</v>
      </c>
      <c r="CY28" s="561">
        <v>1355225.2935294721</v>
      </c>
      <c r="CZ28" s="561">
        <v>1347066.8456805258</v>
      </c>
      <c r="DA28" s="561">
        <v>1337575.1882134248</v>
      </c>
      <c r="DB28" s="561">
        <v>1290068.1048533451</v>
      </c>
      <c r="DC28" s="561">
        <v>1308970.542030727</v>
      </c>
      <c r="DD28" s="507">
        <v>1312688.1238442992</v>
      </c>
      <c r="DE28" s="507">
        <v>1301376.0418925567</v>
      </c>
      <c r="DF28" s="507">
        <v>1281129.753076937</v>
      </c>
      <c r="DG28" s="507">
        <v>1268393.3452365631</v>
      </c>
    </row>
    <row r="29" spans="1:111" ht="16.5" thickBot="1">
      <c r="A29" s="617"/>
      <c r="B29" s="516"/>
      <c r="C29" s="572"/>
      <c r="D29" s="572"/>
      <c r="E29" s="572"/>
      <c r="F29" s="573"/>
      <c r="G29" s="572"/>
      <c r="H29" s="574"/>
      <c r="I29" s="572"/>
      <c r="J29" s="572"/>
      <c r="K29" s="572"/>
      <c r="L29" s="572"/>
      <c r="M29" s="573"/>
      <c r="N29" s="572"/>
      <c r="O29" s="572"/>
      <c r="P29" s="572"/>
      <c r="Q29" s="572"/>
      <c r="R29" s="572"/>
      <c r="S29" s="572"/>
      <c r="T29" s="572"/>
      <c r="U29" s="572"/>
      <c r="V29" s="572"/>
      <c r="W29" s="572"/>
      <c r="X29" s="572"/>
      <c r="Y29" s="572"/>
      <c r="Z29" s="572"/>
      <c r="AA29" s="572"/>
      <c r="AB29" s="572"/>
      <c r="AC29" s="572"/>
      <c r="AD29" s="572"/>
      <c r="AE29" s="572"/>
      <c r="AF29" s="572"/>
      <c r="AG29" s="572"/>
      <c r="AH29" s="572"/>
      <c r="AI29" s="572"/>
      <c r="AJ29" s="572"/>
      <c r="AK29" s="572"/>
      <c r="AL29" s="572"/>
      <c r="AM29" s="572"/>
      <c r="AN29" s="572"/>
      <c r="AO29" s="572"/>
      <c r="AP29" s="572"/>
      <c r="AQ29" s="572"/>
      <c r="AR29" s="572"/>
      <c r="AS29" s="572"/>
      <c r="AT29" s="572"/>
      <c r="AU29" s="572"/>
      <c r="AV29" s="572"/>
      <c r="AW29" s="572"/>
      <c r="AX29" s="572"/>
      <c r="AY29" s="572"/>
      <c r="AZ29" s="572"/>
      <c r="BA29" s="572"/>
      <c r="BB29" s="572"/>
      <c r="BC29" s="572"/>
      <c r="BD29" s="572"/>
      <c r="BE29" s="572"/>
      <c r="BF29" s="572"/>
      <c r="BG29" s="572"/>
      <c r="BH29" s="572"/>
      <c r="BI29" s="572"/>
      <c r="BJ29" s="572"/>
      <c r="BK29" s="572"/>
      <c r="BL29" s="572"/>
      <c r="BM29" s="572"/>
      <c r="BN29" s="572"/>
      <c r="BO29" s="572"/>
      <c r="BP29" s="572"/>
      <c r="BQ29" s="572"/>
      <c r="BR29" s="572"/>
      <c r="BS29" s="572"/>
      <c r="BT29" s="572"/>
      <c r="BU29" s="572"/>
      <c r="BV29" s="572"/>
      <c r="BW29" s="572"/>
      <c r="BX29" s="572"/>
      <c r="BY29" s="572"/>
      <c r="BZ29" s="572"/>
      <c r="CA29" s="572"/>
      <c r="CB29" s="572"/>
      <c r="CC29" s="572"/>
      <c r="CD29" s="572"/>
      <c r="CE29" s="572"/>
      <c r="CF29" s="572"/>
      <c r="CG29" s="572"/>
      <c r="CH29" s="572"/>
      <c r="CI29" s="572"/>
      <c r="CJ29" s="572"/>
      <c r="CK29" s="572"/>
      <c r="CL29" s="572"/>
      <c r="CM29" s="572"/>
      <c r="CN29" s="572"/>
      <c r="CO29" s="572"/>
      <c r="CP29" s="572"/>
      <c r="CQ29" s="572"/>
      <c r="CR29" s="572"/>
      <c r="CS29" s="572"/>
      <c r="CT29" s="572"/>
      <c r="CU29" s="572"/>
      <c r="CV29" s="572"/>
      <c r="CW29" s="572"/>
      <c r="CX29" s="572"/>
      <c r="CY29" s="572"/>
      <c r="CZ29" s="572"/>
      <c r="DA29" s="572"/>
      <c r="DB29" s="572"/>
      <c r="DC29" s="572"/>
      <c r="DD29" s="576"/>
      <c r="DE29" s="576"/>
      <c r="DF29" s="576"/>
      <c r="DG29" s="576"/>
    </row>
    <row r="30" spans="1:111" s="403" customFormat="1" ht="16.5" hidden="1" thickTop="1">
      <c r="A30" s="618"/>
      <c r="B30" s="577"/>
      <c r="C30" s="578"/>
      <c r="D30" s="578"/>
      <c r="E30" s="578"/>
      <c r="F30" s="578"/>
      <c r="G30" s="578"/>
      <c r="H30" s="579"/>
      <c r="I30" s="578"/>
      <c r="J30" s="578"/>
      <c r="K30" s="578"/>
      <c r="L30" s="578"/>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c r="AL30" s="578"/>
      <c r="AM30" s="578"/>
      <c r="AN30" s="578"/>
      <c r="AO30" s="578"/>
      <c r="AP30" s="578"/>
      <c r="AQ30" s="578"/>
      <c r="AR30" s="578"/>
      <c r="AS30" s="578"/>
      <c r="AT30" s="578"/>
      <c r="AU30" s="578"/>
      <c r="AV30" s="522"/>
      <c r="AW30" s="578"/>
      <c r="AX30" s="578"/>
      <c r="AY30" s="578"/>
      <c r="AZ30" s="578"/>
      <c r="BA30" s="578"/>
      <c r="BB30" s="578"/>
      <c r="BC30" s="578"/>
      <c r="BD30" s="578"/>
      <c r="BE30" s="578"/>
      <c r="BF30" s="578"/>
      <c r="BG30" s="578"/>
      <c r="BH30" s="578"/>
      <c r="BI30" s="578"/>
      <c r="BJ30" s="578"/>
      <c r="BK30" s="578"/>
      <c r="BL30" s="578"/>
      <c r="BM30" s="578"/>
      <c r="BN30" s="578"/>
      <c r="BO30" s="578"/>
      <c r="BP30" s="578"/>
      <c r="BQ30" s="578"/>
      <c r="BR30" s="578"/>
      <c r="BS30" s="578"/>
      <c r="BT30" s="578"/>
      <c r="BU30" s="578"/>
      <c r="BV30" s="578"/>
      <c r="BW30" s="578"/>
      <c r="BX30" s="578"/>
      <c r="BY30" s="578"/>
      <c r="BZ30" s="578"/>
      <c r="CA30" s="578"/>
      <c r="CB30" s="578"/>
      <c r="CC30" s="578"/>
      <c r="CD30" s="578"/>
      <c r="CE30" s="578"/>
      <c r="CF30" s="578"/>
      <c r="CG30" s="578"/>
      <c r="CH30" s="578"/>
      <c r="CI30" s="578"/>
      <c r="CJ30" s="578"/>
      <c r="CK30" s="578"/>
      <c r="CL30" s="578"/>
      <c r="CM30" s="578"/>
      <c r="CN30" s="578"/>
      <c r="CO30" s="578"/>
      <c r="CP30" s="578"/>
      <c r="CQ30" s="578"/>
      <c r="CR30" s="578"/>
      <c r="CS30" s="578"/>
      <c r="CT30" s="578"/>
      <c r="CU30" s="578"/>
      <c r="CV30" s="578"/>
      <c r="CW30" s="578"/>
      <c r="CX30" s="578"/>
      <c r="CY30" s="578"/>
      <c r="CZ30" s="578"/>
      <c r="DA30" s="578"/>
      <c r="DB30" s="578"/>
      <c r="DC30" s="578"/>
      <c r="DD30" s="522"/>
      <c r="DE30" s="522"/>
      <c r="DF30" s="522"/>
      <c r="DG30" s="522"/>
    </row>
    <row r="31" spans="1:111" s="403" customFormat="1" ht="16.5" thickTop="1">
      <c r="A31" s="578"/>
      <c r="B31" s="578"/>
      <c r="C31" s="578"/>
      <c r="D31" s="578"/>
      <c r="E31" s="578"/>
      <c r="F31" s="578"/>
      <c r="G31" s="578"/>
      <c r="H31" s="580"/>
      <c r="I31" s="578"/>
      <c r="J31" s="578"/>
      <c r="K31" s="578"/>
      <c r="L31" s="578"/>
      <c r="M31" s="578"/>
      <c r="N31" s="578"/>
      <c r="O31" s="578"/>
      <c r="P31" s="578"/>
      <c r="Q31" s="578"/>
      <c r="R31" s="578"/>
      <c r="S31" s="578"/>
      <c r="T31" s="578"/>
      <c r="U31" s="578"/>
      <c r="V31" s="578"/>
      <c r="W31" s="578"/>
      <c r="X31" s="578"/>
      <c r="Y31" s="578"/>
      <c r="Z31" s="578"/>
      <c r="AA31" s="578"/>
      <c r="AB31" s="578"/>
      <c r="AC31" s="578"/>
      <c r="AD31" s="578"/>
      <c r="AE31" s="578"/>
      <c r="AF31" s="578"/>
      <c r="AG31" s="578"/>
      <c r="AH31" s="578"/>
      <c r="AI31" s="578"/>
      <c r="AJ31" s="578"/>
      <c r="AK31" s="578"/>
      <c r="AL31" s="578"/>
      <c r="AM31" s="578"/>
      <c r="AN31" s="578"/>
      <c r="AO31" s="578"/>
      <c r="AP31" s="578"/>
      <c r="AQ31" s="578"/>
      <c r="AR31" s="578"/>
      <c r="AS31" s="578"/>
      <c r="AT31" s="578"/>
      <c r="AU31" s="578"/>
      <c r="AV31" s="522"/>
      <c r="AW31" s="578"/>
      <c r="AX31" s="578"/>
      <c r="AY31" s="578"/>
      <c r="AZ31" s="578"/>
      <c r="BA31" s="578"/>
      <c r="BB31" s="578"/>
      <c r="BC31" s="578"/>
      <c r="BD31" s="578"/>
      <c r="BE31" s="578"/>
      <c r="BF31" s="578"/>
      <c r="BG31" s="578"/>
      <c r="BH31" s="578"/>
      <c r="BI31" s="578"/>
      <c r="BJ31" s="578"/>
      <c r="BK31" s="578"/>
      <c r="BL31" s="578"/>
      <c r="BM31" s="578"/>
      <c r="BN31" s="578"/>
      <c r="BO31" s="578"/>
      <c r="BP31" s="578"/>
      <c r="BQ31" s="578"/>
      <c r="BR31" s="578"/>
      <c r="BS31" s="578"/>
      <c r="BT31" s="578"/>
      <c r="BU31" s="578"/>
      <c r="BV31" s="578"/>
      <c r="BW31" s="578"/>
      <c r="BX31" s="578"/>
      <c r="BY31" s="578"/>
      <c r="BZ31" s="578"/>
      <c r="CA31" s="578"/>
      <c r="CB31" s="578"/>
      <c r="CC31" s="578"/>
      <c r="CD31" s="578"/>
      <c r="CE31" s="578"/>
      <c r="CF31" s="578"/>
      <c r="CG31" s="578"/>
      <c r="CH31" s="578"/>
      <c r="CI31" s="578"/>
      <c r="CJ31" s="578"/>
      <c r="CK31" s="578"/>
      <c r="CL31" s="578"/>
      <c r="CM31" s="578"/>
      <c r="CN31" s="578"/>
      <c r="CO31" s="578"/>
      <c r="CP31" s="578"/>
      <c r="CQ31" s="578"/>
      <c r="CR31" s="578"/>
      <c r="CS31" s="578"/>
      <c r="CT31" s="578"/>
      <c r="CU31" s="578"/>
      <c r="CV31" s="578"/>
      <c r="CW31" s="578"/>
      <c r="CX31" s="578"/>
      <c r="CY31" s="578"/>
      <c r="CZ31" s="578"/>
      <c r="DA31" s="578"/>
      <c r="DB31" s="578"/>
      <c r="DC31" s="578"/>
      <c r="DD31" s="522"/>
      <c r="DE31" s="522"/>
      <c r="DF31" s="522"/>
      <c r="DG31" s="522"/>
    </row>
    <row r="32" spans="1:111" s="403" customFormat="1" ht="16.5" thickBot="1">
      <c r="A32" s="581"/>
      <c r="B32" s="581"/>
      <c r="C32" s="581"/>
      <c r="D32" s="581"/>
      <c r="E32" s="581"/>
      <c r="F32" s="581"/>
      <c r="G32" s="581"/>
      <c r="H32" s="582"/>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3"/>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1"/>
      <c r="CV32" s="581"/>
      <c r="CW32" s="581"/>
      <c r="CX32" s="581"/>
      <c r="CY32" s="581"/>
      <c r="CZ32" s="581"/>
      <c r="DA32" s="581"/>
      <c r="DB32" s="581"/>
      <c r="DC32" s="581"/>
      <c r="DD32" s="522"/>
      <c r="DE32" s="522"/>
      <c r="DF32" s="522"/>
      <c r="DG32" s="522"/>
    </row>
    <row r="33" spans="1:111" ht="23.25" customHeight="1" thickTop="1" thickBot="1">
      <c r="A33" s="619" t="s">
        <v>401</v>
      </c>
      <c r="B33" s="492" t="s">
        <v>429</v>
      </c>
      <c r="C33" s="525">
        <f t="shared" ref="C33:AR33" si="0">C4</f>
        <v>38504</v>
      </c>
      <c r="D33" s="525">
        <f t="shared" si="0"/>
        <v>38534</v>
      </c>
      <c r="E33" s="525">
        <f t="shared" si="0"/>
        <v>38565</v>
      </c>
      <c r="F33" s="584">
        <f t="shared" si="0"/>
        <v>38596</v>
      </c>
      <c r="G33" s="525">
        <f t="shared" si="0"/>
        <v>38626</v>
      </c>
      <c r="H33" s="585">
        <f t="shared" si="0"/>
        <v>38657</v>
      </c>
      <c r="I33" s="525">
        <f t="shared" si="0"/>
        <v>38687</v>
      </c>
      <c r="J33" s="525">
        <f t="shared" si="0"/>
        <v>38718</v>
      </c>
      <c r="K33" s="525">
        <f t="shared" si="0"/>
        <v>38749</v>
      </c>
      <c r="L33" s="525">
        <f t="shared" si="0"/>
        <v>38777</v>
      </c>
      <c r="M33" s="584">
        <f t="shared" si="0"/>
        <v>38808</v>
      </c>
      <c r="N33" s="525">
        <f t="shared" si="0"/>
        <v>38838</v>
      </c>
      <c r="O33" s="525">
        <f t="shared" si="0"/>
        <v>38869</v>
      </c>
      <c r="P33" s="525">
        <f t="shared" si="0"/>
        <v>38899</v>
      </c>
      <c r="Q33" s="525">
        <f t="shared" si="0"/>
        <v>38930</v>
      </c>
      <c r="R33" s="525">
        <f t="shared" si="0"/>
        <v>38961</v>
      </c>
      <c r="S33" s="525">
        <f t="shared" si="0"/>
        <v>38991</v>
      </c>
      <c r="T33" s="525">
        <f t="shared" si="0"/>
        <v>39022</v>
      </c>
      <c r="U33" s="525">
        <f t="shared" si="0"/>
        <v>39052</v>
      </c>
      <c r="V33" s="525">
        <f t="shared" si="0"/>
        <v>39083</v>
      </c>
      <c r="W33" s="525">
        <f t="shared" si="0"/>
        <v>39114</v>
      </c>
      <c r="X33" s="525">
        <f t="shared" si="0"/>
        <v>39142</v>
      </c>
      <c r="Y33" s="525">
        <f t="shared" si="0"/>
        <v>39173</v>
      </c>
      <c r="Z33" s="525">
        <f t="shared" si="0"/>
        <v>39203</v>
      </c>
      <c r="AA33" s="525">
        <f t="shared" si="0"/>
        <v>39234</v>
      </c>
      <c r="AB33" s="525">
        <f t="shared" si="0"/>
        <v>39264</v>
      </c>
      <c r="AC33" s="525">
        <f t="shared" si="0"/>
        <v>39295</v>
      </c>
      <c r="AD33" s="525">
        <f t="shared" si="0"/>
        <v>39326</v>
      </c>
      <c r="AE33" s="523">
        <f t="shared" si="0"/>
        <v>39356</v>
      </c>
      <c r="AF33" s="523">
        <f t="shared" si="0"/>
        <v>39387</v>
      </c>
      <c r="AG33" s="524">
        <f t="shared" si="0"/>
        <v>39417</v>
      </c>
      <c r="AH33" s="525">
        <f t="shared" si="0"/>
        <v>39448</v>
      </c>
      <c r="AI33" s="525">
        <f t="shared" si="0"/>
        <v>39479</v>
      </c>
      <c r="AJ33" s="525">
        <f t="shared" si="0"/>
        <v>39508</v>
      </c>
      <c r="AK33" s="525">
        <f t="shared" si="0"/>
        <v>39539</v>
      </c>
      <c r="AL33" s="525">
        <f t="shared" si="0"/>
        <v>39569</v>
      </c>
      <c r="AM33" s="525">
        <f t="shared" si="0"/>
        <v>39600</v>
      </c>
      <c r="AN33" s="525">
        <f t="shared" si="0"/>
        <v>39630</v>
      </c>
      <c r="AO33" s="525">
        <f t="shared" si="0"/>
        <v>39661</v>
      </c>
      <c r="AP33" s="525">
        <f t="shared" si="0"/>
        <v>39692</v>
      </c>
      <c r="AQ33" s="525">
        <f t="shared" si="0"/>
        <v>39722</v>
      </c>
      <c r="AR33" s="525">
        <f t="shared" si="0"/>
        <v>39753</v>
      </c>
      <c r="AS33" s="525">
        <f>AS4</f>
        <v>39783</v>
      </c>
      <c r="AT33" s="525">
        <f>AT4</f>
        <v>39814</v>
      </c>
      <c r="AU33" s="525">
        <f>AU4</f>
        <v>39845</v>
      </c>
      <c r="AV33" s="525" t="s">
        <v>473</v>
      </c>
      <c r="AW33" s="525">
        <f t="shared" ref="AW33:CV33" si="1">AW4</f>
        <v>39904</v>
      </c>
      <c r="AX33" s="525">
        <f t="shared" si="1"/>
        <v>39934</v>
      </c>
      <c r="AY33" s="525">
        <f t="shared" si="1"/>
        <v>39965</v>
      </c>
      <c r="AZ33" s="525">
        <f t="shared" si="1"/>
        <v>39995</v>
      </c>
      <c r="BA33" s="525">
        <f t="shared" si="1"/>
        <v>40026</v>
      </c>
      <c r="BB33" s="525">
        <f t="shared" si="1"/>
        <v>40057</v>
      </c>
      <c r="BC33" s="525">
        <f t="shared" si="1"/>
        <v>40087</v>
      </c>
      <c r="BD33" s="525">
        <f t="shared" si="1"/>
        <v>40118</v>
      </c>
      <c r="BE33" s="525">
        <f t="shared" si="1"/>
        <v>40148</v>
      </c>
      <c r="BF33" s="525">
        <f t="shared" si="1"/>
        <v>40179</v>
      </c>
      <c r="BG33" s="525">
        <f t="shared" si="1"/>
        <v>40210</v>
      </c>
      <c r="BH33" s="525">
        <f t="shared" si="1"/>
        <v>40238</v>
      </c>
      <c r="BI33" s="525">
        <f t="shared" si="1"/>
        <v>40269</v>
      </c>
      <c r="BJ33" s="525">
        <f t="shared" si="1"/>
        <v>40299</v>
      </c>
      <c r="BK33" s="525">
        <f t="shared" si="1"/>
        <v>40330</v>
      </c>
      <c r="BL33" s="525">
        <f t="shared" si="1"/>
        <v>40360</v>
      </c>
      <c r="BM33" s="525">
        <f t="shared" si="1"/>
        <v>40391</v>
      </c>
      <c r="BN33" s="525">
        <f t="shared" si="1"/>
        <v>40422</v>
      </c>
      <c r="BO33" s="525">
        <f t="shared" si="1"/>
        <v>40452</v>
      </c>
      <c r="BP33" s="525">
        <f t="shared" si="1"/>
        <v>40483</v>
      </c>
      <c r="BQ33" s="525">
        <f t="shared" si="1"/>
        <v>40513</v>
      </c>
      <c r="BR33" s="525">
        <f t="shared" si="1"/>
        <v>40544</v>
      </c>
      <c r="BS33" s="525">
        <f t="shared" si="1"/>
        <v>40575</v>
      </c>
      <c r="BT33" s="525">
        <f t="shared" si="1"/>
        <v>40603</v>
      </c>
      <c r="BU33" s="525">
        <f t="shared" si="1"/>
        <v>40634</v>
      </c>
      <c r="BV33" s="525">
        <f t="shared" si="1"/>
        <v>40664</v>
      </c>
      <c r="BW33" s="525">
        <f t="shared" si="1"/>
        <v>40695</v>
      </c>
      <c r="BX33" s="525">
        <f t="shared" si="1"/>
        <v>40725</v>
      </c>
      <c r="BY33" s="525">
        <f t="shared" si="1"/>
        <v>40756</v>
      </c>
      <c r="BZ33" s="525">
        <f t="shared" si="1"/>
        <v>40787</v>
      </c>
      <c r="CA33" s="525">
        <f t="shared" si="1"/>
        <v>40817</v>
      </c>
      <c r="CB33" s="525">
        <f t="shared" si="1"/>
        <v>40848</v>
      </c>
      <c r="CC33" s="525">
        <f t="shared" si="1"/>
        <v>40878</v>
      </c>
      <c r="CD33" s="525">
        <f t="shared" si="1"/>
        <v>40909</v>
      </c>
      <c r="CE33" s="525">
        <f t="shared" si="1"/>
        <v>40940</v>
      </c>
      <c r="CF33" s="525">
        <f t="shared" si="1"/>
        <v>40969</v>
      </c>
      <c r="CG33" s="525">
        <f t="shared" si="1"/>
        <v>41000</v>
      </c>
      <c r="CH33" s="525">
        <f t="shared" si="1"/>
        <v>41030</v>
      </c>
      <c r="CI33" s="525">
        <f t="shared" si="1"/>
        <v>41061</v>
      </c>
      <c r="CJ33" s="525">
        <f t="shared" si="1"/>
        <v>41091</v>
      </c>
      <c r="CK33" s="525">
        <f t="shared" si="1"/>
        <v>41122</v>
      </c>
      <c r="CL33" s="525">
        <f t="shared" si="1"/>
        <v>41153</v>
      </c>
      <c r="CM33" s="525">
        <f t="shared" si="1"/>
        <v>41183</v>
      </c>
      <c r="CN33" s="525">
        <f t="shared" si="1"/>
        <v>41214</v>
      </c>
      <c r="CO33" s="525">
        <f t="shared" si="1"/>
        <v>41244</v>
      </c>
      <c r="CP33" s="525">
        <f t="shared" si="1"/>
        <v>41275</v>
      </c>
      <c r="CQ33" s="525">
        <f t="shared" si="1"/>
        <v>41306</v>
      </c>
      <c r="CR33" s="525">
        <f t="shared" si="1"/>
        <v>41334</v>
      </c>
      <c r="CS33" s="495">
        <f t="shared" si="1"/>
        <v>41365</v>
      </c>
      <c r="CT33" s="495">
        <f t="shared" si="1"/>
        <v>41395</v>
      </c>
      <c r="CU33" s="495">
        <f t="shared" si="1"/>
        <v>41426</v>
      </c>
      <c r="CV33" s="495">
        <f t="shared" si="1"/>
        <v>41456</v>
      </c>
      <c r="CW33" s="495">
        <f>CW4</f>
        <v>41487</v>
      </c>
      <c r="CX33" s="495">
        <v>41518</v>
      </c>
      <c r="CY33" s="495">
        <f>CY4</f>
        <v>41548</v>
      </c>
      <c r="CZ33" s="495">
        <f>CZ4</f>
        <v>41579</v>
      </c>
      <c r="DA33" s="495">
        <f>DA4</f>
        <v>41609</v>
      </c>
      <c r="DB33" s="495">
        <f>DB4</f>
        <v>41640</v>
      </c>
      <c r="DC33" s="495">
        <v>41671</v>
      </c>
      <c r="DD33" s="493">
        <v>41699</v>
      </c>
      <c r="DE33" s="493">
        <v>41730</v>
      </c>
      <c r="DF33" s="493">
        <v>41760</v>
      </c>
      <c r="DG33" s="493">
        <v>41791</v>
      </c>
    </row>
    <row r="34" spans="1:111" ht="16.5" thickTop="1">
      <c r="A34" s="616"/>
      <c r="B34" s="528"/>
      <c r="C34" s="530"/>
      <c r="D34" s="530"/>
      <c r="E34" s="530"/>
      <c r="F34" s="569"/>
      <c r="G34" s="530"/>
      <c r="H34" s="570"/>
      <c r="I34" s="530"/>
      <c r="J34" s="530"/>
      <c r="K34" s="530"/>
      <c r="L34" s="530"/>
      <c r="M34" s="569"/>
      <c r="N34" s="530"/>
      <c r="O34" s="530"/>
      <c r="P34" s="530"/>
      <c r="Q34" s="530"/>
      <c r="R34" s="530"/>
      <c r="S34" s="530"/>
      <c r="T34" s="530"/>
      <c r="U34" s="530"/>
      <c r="V34" s="530"/>
      <c r="W34" s="530"/>
      <c r="X34" s="530"/>
      <c r="Y34" s="530"/>
      <c r="Z34" s="530"/>
      <c r="AA34" s="530"/>
      <c r="AB34" s="530"/>
      <c r="AC34" s="530"/>
      <c r="AD34" s="530"/>
      <c r="AE34" s="512"/>
      <c r="AF34" s="512"/>
      <c r="AG34" s="529"/>
      <c r="AH34" s="530"/>
      <c r="AI34" s="530"/>
      <c r="AJ34" s="530"/>
      <c r="AK34" s="530"/>
      <c r="AL34" s="530"/>
      <c r="AM34" s="530"/>
      <c r="AN34" s="530"/>
      <c r="AO34" s="530"/>
      <c r="AP34" s="530"/>
      <c r="AQ34" s="530"/>
      <c r="AR34" s="530"/>
      <c r="AS34" s="530"/>
      <c r="AT34" s="530"/>
      <c r="AU34" s="530"/>
      <c r="AV34" s="530"/>
      <c r="AW34" s="530"/>
      <c r="AX34" s="530"/>
      <c r="AY34" s="530"/>
      <c r="AZ34" s="530"/>
      <c r="BA34" s="530"/>
      <c r="BB34" s="530"/>
      <c r="BC34" s="530"/>
      <c r="BD34" s="530"/>
      <c r="BE34" s="530"/>
      <c r="BF34" s="530"/>
      <c r="BG34" s="530"/>
      <c r="BH34" s="530"/>
      <c r="BI34" s="530"/>
      <c r="BJ34" s="530"/>
      <c r="BK34" s="530"/>
      <c r="BL34" s="530"/>
      <c r="BM34" s="530"/>
      <c r="BN34" s="530"/>
      <c r="BO34" s="530"/>
      <c r="BP34" s="530"/>
      <c r="BQ34" s="530"/>
      <c r="BR34" s="530"/>
      <c r="BS34" s="530"/>
      <c r="BT34" s="530"/>
      <c r="BU34" s="530"/>
      <c r="BV34" s="530"/>
      <c r="BW34" s="530"/>
      <c r="BX34" s="530"/>
      <c r="BY34" s="530"/>
      <c r="BZ34" s="530"/>
      <c r="CA34" s="530"/>
      <c r="CB34" s="530"/>
      <c r="CC34" s="530"/>
      <c r="CD34" s="530"/>
      <c r="CE34" s="530"/>
      <c r="CF34" s="530"/>
      <c r="CG34" s="530"/>
      <c r="CH34" s="530"/>
      <c r="CI34" s="530"/>
      <c r="CJ34" s="530"/>
      <c r="CK34" s="530"/>
      <c r="CL34" s="530"/>
      <c r="CM34" s="530"/>
      <c r="CN34" s="530"/>
      <c r="CO34" s="530"/>
      <c r="CP34" s="530"/>
      <c r="CQ34" s="530"/>
      <c r="CR34" s="530"/>
      <c r="CS34" s="530"/>
      <c r="CT34" s="530"/>
      <c r="CU34" s="530"/>
      <c r="CV34" s="530"/>
      <c r="CW34" s="530"/>
      <c r="CX34" s="530"/>
      <c r="CY34" s="530"/>
      <c r="CZ34" s="530"/>
      <c r="DA34" s="530"/>
      <c r="DB34" s="569"/>
      <c r="DC34" s="530"/>
      <c r="DD34" s="512"/>
      <c r="DE34" s="512"/>
      <c r="DF34" s="512"/>
      <c r="DG34" s="512"/>
    </row>
    <row r="35" spans="1:111" ht="17.25" customHeight="1">
      <c r="A35" s="615" t="s">
        <v>430</v>
      </c>
      <c r="B35" s="506" t="s">
        <v>431</v>
      </c>
      <c r="C35" s="561">
        <v>0</v>
      </c>
      <c r="D35" s="561">
        <v>0</v>
      </c>
      <c r="E35" s="561">
        <v>0</v>
      </c>
      <c r="F35" s="562">
        <v>0</v>
      </c>
      <c r="G35" s="561">
        <v>0</v>
      </c>
      <c r="H35" s="563">
        <v>0</v>
      </c>
      <c r="I35" s="561">
        <v>0</v>
      </c>
      <c r="J35" s="561">
        <v>0</v>
      </c>
      <c r="K35" s="561">
        <v>0</v>
      </c>
      <c r="L35" s="561">
        <v>0</v>
      </c>
      <c r="M35" s="562">
        <v>0</v>
      </c>
      <c r="N35" s="561">
        <v>0</v>
      </c>
      <c r="O35" s="561">
        <v>0</v>
      </c>
      <c r="P35" s="561">
        <v>0</v>
      </c>
      <c r="Q35" s="561">
        <v>0</v>
      </c>
      <c r="R35" s="561">
        <v>0</v>
      </c>
      <c r="S35" s="561">
        <v>0</v>
      </c>
      <c r="T35" s="561">
        <v>0</v>
      </c>
      <c r="U35" s="561">
        <v>0</v>
      </c>
      <c r="V35" s="561">
        <v>0</v>
      </c>
      <c r="W35" s="561">
        <v>0</v>
      </c>
      <c r="X35" s="561">
        <v>0</v>
      </c>
      <c r="Y35" s="561">
        <v>0</v>
      </c>
      <c r="Z35" s="561">
        <v>0</v>
      </c>
      <c r="AA35" s="561">
        <v>0</v>
      </c>
      <c r="AB35" s="561">
        <v>0</v>
      </c>
      <c r="AC35" s="561">
        <v>0</v>
      </c>
      <c r="AD35" s="561">
        <v>0</v>
      </c>
      <c r="AE35" s="507">
        <v>0</v>
      </c>
      <c r="AF35" s="507">
        <v>0</v>
      </c>
      <c r="AG35" s="588">
        <v>0</v>
      </c>
      <c r="AH35" s="561">
        <v>0</v>
      </c>
      <c r="AI35" s="561">
        <v>0</v>
      </c>
      <c r="AJ35" s="561">
        <v>0</v>
      </c>
      <c r="AK35" s="561">
        <v>0</v>
      </c>
      <c r="AL35" s="561">
        <v>0</v>
      </c>
      <c r="AM35" s="561">
        <v>0</v>
      </c>
      <c r="AN35" s="561">
        <v>0</v>
      </c>
      <c r="AO35" s="561">
        <v>0</v>
      </c>
      <c r="AP35" s="561">
        <v>0</v>
      </c>
      <c r="AQ35" s="561">
        <v>0</v>
      </c>
      <c r="AR35" s="561">
        <v>0</v>
      </c>
      <c r="AS35" s="561">
        <v>0</v>
      </c>
      <c r="AT35" s="561">
        <v>0</v>
      </c>
      <c r="AU35" s="561">
        <v>0</v>
      </c>
      <c r="AV35" s="561">
        <v>0</v>
      </c>
      <c r="AW35" s="561">
        <v>0</v>
      </c>
      <c r="AX35" s="561">
        <v>0</v>
      </c>
      <c r="AY35" s="561">
        <v>0</v>
      </c>
      <c r="AZ35" s="561">
        <v>0</v>
      </c>
      <c r="BA35" s="561">
        <v>0</v>
      </c>
      <c r="BB35" s="561">
        <v>0</v>
      </c>
      <c r="BC35" s="561">
        <v>0</v>
      </c>
      <c r="BD35" s="561">
        <v>0</v>
      </c>
      <c r="BE35" s="561">
        <v>0</v>
      </c>
      <c r="BF35" s="561">
        <v>0</v>
      </c>
      <c r="BG35" s="561">
        <v>0</v>
      </c>
      <c r="BH35" s="561">
        <v>0</v>
      </c>
      <c r="BI35" s="561">
        <v>0</v>
      </c>
      <c r="BJ35" s="561">
        <v>0</v>
      </c>
      <c r="BK35" s="561">
        <v>0</v>
      </c>
      <c r="BL35" s="561">
        <v>0</v>
      </c>
      <c r="BM35" s="561">
        <v>0</v>
      </c>
      <c r="BN35" s="561">
        <v>0</v>
      </c>
      <c r="BO35" s="561">
        <v>0</v>
      </c>
      <c r="BP35" s="561">
        <v>0</v>
      </c>
      <c r="BQ35" s="561">
        <v>0</v>
      </c>
      <c r="BR35" s="561">
        <v>0</v>
      </c>
      <c r="BS35" s="561">
        <v>0</v>
      </c>
      <c r="BT35" s="561">
        <v>0</v>
      </c>
      <c r="BU35" s="561">
        <v>0</v>
      </c>
      <c r="BV35" s="561">
        <v>0</v>
      </c>
      <c r="BW35" s="561">
        <v>0</v>
      </c>
      <c r="BX35" s="561">
        <v>0</v>
      </c>
      <c r="BY35" s="561">
        <v>0</v>
      </c>
      <c r="BZ35" s="561">
        <v>0</v>
      </c>
      <c r="CA35" s="561">
        <v>0</v>
      </c>
      <c r="CB35" s="561">
        <v>0</v>
      </c>
      <c r="CC35" s="561">
        <v>0</v>
      </c>
      <c r="CD35" s="561">
        <v>0</v>
      </c>
      <c r="CE35" s="561">
        <v>0</v>
      </c>
      <c r="CF35" s="561">
        <v>0</v>
      </c>
      <c r="CG35" s="561">
        <v>0</v>
      </c>
      <c r="CH35" s="561">
        <v>0</v>
      </c>
      <c r="CI35" s="561">
        <v>0</v>
      </c>
      <c r="CJ35" s="561">
        <v>0</v>
      </c>
      <c r="CK35" s="561">
        <v>0</v>
      </c>
      <c r="CL35" s="561">
        <v>0</v>
      </c>
      <c r="CM35" s="561">
        <v>0</v>
      </c>
      <c r="CN35" s="561">
        <v>0</v>
      </c>
      <c r="CO35" s="561">
        <v>0</v>
      </c>
      <c r="CP35" s="561">
        <v>0</v>
      </c>
      <c r="CQ35" s="561">
        <v>0</v>
      </c>
      <c r="CR35" s="561">
        <v>0</v>
      </c>
      <c r="CS35" s="561">
        <v>0</v>
      </c>
      <c r="CT35" s="561">
        <v>0</v>
      </c>
      <c r="CU35" s="561">
        <v>0</v>
      </c>
      <c r="CV35" s="561">
        <v>0</v>
      </c>
      <c r="CW35" s="561">
        <v>0</v>
      </c>
      <c r="CX35" s="561">
        <v>0</v>
      </c>
      <c r="CY35" s="561">
        <v>0</v>
      </c>
      <c r="CZ35" s="561">
        <v>0</v>
      </c>
      <c r="DA35" s="561">
        <v>0</v>
      </c>
      <c r="DB35" s="562">
        <v>0</v>
      </c>
      <c r="DC35" s="561">
        <v>0</v>
      </c>
      <c r="DD35" s="507">
        <v>0</v>
      </c>
      <c r="DE35" s="507">
        <v>0</v>
      </c>
      <c r="DF35" s="507">
        <v>0</v>
      </c>
      <c r="DG35" s="507">
        <v>0</v>
      </c>
    </row>
    <row r="36" spans="1:111" ht="17.25" customHeight="1">
      <c r="A36" s="616"/>
      <c r="B36" s="510"/>
      <c r="C36" s="589"/>
      <c r="D36" s="589"/>
      <c r="E36" s="589"/>
      <c r="F36" s="590"/>
      <c r="G36" s="589"/>
      <c r="H36" s="591"/>
      <c r="I36" s="589"/>
      <c r="J36" s="589"/>
      <c r="K36" s="589"/>
      <c r="L36" s="589"/>
      <c r="M36" s="590"/>
      <c r="N36" s="589"/>
      <c r="O36" s="589"/>
      <c r="P36" s="589"/>
      <c r="Q36" s="589"/>
      <c r="R36" s="589"/>
      <c r="S36" s="589"/>
      <c r="T36" s="589"/>
      <c r="U36" s="589"/>
      <c r="V36" s="589"/>
      <c r="W36" s="589"/>
      <c r="X36" s="589"/>
      <c r="Y36" s="589"/>
      <c r="Z36" s="589"/>
      <c r="AA36" s="589"/>
      <c r="AB36" s="589"/>
      <c r="AC36" s="589"/>
      <c r="AD36" s="589"/>
      <c r="AE36" s="592"/>
      <c r="AF36" s="592"/>
      <c r="AG36" s="593"/>
      <c r="AH36" s="589"/>
      <c r="AI36" s="589"/>
      <c r="AJ36" s="589"/>
      <c r="AK36" s="589"/>
      <c r="AL36" s="589"/>
      <c r="AM36" s="589"/>
      <c r="AN36" s="589"/>
      <c r="AO36" s="589"/>
      <c r="AP36" s="589"/>
      <c r="AQ36" s="589"/>
      <c r="AR36" s="589"/>
      <c r="AS36" s="589"/>
      <c r="AT36" s="589"/>
      <c r="AU36" s="589"/>
      <c r="AV36" s="589"/>
      <c r="AW36" s="589"/>
      <c r="AX36" s="589"/>
      <c r="AY36" s="589"/>
      <c r="AZ36" s="589"/>
      <c r="BA36" s="589"/>
      <c r="BB36" s="589"/>
      <c r="BC36" s="589"/>
      <c r="BD36" s="589"/>
      <c r="BE36" s="589"/>
      <c r="BF36" s="589"/>
      <c r="BG36" s="589"/>
      <c r="BH36" s="589"/>
      <c r="BI36" s="589"/>
      <c r="BJ36" s="589"/>
      <c r="BK36" s="589"/>
      <c r="BL36" s="589"/>
      <c r="BM36" s="589"/>
      <c r="BN36" s="589"/>
      <c r="BO36" s="589"/>
      <c r="BP36" s="589"/>
      <c r="BQ36" s="589"/>
      <c r="BR36" s="589"/>
      <c r="BS36" s="589"/>
      <c r="BT36" s="589"/>
      <c r="BU36" s="589"/>
      <c r="BV36" s="589"/>
      <c r="BW36" s="589"/>
      <c r="BX36" s="589"/>
      <c r="BY36" s="589"/>
      <c r="BZ36" s="589"/>
      <c r="CA36" s="589"/>
      <c r="CB36" s="589"/>
      <c r="CC36" s="589"/>
      <c r="CD36" s="589"/>
      <c r="CE36" s="589"/>
      <c r="CF36" s="589"/>
      <c r="CG36" s="589"/>
      <c r="CH36" s="589"/>
      <c r="CI36" s="589"/>
      <c r="CJ36" s="589"/>
      <c r="CK36" s="589"/>
      <c r="CL36" s="589"/>
      <c r="CM36" s="589"/>
      <c r="CN36" s="589"/>
      <c r="CO36" s="589"/>
      <c r="CP36" s="589"/>
      <c r="CQ36" s="589"/>
      <c r="CR36" s="589"/>
      <c r="CS36" s="589"/>
      <c r="CT36" s="589"/>
      <c r="CU36" s="589"/>
      <c r="CV36" s="589"/>
      <c r="CW36" s="589"/>
      <c r="CX36" s="589"/>
      <c r="CY36" s="589"/>
      <c r="CZ36" s="589"/>
      <c r="DA36" s="589"/>
      <c r="DB36" s="590"/>
      <c r="DC36" s="589"/>
      <c r="DD36" s="592"/>
      <c r="DE36" s="592"/>
      <c r="DF36" s="592"/>
      <c r="DG36" s="592"/>
    </row>
    <row r="37" spans="1:111" ht="17.25" customHeight="1">
      <c r="A37" s="615" t="s">
        <v>432</v>
      </c>
      <c r="B37" s="506" t="s">
        <v>433</v>
      </c>
      <c r="C37" s="561">
        <v>250458.84323342523</v>
      </c>
      <c r="D37" s="561">
        <v>232344.37571881473</v>
      </c>
      <c r="E37" s="561">
        <v>228235.39118466986</v>
      </c>
      <c r="F37" s="562">
        <v>238102.012621676</v>
      </c>
      <c r="G37" s="561">
        <v>241945.84697592363</v>
      </c>
      <c r="H37" s="563">
        <v>257530.96081466269</v>
      </c>
      <c r="I37" s="561">
        <v>257623.06344593974</v>
      </c>
      <c r="J37" s="561">
        <v>256496.45372474135</v>
      </c>
      <c r="K37" s="561">
        <v>266363.06062173715</v>
      </c>
      <c r="L37" s="561">
        <v>273240.13640816254</v>
      </c>
      <c r="M37" s="562">
        <v>271081.39112987602</v>
      </c>
      <c r="N37" s="561">
        <v>291097.30383042991</v>
      </c>
      <c r="O37" s="561">
        <v>288151.83005216735</v>
      </c>
      <c r="P37" s="561">
        <v>297918.84544162243</v>
      </c>
      <c r="Q37" s="561">
        <v>299555.12527521281</v>
      </c>
      <c r="R37" s="561">
        <v>312892.8379162114</v>
      </c>
      <c r="S37" s="561">
        <v>312515.85639029462</v>
      </c>
      <c r="T37" s="561">
        <v>319055.78120631597</v>
      </c>
      <c r="U37" s="561">
        <v>351509.22976781055</v>
      </c>
      <c r="V37" s="561">
        <v>336198.90510089661</v>
      </c>
      <c r="W37" s="561">
        <v>334056.8722718244</v>
      </c>
      <c r="X37" s="561">
        <v>345204.18698770378</v>
      </c>
      <c r="Y37" s="561">
        <v>339100.00185046456</v>
      </c>
      <c r="Z37" s="561">
        <v>343243.54984322423</v>
      </c>
      <c r="AA37" s="561">
        <v>358543.0601197778</v>
      </c>
      <c r="AB37" s="561">
        <v>373286.11364297924</v>
      </c>
      <c r="AC37" s="561">
        <v>374521.69560020615</v>
      </c>
      <c r="AD37" s="561">
        <v>387184.87756857043</v>
      </c>
      <c r="AE37" s="507">
        <v>391272.4695004368</v>
      </c>
      <c r="AF37" s="507">
        <v>421208.54206902086</v>
      </c>
      <c r="AG37" s="588">
        <v>401734.97128093918</v>
      </c>
      <c r="AH37" s="561">
        <v>433883.31707653031</v>
      </c>
      <c r="AI37" s="561">
        <v>420367.22269114229</v>
      </c>
      <c r="AJ37" s="561">
        <v>408014.73015083134</v>
      </c>
      <c r="AK37" s="561">
        <v>401309.23228438455</v>
      </c>
      <c r="AL37" s="561">
        <v>434604.45687616104</v>
      </c>
      <c r="AM37" s="561">
        <v>446231.22637777217</v>
      </c>
      <c r="AN37" s="561">
        <v>467892.65871725255</v>
      </c>
      <c r="AO37" s="561">
        <v>453509.44685149851</v>
      </c>
      <c r="AP37" s="561">
        <v>442464.53634706739</v>
      </c>
      <c r="AQ37" s="561">
        <v>449069.69028428837</v>
      </c>
      <c r="AR37" s="561">
        <v>452010.91733216215</v>
      </c>
      <c r="AS37" s="561">
        <v>450075.27047679329</v>
      </c>
      <c r="AT37" s="561">
        <v>453393.31970747019</v>
      </c>
      <c r="AU37" s="561">
        <v>460107.41472062981</v>
      </c>
      <c r="AV37" s="561">
        <v>459064.63089732453</v>
      </c>
      <c r="AW37" s="561">
        <v>463010.61895082297</v>
      </c>
      <c r="AX37" s="561">
        <v>471326.59715211438</v>
      </c>
      <c r="AY37" s="561">
        <v>470412.89928072237</v>
      </c>
      <c r="AZ37" s="561">
        <v>473336.31794361444</v>
      </c>
      <c r="BA37" s="561">
        <v>467026.51013994718</v>
      </c>
      <c r="BB37" s="561">
        <v>477372.11456896149</v>
      </c>
      <c r="BC37" s="561">
        <v>478651.28298538964</v>
      </c>
      <c r="BD37" s="561">
        <v>487447.76954633754</v>
      </c>
      <c r="BE37" s="561">
        <v>502634.61776737764</v>
      </c>
      <c r="BF37" s="561">
        <v>524230.97142096853</v>
      </c>
      <c r="BG37" s="561">
        <v>527845.64946072246</v>
      </c>
      <c r="BH37" s="561">
        <v>535092.36629862385</v>
      </c>
      <c r="BI37" s="561">
        <v>518088.96985501703</v>
      </c>
      <c r="BJ37" s="561">
        <v>569427.28420735314</v>
      </c>
      <c r="BK37" s="561">
        <v>566747.13613899588</v>
      </c>
      <c r="BL37" s="561">
        <v>526730.61480739736</v>
      </c>
      <c r="BM37" s="561">
        <v>549887.63141466305</v>
      </c>
      <c r="BN37" s="561">
        <v>552391.26138741407</v>
      </c>
      <c r="BO37" s="561">
        <v>555741.30023550731</v>
      </c>
      <c r="BP37" s="561">
        <v>564920.64286760148</v>
      </c>
      <c r="BQ37" s="561">
        <v>578900.95919625671</v>
      </c>
      <c r="BR37" s="561">
        <v>578819.25118008675</v>
      </c>
      <c r="BS37" s="561">
        <v>574059.2310141545</v>
      </c>
      <c r="BT37" s="561">
        <v>543670.68089811946</v>
      </c>
      <c r="BU37" s="561">
        <v>562040.55001311097</v>
      </c>
      <c r="BV37" s="561">
        <v>553963.14019487565</v>
      </c>
      <c r="BW37" s="561">
        <v>584700.86251400737</v>
      </c>
      <c r="BX37" s="561">
        <v>571978.46058021334</v>
      </c>
      <c r="BY37" s="561">
        <v>557158.7642709401</v>
      </c>
      <c r="BZ37" s="561">
        <v>562006.82047325955</v>
      </c>
      <c r="CA37" s="561">
        <v>564711.89723256102</v>
      </c>
      <c r="CB37" s="561">
        <v>617615.43948026793</v>
      </c>
      <c r="CC37" s="561">
        <v>565582.70624645427</v>
      </c>
      <c r="CD37" s="561">
        <v>539500.78679740021</v>
      </c>
      <c r="CE37" s="561">
        <v>544676.60483027366</v>
      </c>
      <c r="CF37" s="561">
        <v>594606.38741712971</v>
      </c>
      <c r="CG37" s="561">
        <v>595417.81737846974</v>
      </c>
      <c r="CH37" s="561">
        <v>615520.59286046412</v>
      </c>
      <c r="CI37" s="561">
        <v>554581.58495534596</v>
      </c>
      <c r="CJ37" s="561">
        <v>583839.66747363354</v>
      </c>
      <c r="CK37" s="561">
        <v>544720.87648373784</v>
      </c>
      <c r="CL37" s="561">
        <v>568865.35817346</v>
      </c>
      <c r="CM37" s="561">
        <v>590119.2052139343</v>
      </c>
      <c r="CN37" s="561">
        <v>593019.77146263747</v>
      </c>
      <c r="CO37" s="561">
        <v>602521.53799288091</v>
      </c>
      <c r="CP37" s="561">
        <v>621679.87125581503</v>
      </c>
      <c r="CQ37" s="561">
        <v>569878.42518445873</v>
      </c>
      <c r="CR37" s="561">
        <v>594480.2261923647</v>
      </c>
      <c r="CS37" s="561">
        <v>602369.28841782268</v>
      </c>
      <c r="CT37" s="561">
        <v>633548.93816647946</v>
      </c>
      <c r="CU37" s="561">
        <v>592613.50269915839</v>
      </c>
      <c r="CV37" s="561">
        <v>613811.28732334753</v>
      </c>
      <c r="CW37" s="561">
        <v>595422.16785062524</v>
      </c>
      <c r="CX37" s="561">
        <v>586391.14164995018</v>
      </c>
      <c r="CY37" s="561">
        <v>581706.77132610918</v>
      </c>
      <c r="CZ37" s="561">
        <v>589882.33867977094</v>
      </c>
      <c r="DA37" s="561">
        <v>619931.55078409833</v>
      </c>
      <c r="DB37" s="562">
        <v>589571.66774254874</v>
      </c>
      <c r="DC37" s="561">
        <v>596316.52203706396</v>
      </c>
      <c r="DD37" s="507">
        <v>590544.18367156386</v>
      </c>
      <c r="DE37" s="507">
        <v>611437.66581801255</v>
      </c>
      <c r="DF37" s="507">
        <v>598303.5378212264</v>
      </c>
      <c r="DG37" s="507">
        <v>595446.08077493508</v>
      </c>
    </row>
    <row r="38" spans="1:111" ht="17.25" customHeight="1">
      <c r="A38" s="616" t="s">
        <v>434</v>
      </c>
      <c r="B38" s="510" t="s">
        <v>435</v>
      </c>
      <c r="C38" s="530">
        <v>85971.344917090784</v>
      </c>
      <c r="D38" s="530">
        <v>56233.825152112688</v>
      </c>
      <c r="E38" s="530">
        <v>60252.107619653412</v>
      </c>
      <c r="F38" s="569">
        <v>64917.25499278737</v>
      </c>
      <c r="G38" s="530">
        <v>67143.919556244378</v>
      </c>
      <c r="H38" s="570">
        <v>70429.597058082552</v>
      </c>
      <c r="I38" s="530">
        <v>73115.848879623896</v>
      </c>
      <c r="J38" s="530">
        <v>70584.508932084369</v>
      </c>
      <c r="K38" s="530">
        <v>72388.476477591976</v>
      </c>
      <c r="L38" s="530">
        <v>71006.542502962737</v>
      </c>
      <c r="M38" s="569">
        <v>64762.956991548017</v>
      </c>
      <c r="N38" s="530">
        <v>71376.843475018992</v>
      </c>
      <c r="O38" s="530">
        <v>70370.849442147213</v>
      </c>
      <c r="P38" s="530">
        <v>77834.490277323697</v>
      </c>
      <c r="Q38" s="530">
        <v>75479.578502125776</v>
      </c>
      <c r="R38" s="530">
        <v>75715.975696240974</v>
      </c>
      <c r="S38" s="530">
        <v>76501.098940951473</v>
      </c>
      <c r="T38" s="530">
        <v>83317.123458625007</v>
      </c>
      <c r="U38" s="530">
        <v>94783.297528469324</v>
      </c>
      <c r="V38" s="530">
        <v>97807.679188481052</v>
      </c>
      <c r="W38" s="530">
        <v>102541.53625631204</v>
      </c>
      <c r="X38" s="530">
        <v>104937.78384865716</v>
      </c>
      <c r="Y38" s="530">
        <v>102759.74497819504</v>
      </c>
      <c r="Z38" s="530">
        <v>98156.099633431339</v>
      </c>
      <c r="AA38" s="530">
        <v>108098.47599634138</v>
      </c>
      <c r="AB38" s="530">
        <v>113433.44803029559</v>
      </c>
      <c r="AC38" s="530">
        <v>107036.0017067583</v>
      </c>
      <c r="AD38" s="530">
        <v>123742.79734739376</v>
      </c>
      <c r="AE38" s="512">
        <v>120595.07091522172</v>
      </c>
      <c r="AF38" s="512">
        <v>136796.36000051288</v>
      </c>
      <c r="AG38" s="529">
        <v>126677.09650045166</v>
      </c>
      <c r="AH38" s="530">
        <v>132787.34762984278</v>
      </c>
      <c r="AI38" s="530">
        <v>121694.13096946044</v>
      </c>
      <c r="AJ38" s="530">
        <v>119716.94916424096</v>
      </c>
      <c r="AK38" s="530">
        <v>115913.87573404826</v>
      </c>
      <c r="AL38" s="530">
        <v>120037.92474904569</v>
      </c>
      <c r="AM38" s="530">
        <v>136102.50982904684</v>
      </c>
      <c r="AN38" s="530">
        <v>137760.12289358673</v>
      </c>
      <c r="AO38" s="530">
        <v>132653.62250465617</v>
      </c>
      <c r="AP38" s="530">
        <v>130313.38993089984</v>
      </c>
      <c r="AQ38" s="530">
        <v>140758.29932319175</v>
      </c>
      <c r="AR38" s="530">
        <v>141554.31136313253</v>
      </c>
      <c r="AS38" s="530">
        <v>143107.30549762354</v>
      </c>
      <c r="AT38" s="530">
        <v>150046.43147167374</v>
      </c>
      <c r="AU38" s="530">
        <v>155851.9510543645</v>
      </c>
      <c r="AV38" s="530">
        <v>160566.56518537708</v>
      </c>
      <c r="AW38" s="530">
        <v>158720.16497322492</v>
      </c>
      <c r="AX38" s="530">
        <v>164232.75667122781</v>
      </c>
      <c r="AY38" s="530">
        <v>170748.1548239853</v>
      </c>
      <c r="AZ38" s="530">
        <v>171344.24881251989</v>
      </c>
      <c r="BA38" s="530">
        <v>164099.5067574085</v>
      </c>
      <c r="BB38" s="530">
        <v>172846.76150691375</v>
      </c>
      <c r="BC38" s="530">
        <v>172189.43734370044</v>
      </c>
      <c r="BD38" s="530">
        <v>174265.05114018475</v>
      </c>
      <c r="BE38" s="530">
        <v>191048.92176675834</v>
      </c>
      <c r="BF38" s="530">
        <v>179915.97869980364</v>
      </c>
      <c r="BG38" s="530">
        <v>192180.69027072741</v>
      </c>
      <c r="BH38" s="530">
        <v>208788.97038426899</v>
      </c>
      <c r="BI38" s="530">
        <v>194250.10949376694</v>
      </c>
      <c r="BJ38" s="530">
        <v>208407.65075018074</v>
      </c>
      <c r="BK38" s="530">
        <v>208555.91568728545</v>
      </c>
      <c r="BL38" s="530">
        <v>182576.24376396686</v>
      </c>
      <c r="BM38" s="530">
        <v>191037.94546439327</v>
      </c>
      <c r="BN38" s="530">
        <v>204607.59015881389</v>
      </c>
      <c r="BO38" s="530">
        <v>200360.84813562041</v>
      </c>
      <c r="BP38" s="530">
        <v>209518.89747008457</v>
      </c>
      <c r="BQ38" s="530">
        <v>209295.6548992754</v>
      </c>
      <c r="BR38" s="530">
        <v>209637.39292402792</v>
      </c>
      <c r="BS38" s="530">
        <v>210767.21309718012</v>
      </c>
      <c r="BT38" s="530">
        <v>207308.49139739011</v>
      </c>
      <c r="BU38" s="530">
        <v>192464.96509982963</v>
      </c>
      <c r="BV38" s="530">
        <v>188726.39556423103</v>
      </c>
      <c r="BW38" s="530">
        <v>205308.35758070156</v>
      </c>
      <c r="BX38" s="530">
        <v>188313.19618431921</v>
      </c>
      <c r="BY38" s="530">
        <v>200419.60044157729</v>
      </c>
      <c r="BZ38" s="530">
        <v>198422.70198409588</v>
      </c>
      <c r="CA38" s="530">
        <v>201743.29043449453</v>
      </c>
      <c r="CB38" s="530">
        <v>214088.36141710865</v>
      </c>
      <c r="CC38" s="530">
        <v>205537.91356101009</v>
      </c>
      <c r="CD38" s="530">
        <v>205231.05536734877</v>
      </c>
      <c r="CE38" s="530">
        <v>206772.43078668762</v>
      </c>
      <c r="CF38" s="530">
        <v>259119.8327835619</v>
      </c>
      <c r="CG38" s="530">
        <v>256831.62678008329</v>
      </c>
      <c r="CH38" s="530">
        <v>266347.0832634134</v>
      </c>
      <c r="CI38" s="530">
        <v>185588.34878833563</v>
      </c>
      <c r="CJ38" s="530">
        <v>229789.48133857647</v>
      </c>
      <c r="CK38" s="530">
        <v>191664.32839531542</v>
      </c>
      <c r="CL38" s="530">
        <v>195659.65666632872</v>
      </c>
      <c r="CM38" s="530">
        <v>206437.66452216063</v>
      </c>
      <c r="CN38" s="530">
        <v>226858.78085671514</v>
      </c>
      <c r="CO38" s="530">
        <v>232397.77744178093</v>
      </c>
      <c r="CP38" s="530">
        <v>253266.41093040814</v>
      </c>
      <c r="CQ38" s="530">
        <v>205912.76219806424</v>
      </c>
      <c r="CR38" s="530">
        <v>228974.53216202161</v>
      </c>
      <c r="CS38" s="530">
        <v>209603.3922520495</v>
      </c>
      <c r="CT38" s="530">
        <v>236948.74495882238</v>
      </c>
      <c r="CU38" s="530">
        <v>226473.41388209624</v>
      </c>
      <c r="CV38" s="530">
        <v>249298.55269370315</v>
      </c>
      <c r="CW38" s="530">
        <v>232142.11169179843</v>
      </c>
      <c r="CX38" s="530">
        <v>219823.81216103063</v>
      </c>
      <c r="CY38" s="530">
        <v>215430.08009683026</v>
      </c>
      <c r="CZ38" s="530">
        <v>211132.13329911508</v>
      </c>
      <c r="DA38" s="530">
        <v>242832.98239723389</v>
      </c>
      <c r="DB38" s="569">
        <v>227138.3075219765</v>
      </c>
      <c r="DC38" s="530">
        <v>228630.83169578706</v>
      </c>
      <c r="DD38" s="512">
        <v>213634.22806992469</v>
      </c>
      <c r="DE38" s="512">
        <v>229625.01475195846</v>
      </c>
      <c r="DF38" s="512">
        <v>225075.36073976403</v>
      </c>
      <c r="DG38" s="512">
        <v>228962.60459457073</v>
      </c>
    </row>
    <row r="39" spans="1:111" ht="17.25" customHeight="1">
      <c r="A39" s="616" t="s">
        <v>436</v>
      </c>
      <c r="B39" s="510" t="s">
        <v>437</v>
      </c>
      <c r="C39" s="530">
        <v>55456.766540586381</v>
      </c>
      <c r="D39" s="530">
        <v>56409.558026902225</v>
      </c>
      <c r="E39" s="530">
        <v>56676.916913203575</v>
      </c>
      <c r="F39" s="569">
        <v>56446.331932011293</v>
      </c>
      <c r="G39" s="530">
        <v>57023.894498805021</v>
      </c>
      <c r="H39" s="570">
        <v>57907.788493609805</v>
      </c>
      <c r="I39" s="530">
        <v>62650.892724799902</v>
      </c>
      <c r="J39" s="530">
        <v>63024.610843555834</v>
      </c>
      <c r="K39" s="530">
        <v>61368.13042007175</v>
      </c>
      <c r="L39" s="530">
        <v>61053.283205791515</v>
      </c>
      <c r="M39" s="569">
        <v>60661.301301923188</v>
      </c>
      <c r="N39" s="530">
        <v>60978.126222878513</v>
      </c>
      <c r="O39" s="530">
        <v>60695.757939274074</v>
      </c>
      <c r="P39" s="530">
        <v>61009.736416268446</v>
      </c>
      <c r="Q39" s="530">
        <v>61732.874148325602</v>
      </c>
      <c r="R39" s="530">
        <v>61868.283133865785</v>
      </c>
      <c r="S39" s="530">
        <v>61522.229134000823</v>
      </c>
      <c r="T39" s="530">
        <v>62711.695908190661</v>
      </c>
      <c r="U39" s="530">
        <v>63729.516027608399</v>
      </c>
      <c r="V39" s="530">
        <v>64056.650559507521</v>
      </c>
      <c r="W39" s="530">
        <v>63638.572947251698</v>
      </c>
      <c r="X39" s="530">
        <v>65376.081047683816</v>
      </c>
      <c r="Y39" s="530">
        <v>65259.079659228315</v>
      </c>
      <c r="Z39" s="530">
        <v>64221.929274373069</v>
      </c>
      <c r="AA39" s="530">
        <v>66095.544656614788</v>
      </c>
      <c r="AB39" s="530">
        <v>65476.390059388992</v>
      </c>
      <c r="AC39" s="530">
        <v>65524.031192194372</v>
      </c>
      <c r="AD39" s="530">
        <v>61639.513680147509</v>
      </c>
      <c r="AE39" s="512">
        <v>61266.200567152599</v>
      </c>
      <c r="AF39" s="512">
        <v>62427.347630855766</v>
      </c>
      <c r="AG39" s="529">
        <v>65109.481147923419</v>
      </c>
      <c r="AH39" s="530">
        <v>66235.347691635165</v>
      </c>
      <c r="AI39" s="530">
        <v>67541.612313420977</v>
      </c>
      <c r="AJ39" s="530">
        <v>68108.303640445869</v>
      </c>
      <c r="AK39" s="530">
        <v>68869.179737235681</v>
      </c>
      <c r="AL39" s="530">
        <v>70219.272296007737</v>
      </c>
      <c r="AM39" s="530">
        <v>72298.326680456827</v>
      </c>
      <c r="AN39" s="530">
        <v>72576.095937727485</v>
      </c>
      <c r="AO39" s="530">
        <v>72458.780755457192</v>
      </c>
      <c r="AP39" s="530">
        <v>72977.193008200804</v>
      </c>
      <c r="AQ39" s="530">
        <v>72899.072392498012</v>
      </c>
      <c r="AR39" s="530">
        <v>74037.375257457243</v>
      </c>
      <c r="AS39" s="530">
        <v>75741.779815326096</v>
      </c>
      <c r="AT39" s="530">
        <v>76733.620682598455</v>
      </c>
      <c r="AU39" s="530">
        <v>78546.715695242718</v>
      </c>
      <c r="AV39" s="530">
        <v>79373.583615378142</v>
      </c>
      <c r="AW39" s="530">
        <v>78286.506441269856</v>
      </c>
      <c r="AX39" s="530">
        <v>79232.876773291457</v>
      </c>
      <c r="AY39" s="530">
        <v>81184.456778495878</v>
      </c>
      <c r="AZ39" s="530">
        <v>80487.755268852343</v>
      </c>
      <c r="BA39" s="530">
        <v>81476.260017902969</v>
      </c>
      <c r="BB39" s="530">
        <v>82165.97893315494</v>
      </c>
      <c r="BC39" s="530">
        <v>82772.057491794549</v>
      </c>
      <c r="BD39" s="530">
        <v>83498.608520614493</v>
      </c>
      <c r="BE39" s="530">
        <v>86281.150663870008</v>
      </c>
      <c r="BF39" s="530">
        <v>88129.266809014298</v>
      </c>
      <c r="BG39" s="530">
        <v>88038.78346473517</v>
      </c>
      <c r="BH39" s="530">
        <v>91457.634472638601</v>
      </c>
      <c r="BI39" s="530">
        <v>91898.67339562827</v>
      </c>
      <c r="BJ39" s="530">
        <v>91946.587501666989</v>
      </c>
      <c r="BK39" s="530">
        <v>93117.177439518855</v>
      </c>
      <c r="BL39" s="530">
        <v>93437.863100276925</v>
      </c>
      <c r="BM39" s="530">
        <v>98462.572505369142</v>
      </c>
      <c r="BN39" s="530">
        <v>99298.158751124836</v>
      </c>
      <c r="BO39" s="530">
        <v>102824.66932761139</v>
      </c>
      <c r="BP39" s="530">
        <v>102517.31023425236</v>
      </c>
      <c r="BQ39" s="530">
        <v>107483.18354177562</v>
      </c>
      <c r="BR39" s="530">
        <v>107065.91005206616</v>
      </c>
      <c r="BS39" s="530">
        <v>109948.37318606768</v>
      </c>
      <c r="BT39" s="530">
        <v>111176.82874093382</v>
      </c>
      <c r="BU39" s="530">
        <v>112551.09675535634</v>
      </c>
      <c r="BV39" s="530">
        <v>109592.48049322369</v>
      </c>
      <c r="BW39" s="530">
        <v>111080.41143256948</v>
      </c>
      <c r="BX39" s="530">
        <v>111393.18539564757</v>
      </c>
      <c r="BY39" s="530">
        <v>113241.97139249006</v>
      </c>
      <c r="BZ39" s="530">
        <v>110891.86366255653</v>
      </c>
      <c r="CA39" s="530">
        <v>112639.88002488608</v>
      </c>
      <c r="CB39" s="530">
        <v>111886.48328748738</v>
      </c>
      <c r="CC39" s="530">
        <v>115797.38828890627</v>
      </c>
      <c r="CD39" s="530">
        <v>115690.50203494569</v>
      </c>
      <c r="CE39" s="530">
        <v>117900.182190494</v>
      </c>
      <c r="CF39" s="530">
        <v>118773.81156699044</v>
      </c>
      <c r="CG39" s="530">
        <v>117546.4122682593</v>
      </c>
      <c r="CH39" s="530">
        <v>117387.25336958896</v>
      </c>
      <c r="CI39" s="530">
        <v>119606.41901363849</v>
      </c>
      <c r="CJ39" s="530">
        <v>119171.18732266128</v>
      </c>
      <c r="CK39" s="530">
        <v>118554.92876637385</v>
      </c>
      <c r="CL39" s="530">
        <v>121203.67452061395</v>
      </c>
      <c r="CM39" s="530">
        <v>119785.97243249523</v>
      </c>
      <c r="CN39" s="530">
        <v>121459.92141209303</v>
      </c>
      <c r="CO39" s="530">
        <v>125248.1103539145</v>
      </c>
      <c r="CP39" s="530">
        <v>128076.82253925536</v>
      </c>
      <c r="CQ39" s="530">
        <v>129827.67324198829</v>
      </c>
      <c r="CR39" s="530">
        <v>132021.90818918028</v>
      </c>
      <c r="CS39" s="530">
        <v>133058.74331657309</v>
      </c>
      <c r="CT39" s="530">
        <v>134590.07749324129</v>
      </c>
      <c r="CU39" s="530">
        <v>133996.57534747222</v>
      </c>
      <c r="CV39" s="530">
        <v>136089.66475867567</v>
      </c>
      <c r="CW39" s="530">
        <v>134376.5194241025</v>
      </c>
      <c r="CX39" s="530">
        <v>134703.34851609514</v>
      </c>
      <c r="CY39" s="530">
        <v>133844.32236795936</v>
      </c>
      <c r="CZ39" s="530">
        <v>134900.08177348072</v>
      </c>
      <c r="DA39" s="530">
        <v>138963.07560330845</v>
      </c>
      <c r="DB39" s="569">
        <v>141486.48654951985</v>
      </c>
      <c r="DC39" s="530">
        <v>143237.74079877391</v>
      </c>
      <c r="DD39" s="512">
        <v>144755.38747650504</v>
      </c>
      <c r="DE39" s="512">
        <v>144710.49033561134</v>
      </c>
      <c r="DF39" s="512">
        <v>144933.47361842843</v>
      </c>
      <c r="DG39" s="512">
        <v>146778.10574774371</v>
      </c>
    </row>
    <row r="40" spans="1:111" ht="17.25" customHeight="1">
      <c r="A40" s="616" t="s">
        <v>438</v>
      </c>
      <c r="B40" s="510" t="s">
        <v>439</v>
      </c>
      <c r="C40" s="530">
        <v>109030.73177574809</v>
      </c>
      <c r="D40" s="530">
        <v>119700.9925397998</v>
      </c>
      <c r="E40" s="530">
        <v>111306.36665181286</v>
      </c>
      <c r="F40" s="569">
        <v>116738.42569687733</v>
      </c>
      <c r="G40" s="530">
        <v>117778.03292087425</v>
      </c>
      <c r="H40" s="570">
        <v>129193.57526297031</v>
      </c>
      <c r="I40" s="530">
        <v>121856.32184151594</v>
      </c>
      <c r="J40" s="530">
        <v>122887.33394910117</v>
      </c>
      <c r="K40" s="530">
        <v>132606.45372407339</v>
      </c>
      <c r="L40" s="530">
        <v>141180.31069940826</v>
      </c>
      <c r="M40" s="569">
        <v>145657.13283640481</v>
      </c>
      <c r="N40" s="530">
        <v>158742.33413253239</v>
      </c>
      <c r="O40" s="530">
        <v>157085.22267074606</v>
      </c>
      <c r="P40" s="530">
        <v>159074.61874803028</v>
      </c>
      <c r="Q40" s="530">
        <v>162342.67262476141</v>
      </c>
      <c r="R40" s="530">
        <v>175308.57908610464</v>
      </c>
      <c r="S40" s="530">
        <v>174492.52831534229</v>
      </c>
      <c r="T40" s="530">
        <v>173026.96183950026</v>
      </c>
      <c r="U40" s="530">
        <v>192996.41621173284</v>
      </c>
      <c r="V40" s="530">
        <v>174334.57535290802</v>
      </c>
      <c r="W40" s="530">
        <v>167876.76306826068</v>
      </c>
      <c r="X40" s="530">
        <v>174890.32209136282</v>
      </c>
      <c r="Y40" s="530">
        <v>171081.1772130412</v>
      </c>
      <c r="Z40" s="530">
        <v>180865.5209354198</v>
      </c>
      <c r="AA40" s="530">
        <v>184349.03946682162</v>
      </c>
      <c r="AB40" s="530">
        <v>194376.27555329466</v>
      </c>
      <c r="AC40" s="530">
        <v>201961.66270125346</v>
      </c>
      <c r="AD40" s="530">
        <v>201802.5665410292</v>
      </c>
      <c r="AE40" s="512">
        <v>209411.19801806248</v>
      </c>
      <c r="AF40" s="512">
        <v>221984.8344376522</v>
      </c>
      <c r="AG40" s="529">
        <v>209948.39363256414</v>
      </c>
      <c r="AH40" s="530">
        <v>234860.62175505236</v>
      </c>
      <c r="AI40" s="530">
        <v>231131.47940826087</v>
      </c>
      <c r="AJ40" s="530">
        <v>220189.4773461445</v>
      </c>
      <c r="AK40" s="530">
        <v>216526.17681310058</v>
      </c>
      <c r="AL40" s="530">
        <v>244347.2598311076</v>
      </c>
      <c r="AM40" s="530">
        <v>237830.38986826851</v>
      </c>
      <c r="AN40" s="530">
        <v>257556.43988593834</v>
      </c>
      <c r="AO40" s="530">
        <v>248397.04359138513</v>
      </c>
      <c r="AP40" s="530">
        <v>239173.95340796676</v>
      </c>
      <c r="AQ40" s="530">
        <v>235412.31856859857</v>
      </c>
      <c r="AR40" s="530">
        <v>236419.23071157237</v>
      </c>
      <c r="AS40" s="530">
        <v>231226.18516384368</v>
      </c>
      <c r="AT40" s="530">
        <v>226613.26755319798</v>
      </c>
      <c r="AU40" s="530">
        <v>225708.74797102256</v>
      </c>
      <c r="AV40" s="530">
        <v>219124.48209656932</v>
      </c>
      <c r="AW40" s="530">
        <v>226003.94753632817</v>
      </c>
      <c r="AX40" s="530">
        <v>227860.9637075951</v>
      </c>
      <c r="AY40" s="530">
        <v>218480.28767824118</v>
      </c>
      <c r="AZ40" s="530">
        <v>221504.31386224221</v>
      </c>
      <c r="BA40" s="530">
        <v>221450.74336463574</v>
      </c>
      <c r="BB40" s="530">
        <v>222359.37412889278</v>
      </c>
      <c r="BC40" s="530">
        <v>223689.78814989465</v>
      </c>
      <c r="BD40" s="530">
        <v>229684.10988553832</v>
      </c>
      <c r="BE40" s="530">
        <v>225304.54533674929</v>
      </c>
      <c r="BF40" s="530">
        <v>256185.72591215058</v>
      </c>
      <c r="BG40" s="530">
        <v>247626.17572525988</v>
      </c>
      <c r="BH40" s="530">
        <v>234845.7614417162</v>
      </c>
      <c r="BI40" s="530">
        <v>231940.18696562186</v>
      </c>
      <c r="BJ40" s="530">
        <v>269073.04595550534</v>
      </c>
      <c r="BK40" s="530">
        <v>265074.04301219148</v>
      </c>
      <c r="BL40" s="530">
        <v>250716.5079431535</v>
      </c>
      <c r="BM40" s="530">
        <v>260387.11344490063</v>
      </c>
      <c r="BN40" s="530">
        <v>248485.51247747539</v>
      </c>
      <c r="BO40" s="530">
        <v>252555.7827722755</v>
      </c>
      <c r="BP40" s="530">
        <v>252884.43516326445</v>
      </c>
      <c r="BQ40" s="530">
        <v>262122.12075520572</v>
      </c>
      <c r="BR40" s="530">
        <v>262115.94820399274</v>
      </c>
      <c r="BS40" s="530">
        <v>253343.64473090673</v>
      </c>
      <c r="BT40" s="530">
        <v>225185.36075979553</v>
      </c>
      <c r="BU40" s="530">
        <v>257024.48815792499</v>
      </c>
      <c r="BV40" s="530">
        <v>255644.26413742092</v>
      </c>
      <c r="BW40" s="530">
        <v>268312.09350073629</v>
      </c>
      <c r="BX40" s="530">
        <v>272272.07900024659</v>
      </c>
      <c r="BY40" s="530">
        <v>243497.19243687281</v>
      </c>
      <c r="BZ40" s="530">
        <v>252692.25482660718</v>
      </c>
      <c r="CA40" s="530">
        <v>250328.72677318042</v>
      </c>
      <c r="CB40" s="530">
        <v>291640.59477567184</v>
      </c>
      <c r="CC40" s="530">
        <v>244247.40439653795</v>
      </c>
      <c r="CD40" s="530">
        <v>218579.22939510574</v>
      </c>
      <c r="CE40" s="530">
        <v>220003.99185309198</v>
      </c>
      <c r="CF40" s="530">
        <v>216712.74306657736</v>
      </c>
      <c r="CG40" s="530">
        <v>221039.77833012716</v>
      </c>
      <c r="CH40" s="530">
        <v>231786.25622746177</v>
      </c>
      <c r="CI40" s="530">
        <v>249386.81715337187</v>
      </c>
      <c r="CJ40" s="530">
        <v>234878.99881239576</v>
      </c>
      <c r="CK40" s="530">
        <v>234501.61932204853</v>
      </c>
      <c r="CL40" s="530">
        <v>252002.02698651736</v>
      </c>
      <c r="CM40" s="530">
        <v>263895.56825927843</v>
      </c>
      <c r="CN40" s="530">
        <v>244701.06919382926</v>
      </c>
      <c r="CO40" s="530">
        <v>244875.65019718549</v>
      </c>
      <c r="CP40" s="530">
        <v>240336.63778615158</v>
      </c>
      <c r="CQ40" s="530">
        <v>234137.98974440614</v>
      </c>
      <c r="CR40" s="530">
        <v>233483.78584116284</v>
      </c>
      <c r="CS40" s="530">
        <v>259707.15284920012</v>
      </c>
      <c r="CT40" s="530">
        <v>262010.11571441576</v>
      </c>
      <c r="CU40" s="530">
        <v>232143.51346958987</v>
      </c>
      <c r="CV40" s="530">
        <v>228423.06987096876</v>
      </c>
      <c r="CW40" s="530">
        <v>228903.53673472427</v>
      </c>
      <c r="CX40" s="530">
        <v>231863.98097282439</v>
      </c>
      <c r="CY40" s="530">
        <v>232432.36886131956</v>
      </c>
      <c r="CZ40" s="530">
        <v>243850.12360717508</v>
      </c>
      <c r="DA40" s="530">
        <v>238135.49278355602</v>
      </c>
      <c r="DB40" s="569">
        <v>220946.8736710524</v>
      </c>
      <c r="DC40" s="530">
        <v>224447.94954250293</v>
      </c>
      <c r="DD40" s="512">
        <v>232154.56812513413</v>
      </c>
      <c r="DE40" s="512">
        <v>237102.1607304427</v>
      </c>
      <c r="DF40" s="512">
        <v>228294.70346303398</v>
      </c>
      <c r="DG40" s="512">
        <v>219705.37043262066</v>
      </c>
    </row>
    <row r="41" spans="1:111" ht="17.25" customHeight="1">
      <c r="A41" s="616"/>
      <c r="B41" s="510"/>
      <c r="C41" s="589"/>
      <c r="D41" s="589"/>
      <c r="E41" s="589"/>
      <c r="F41" s="590"/>
      <c r="G41" s="589"/>
      <c r="H41" s="591"/>
      <c r="I41" s="589"/>
      <c r="J41" s="589"/>
      <c r="K41" s="589"/>
      <c r="L41" s="589"/>
      <c r="M41" s="590"/>
      <c r="N41" s="589"/>
      <c r="O41" s="589"/>
      <c r="P41" s="589"/>
      <c r="Q41" s="589"/>
      <c r="R41" s="589"/>
      <c r="S41" s="589"/>
      <c r="T41" s="589"/>
      <c r="U41" s="589"/>
      <c r="V41" s="589"/>
      <c r="W41" s="589"/>
      <c r="X41" s="589"/>
      <c r="Y41" s="589"/>
      <c r="Z41" s="589"/>
      <c r="AA41" s="589"/>
      <c r="AB41" s="589"/>
      <c r="AC41" s="589"/>
      <c r="AD41" s="589"/>
      <c r="AE41" s="592"/>
      <c r="AF41" s="592"/>
      <c r="AG41" s="593"/>
      <c r="AH41" s="589"/>
      <c r="AI41" s="589"/>
      <c r="AJ41" s="589"/>
      <c r="AK41" s="589"/>
      <c r="AL41" s="589"/>
      <c r="AM41" s="589"/>
      <c r="AN41" s="589"/>
      <c r="AO41" s="589"/>
      <c r="AP41" s="589"/>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89"/>
      <c r="CE41" s="589"/>
      <c r="CF41" s="589"/>
      <c r="CG41" s="589"/>
      <c r="CH41" s="589"/>
      <c r="CI41" s="589"/>
      <c r="CJ41" s="589"/>
      <c r="CK41" s="589"/>
      <c r="CL41" s="589"/>
      <c r="CM41" s="589"/>
      <c r="CN41" s="589"/>
      <c r="CO41" s="589"/>
      <c r="CP41" s="589"/>
      <c r="CQ41" s="589"/>
      <c r="CR41" s="589"/>
      <c r="CS41" s="589"/>
      <c r="CT41" s="589"/>
      <c r="CU41" s="589"/>
      <c r="CV41" s="589"/>
      <c r="CW41" s="589"/>
      <c r="CX41" s="589"/>
      <c r="CY41" s="589"/>
      <c r="CZ41" s="589"/>
      <c r="DA41" s="589"/>
      <c r="DB41" s="590"/>
      <c r="DC41" s="589"/>
      <c r="DD41" s="592"/>
      <c r="DE41" s="592"/>
      <c r="DF41" s="592"/>
      <c r="DG41" s="592"/>
    </row>
    <row r="42" spans="1:111" ht="17.25" customHeight="1">
      <c r="A42" s="615" t="s">
        <v>440</v>
      </c>
      <c r="B42" s="506" t="s">
        <v>464</v>
      </c>
      <c r="C42" s="561">
        <v>80491.5790556188</v>
      </c>
      <c r="D42" s="561">
        <v>80697.809106184024</v>
      </c>
      <c r="E42" s="561">
        <v>87705.678274143997</v>
      </c>
      <c r="F42" s="562">
        <v>73784.756130328082</v>
      </c>
      <c r="G42" s="561">
        <v>72490.460604305175</v>
      </c>
      <c r="H42" s="563">
        <v>77427.406255812166</v>
      </c>
      <c r="I42" s="561">
        <v>66099.699093659015</v>
      </c>
      <c r="J42" s="561">
        <v>70833.680370135378</v>
      </c>
      <c r="K42" s="561">
        <v>88120.068275375394</v>
      </c>
      <c r="L42" s="561">
        <v>85019.088950657184</v>
      </c>
      <c r="M42" s="562">
        <v>73327.205655888421</v>
      </c>
      <c r="N42" s="561">
        <v>71069.375960490041</v>
      </c>
      <c r="O42" s="561">
        <v>77230.859836294956</v>
      </c>
      <c r="P42" s="561">
        <v>78255.409937428543</v>
      </c>
      <c r="Q42" s="561">
        <v>83007.09680195454</v>
      </c>
      <c r="R42" s="561">
        <v>93373.797255076002</v>
      </c>
      <c r="S42" s="561">
        <v>96481.845470338289</v>
      </c>
      <c r="T42" s="561">
        <v>114964.85499125741</v>
      </c>
      <c r="U42" s="561">
        <v>111645.24791947874</v>
      </c>
      <c r="V42" s="561">
        <v>99942.546984468252</v>
      </c>
      <c r="W42" s="561">
        <v>106620.44209692487</v>
      </c>
      <c r="X42" s="561">
        <v>105632.61913818453</v>
      </c>
      <c r="Y42" s="561">
        <v>111745.27884125496</v>
      </c>
      <c r="Z42" s="561">
        <v>103575.80796826008</v>
      </c>
      <c r="AA42" s="561">
        <v>99741.828133381481</v>
      </c>
      <c r="AB42" s="561">
        <v>119569.0172397062</v>
      </c>
      <c r="AC42" s="561">
        <v>127180.72113339081</v>
      </c>
      <c r="AD42" s="561">
        <v>121899.28328782997</v>
      </c>
      <c r="AE42" s="507">
        <v>120843.8192943973</v>
      </c>
      <c r="AF42" s="507">
        <v>131575.3054988909</v>
      </c>
      <c r="AG42" s="588">
        <v>129517.69597165757</v>
      </c>
      <c r="AH42" s="561">
        <v>128257.47232984914</v>
      </c>
      <c r="AI42" s="561">
        <v>122215.01007093082</v>
      </c>
      <c r="AJ42" s="561">
        <v>121890.88919858025</v>
      </c>
      <c r="AK42" s="561">
        <v>121794.56796619685</v>
      </c>
      <c r="AL42" s="561">
        <v>126312.25483534057</v>
      </c>
      <c r="AM42" s="561">
        <v>118841.74642610786</v>
      </c>
      <c r="AN42" s="561">
        <v>117863.20924431557</v>
      </c>
      <c r="AO42" s="561">
        <v>116355.45662098803</v>
      </c>
      <c r="AP42" s="561">
        <v>115587.07566438038</v>
      </c>
      <c r="AQ42" s="561">
        <v>133111.1564387317</v>
      </c>
      <c r="AR42" s="561">
        <v>131663.11318076306</v>
      </c>
      <c r="AS42" s="561">
        <v>128065.81607268049</v>
      </c>
      <c r="AT42" s="561">
        <v>131799.72708023948</v>
      </c>
      <c r="AU42" s="561">
        <v>131086.67195544034</v>
      </c>
      <c r="AV42" s="561">
        <v>128665.46387125392</v>
      </c>
      <c r="AW42" s="561">
        <v>123297.80121491598</v>
      </c>
      <c r="AX42" s="561">
        <v>116791.89378671935</v>
      </c>
      <c r="AY42" s="561">
        <v>108415.04497313853</v>
      </c>
      <c r="AZ42" s="561">
        <v>104289.99226519052</v>
      </c>
      <c r="BA42" s="561">
        <v>102716.08842777211</v>
      </c>
      <c r="BB42" s="561">
        <v>101757.81214174069</v>
      </c>
      <c r="BC42" s="561">
        <v>99433.722607934236</v>
      </c>
      <c r="BD42" s="561">
        <v>82944.729221307134</v>
      </c>
      <c r="BE42" s="561">
        <v>90309.277111334784</v>
      </c>
      <c r="BF42" s="561">
        <v>78667.024526159774</v>
      </c>
      <c r="BG42" s="561">
        <v>80554.354239733191</v>
      </c>
      <c r="BH42" s="561">
        <v>84690.225909486326</v>
      </c>
      <c r="BI42" s="561">
        <v>85623.26794906109</v>
      </c>
      <c r="BJ42" s="561">
        <v>96156.265010870848</v>
      </c>
      <c r="BK42" s="561">
        <v>91807.748033646349</v>
      </c>
      <c r="BL42" s="561">
        <v>90778.265086634579</v>
      </c>
      <c r="BM42" s="561">
        <v>93282.964628330083</v>
      </c>
      <c r="BN42" s="561">
        <v>98468.279970911579</v>
      </c>
      <c r="BO42" s="561">
        <v>99069.431729936943</v>
      </c>
      <c r="BP42" s="561">
        <v>98610.640375597839</v>
      </c>
      <c r="BQ42" s="561">
        <v>94524.236984010495</v>
      </c>
      <c r="BR42" s="561">
        <v>92182.966555755789</v>
      </c>
      <c r="BS42" s="561">
        <v>96030.450212167765</v>
      </c>
      <c r="BT42" s="561">
        <v>94772.472537003501</v>
      </c>
      <c r="BU42" s="561">
        <v>107690.070906644</v>
      </c>
      <c r="BV42" s="561">
        <v>93879.980016062153</v>
      </c>
      <c r="BW42" s="561">
        <v>103502.69653744902</v>
      </c>
      <c r="BX42" s="561">
        <v>91631.185972174542</v>
      </c>
      <c r="BY42" s="561">
        <v>96996.300713116405</v>
      </c>
      <c r="BZ42" s="561">
        <v>96954.886827257025</v>
      </c>
      <c r="CA42" s="561">
        <v>91673.207968479444</v>
      </c>
      <c r="CB42" s="561">
        <v>93348.601159788828</v>
      </c>
      <c r="CC42" s="561">
        <v>93697.154047417454</v>
      </c>
      <c r="CD42" s="561">
        <v>91501.42869486702</v>
      </c>
      <c r="CE42" s="561">
        <v>92537.9906437475</v>
      </c>
      <c r="CF42" s="561">
        <v>103149.97996094101</v>
      </c>
      <c r="CG42" s="561">
        <v>102551.27243887875</v>
      </c>
      <c r="CH42" s="561">
        <v>96419.683389639715</v>
      </c>
      <c r="CI42" s="561">
        <v>117452.8730538902</v>
      </c>
      <c r="CJ42" s="561">
        <v>115149.9011788893</v>
      </c>
      <c r="CK42" s="561">
        <v>124903.59743968595</v>
      </c>
      <c r="CL42" s="561">
        <v>113407.32885407397</v>
      </c>
      <c r="CM42" s="561">
        <v>118507.85262060841</v>
      </c>
      <c r="CN42" s="561">
        <v>125593.84637196726</v>
      </c>
      <c r="CO42" s="561">
        <v>139817.43680827963</v>
      </c>
      <c r="CP42" s="561">
        <v>142519.73521105712</v>
      </c>
      <c r="CQ42" s="561">
        <v>163361.4784103022</v>
      </c>
      <c r="CR42" s="561">
        <v>169042.00723445791</v>
      </c>
      <c r="CS42" s="561">
        <v>148489.56406763074</v>
      </c>
      <c r="CT42" s="561">
        <v>156436.13094266233</v>
      </c>
      <c r="CU42" s="561">
        <v>172787.31623900167</v>
      </c>
      <c r="CV42" s="561">
        <v>179554.05256704643</v>
      </c>
      <c r="CW42" s="561">
        <v>177098.25635244997</v>
      </c>
      <c r="CX42" s="561">
        <v>180542.27517278696</v>
      </c>
      <c r="CY42" s="561">
        <v>169453.70012330479</v>
      </c>
      <c r="CZ42" s="561">
        <v>166481.50102469139</v>
      </c>
      <c r="DA42" s="561">
        <v>192564.99889843416</v>
      </c>
      <c r="DB42" s="562">
        <v>189473.45742364379</v>
      </c>
      <c r="DC42" s="561">
        <v>193106.00723397272</v>
      </c>
      <c r="DD42" s="507">
        <v>197755.32273692451</v>
      </c>
      <c r="DE42" s="507">
        <v>176455.41817401792</v>
      </c>
      <c r="DF42" s="507">
        <v>146171.62551350016</v>
      </c>
      <c r="DG42" s="507">
        <v>152438.90449626313</v>
      </c>
    </row>
    <row r="43" spans="1:111" ht="17.25" customHeight="1">
      <c r="A43" s="616" t="s">
        <v>442</v>
      </c>
      <c r="B43" s="510" t="s">
        <v>435</v>
      </c>
      <c r="C43" s="530">
        <v>14022.40692473679</v>
      </c>
      <c r="D43" s="530">
        <v>8614.9470122550247</v>
      </c>
      <c r="E43" s="530">
        <v>9046.7667947900245</v>
      </c>
      <c r="F43" s="569">
        <v>8253.3560588930486</v>
      </c>
      <c r="G43" s="530">
        <v>8243.8970227649188</v>
      </c>
      <c r="H43" s="570">
        <v>14222.774405428938</v>
      </c>
      <c r="I43" s="530">
        <v>9773.4685437383559</v>
      </c>
      <c r="J43" s="530">
        <v>8464.5785294334873</v>
      </c>
      <c r="K43" s="530">
        <v>8618.9981428776773</v>
      </c>
      <c r="L43" s="530">
        <v>9444.8388877828729</v>
      </c>
      <c r="M43" s="569">
        <v>9352.6658480040496</v>
      </c>
      <c r="N43" s="530">
        <v>9078.0655663321577</v>
      </c>
      <c r="O43" s="530">
        <v>9420.9177350316659</v>
      </c>
      <c r="P43" s="530">
        <v>10747.092222015226</v>
      </c>
      <c r="Q43" s="530">
        <v>14520.159524510929</v>
      </c>
      <c r="R43" s="530">
        <v>9991.7010285336255</v>
      </c>
      <c r="S43" s="530">
        <v>9092.5564867792127</v>
      </c>
      <c r="T43" s="530">
        <v>10165.907027228755</v>
      </c>
      <c r="U43" s="530">
        <v>12983.843000142246</v>
      </c>
      <c r="V43" s="530">
        <v>11715.407392950861</v>
      </c>
      <c r="W43" s="530">
        <v>14475.547831222679</v>
      </c>
      <c r="X43" s="530">
        <v>19425.925564734509</v>
      </c>
      <c r="Y43" s="530">
        <v>13960.249322756885</v>
      </c>
      <c r="Z43" s="530">
        <v>15702.057529997388</v>
      </c>
      <c r="AA43" s="530">
        <v>11437.244710425246</v>
      </c>
      <c r="AB43" s="530">
        <v>13168.735278215197</v>
      </c>
      <c r="AC43" s="530">
        <v>13759.003379766453</v>
      </c>
      <c r="AD43" s="530">
        <v>13364.164291648372</v>
      </c>
      <c r="AE43" s="512">
        <v>14167.006895148679</v>
      </c>
      <c r="AF43" s="512">
        <v>13712.581781453029</v>
      </c>
      <c r="AG43" s="529">
        <v>15904.570471189527</v>
      </c>
      <c r="AH43" s="530">
        <v>15992.788304569956</v>
      </c>
      <c r="AI43" s="530">
        <v>19694.302836123796</v>
      </c>
      <c r="AJ43" s="530">
        <v>20611.516611396997</v>
      </c>
      <c r="AK43" s="530">
        <v>18384.805904107274</v>
      </c>
      <c r="AL43" s="530">
        <v>17418.271259703048</v>
      </c>
      <c r="AM43" s="530">
        <v>19673.09198335043</v>
      </c>
      <c r="AN43" s="530">
        <v>17490.392421126409</v>
      </c>
      <c r="AO43" s="530">
        <v>15789.829679464565</v>
      </c>
      <c r="AP43" s="530">
        <v>14897.063393489851</v>
      </c>
      <c r="AQ43" s="530">
        <v>17855.386396686707</v>
      </c>
      <c r="AR43" s="530">
        <v>19704.477664288788</v>
      </c>
      <c r="AS43" s="530">
        <v>19322.249388112468</v>
      </c>
      <c r="AT43" s="530">
        <v>19671.520938299513</v>
      </c>
      <c r="AU43" s="530">
        <v>21946.174337752516</v>
      </c>
      <c r="AV43" s="530">
        <v>22545.557014126411</v>
      </c>
      <c r="AW43" s="530">
        <v>22877.404338369684</v>
      </c>
      <c r="AX43" s="530">
        <v>25594.387499068926</v>
      </c>
      <c r="AY43" s="530">
        <v>24263.926402553021</v>
      </c>
      <c r="AZ43" s="530">
        <v>22543.248311728195</v>
      </c>
      <c r="BA43" s="530">
        <v>21234.901128839534</v>
      </c>
      <c r="BB43" s="530">
        <v>30290.441198478788</v>
      </c>
      <c r="BC43" s="530">
        <v>24337.911634397216</v>
      </c>
      <c r="BD43" s="530">
        <v>23016.085451020259</v>
      </c>
      <c r="BE43" s="530">
        <v>26127.521209808598</v>
      </c>
      <c r="BF43" s="530">
        <v>23921.084562984011</v>
      </c>
      <c r="BG43" s="530">
        <v>22208.752819936391</v>
      </c>
      <c r="BH43" s="530">
        <v>23156.253562813843</v>
      </c>
      <c r="BI43" s="530">
        <v>23121.383518245995</v>
      </c>
      <c r="BJ43" s="530">
        <v>24590.031698467454</v>
      </c>
      <c r="BK43" s="530">
        <v>23916.522247080891</v>
      </c>
      <c r="BL43" s="530">
        <v>23742.905440807965</v>
      </c>
      <c r="BM43" s="530">
        <v>24232.956685809291</v>
      </c>
      <c r="BN43" s="530">
        <v>26599.446508762252</v>
      </c>
      <c r="BO43" s="530">
        <v>29024.633317296066</v>
      </c>
      <c r="BP43" s="530">
        <v>27333.616765043411</v>
      </c>
      <c r="BQ43" s="530">
        <v>25716.207911377434</v>
      </c>
      <c r="BR43" s="530">
        <v>23815.733355021974</v>
      </c>
      <c r="BS43" s="530">
        <v>32057.999938223969</v>
      </c>
      <c r="BT43" s="530">
        <v>29087.255709827485</v>
      </c>
      <c r="BU43" s="530">
        <v>27682.723648223953</v>
      </c>
      <c r="BV43" s="530">
        <v>30605.533021761774</v>
      </c>
      <c r="BW43" s="530">
        <v>36707.213049972961</v>
      </c>
      <c r="BX43" s="530">
        <v>26209.195973646965</v>
      </c>
      <c r="BY43" s="530">
        <v>31883.152481903373</v>
      </c>
      <c r="BZ43" s="530">
        <v>31121.353675311264</v>
      </c>
      <c r="CA43" s="530">
        <v>26986.049667186711</v>
      </c>
      <c r="CB43" s="530">
        <v>27895.361200375159</v>
      </c>
      <c r="CC43" s="530">
        <v>27362.065229344491</v>
      </c>
      <c r="CD43" s="530">
        <v>27991.529754028328</v>
      </c>
      <c r="CE43" s="530">
        <v>30636.40264493529</v>
      </c>
      <c r="CF43" s="530">
        <v>32196.376471926222</v>
      </c>
      <c r="CG43" s="530">
        <v>29295.707543649169</v>
      </c>
      <c r="CH43" s="530">
        <v>31266.113443101447</v>
      </c>
      <c r="CI43" s="530">
        <v>32754.518333397475</v>
      </c>
      <c r="CJ43" s="530">
        <v>32771.984399307403</v>
      </c>
      <c r="CK43" s="530">
        <v>36520.885242843011</v>
      </c>
      <c r="CL43" s="530">
        <v>39405.925889257967</v>
      </c>
      <c r="CM43" s="530">
        <v>42509.915601848712</v>
      </c>
      <c r="CN43" s="530">
        <v>46812.632762614085</v>
      </c>
      <c r="CO43" s="530">
        <v>60404.274066625963</v>
      </c>
      <c r="CP43" s="530">
        <v>64176.642027490969</v>
      </c>
      <c r="CQ43" s="530">
        <v>53141.293309574496</v>
      </c>
      <c r="CR43" s="530">
        <v>57676.282520363959</v>
      </c>
      <c r="CS43" s="530">
        <v>61432.946588381412</v>
      </c>
      <c r="CT43" s="530">
        <v>59701.520731146054</v>
      </c>
      <c r="CU43" s="530">
        <v>67057.075566061321</v>
      </c>
      <c r="CV43" s="530">
        <v>69678.713956968146</v>
      </c>
      <c r="CW43" s="530">
        <v>73191.201505279183</v>
      </c>
      <c r="CX43" s="530">
        <v>68507.625070388312</v>
      </c>
      <c r="CY43" s="530">
        <v>65102.157469224556</v>
      </c>
      <c r="CZ43" s="530">
        <v>58334.616814234541</v>
      </c>
      <c r="DA43" s="530">
        <v>70770.248914523996</v>
      </c>
      <c r="DB43" s="569">
        <v>73227.274624757047</v>
      </c>
      <c r="DC43" s="530">
        <v>71740.712668774038</v>
      </c>
      <c r="DD43" s="512">
        <v>72942.46736347671</v>
      </c>
      <c r="DE43" s="512">
        <v>74106.670448174133</v>
      </c>
      <c r="DF43" s="512">
        <v>66679.538178442323</v>
      </c>
      <c r="DG43" s="512">
        <v>69867.393448514107</v>
      </c>
    </row>
    <row r="44" spans="1:111" ht="17.25" customHeight="1">
      <c r="A44" s="616" t="s">
        <v>443</v>
      </c>
      <c r="B44" s="510" t="s">
        <v>437</v>
      </c>
      <c r="C44" s="530">
        <v>3495.6415684986182</v>
      </c>
      <c r="D44" s="530">
        <v>3384.107689595849</v>
      </c>
      <c r="E44" s="530">
        <v>3271.6331236176302</v>
      </c>
      <c r="F44" s="569">
        <v>3272.7762917866294</v>
      </c>
      <c r="G44" s="530">
        <v>3255.0807226595352</v>
      </c>
      <c r="H44" s="570">
        <v>3742.6917097622304</v>
      </c>
      <c r="I44" s="530">
        <v>3648.2700050894687</v>
      </c>
      <c r="J44" s="530">
        <v>3230.8517671701861</v>
      </c>
      <c r="K44" s="530">
        <v>3662.8683849574359</v>
      </c>
      <c r="L44" s="530">
        <v>3848.8774807486584</v>
      </c>
      <c r="M44" s="569">
        <v>4134.721223380081</v>
      </c>
      <c r="N44" s="530">
        <v>3827.4946287044336</v>
      </c>
      <c r="O44" s="530">
        <v>4255.0011438979927</v>
      </c>
      <c r="P44" s="530">
        <v>4395.8558839348952</v>
      </c>
      <c r="Q44" s="530">
        <v>4170.1062686102305</v>
      </c>
      <c r="R44" s="530">
        <v>5002.1153473357035</v>
      </c>
      <c r="S44" s="530">
        <v>4347.658543524788</v>
      </c>
      <c r="T44" s="530">
        <v>4186.6316760905156</v>
      </c>
      <c r="U44" s="530">
        <v>4344.949446737709</v>
      </c>
      <c r="V44" s="530">
        <v>4129.9172620029522</v>
      </c>
      <c r="W44" s="530">
        <v>4392.8096184761398</v>
      </c>
      <c r="X44" s="530">
        <v>4095.4837599173816</v>
      </c>
      <c r="Y44" s="530">
        <v>4256.1719938747665</v>
      </c>
      <c r="Z44" s="530">
        <v>4183.4421946075481</v>
      </c>
      <c r="AA44" s="530">
        <v>4617.6160151286349</v>
      </c>
      <c r="AB44" s="530">
        <v>4614.5771849940811</v>
      </c>
      <c r="AC44" s="530">
        <v>4710.6523175544962</v>
      </c>
      <c r="AD44" s="530">
        <v>4157.6511166712844</v>
      </c>
      <c r="AE44" s="512">
        <v>4038.7104524642345</v>
      </c>
      <c r="AF44" s="512">
        <v>4161.2685977659812</v>
      </c>
      <c r="AG44" s="529">
        <v>4160.5040427488939</v>
      </c>
      <c r="AH44" s="530">
        <v>4837.0598256773301</v>
      </c>
      <c r="AI44" s="530">
        <v>4985.6069986008079</v>
      </c>
      <c r="AJ44" s="530">
        <v>5438.6799747489231</v>
      </c>
      <c r="AK44" s="530">
        <v>5310.7663303224208</v>
      </c>
      <c r="AL44" s="530">
        <v>5005.8586778588924</v>
      </c>
      <c r="AM44" s="530">
        <v>5291.6350886730352</v>
      </c>
      <c r="AN44" s="530">
        <v>4997.2479176020934</v>
      </c>
      <c r="AO44" s="530">
        <v>5598.6997302054842</v>
      </c>
      <c r="AP44" s="530">
        <v>4923.9416743037127</v>
      </c>
      <c r="AQ44" s="530">
        <v>4948.6041173017156</v>
      </c>
      <c r="AR44" s="530">
        <v>5083.326256160818</v>
      </c>
      <c r="AS44" s="530">
        <v>5066.4971476266437</v>
      </c>
      <c r="AT44" s="530">
        <v>5618.949444723492</v>
      </c>
      <c r="AU44" s="530">
        <v>5602.6020136190482</v>
      </c>
      <c r="AV44" s="530">
        <v>5770.8321336090139</v>
      </c>
      <c r="AW44" s="530">
        <v>5857.5384242466353</v>
      </c>
      <c r="AX44" s="530">
        <v>6028.7026773694788</v>
      </c>
      <c r="AY44" s="530">
        <v>6878.0023383476537</v>
      </c>
      <c r="AZ44" s="530">
        <v>7604.0455844604112</v>
      </c>
      <c r="BA44" s="530">
        <v>7893.7426159151346</v>
      </c>
      <c r="BB44" s="530">
        <v>7562.7404225683313</v>
      </c>
      <c r="BC44" s="530">
        <v>7715.2243616121796</v>
      </c>
      <c r="BD44" s="530">
        <v>7596.9742925374294</v>
      </c>
      <c r="BE44" s="530">
        <v>7545.8616838301859</v>
      </c>
      <c r="BF44" s="530">
        <v>7440.8625507930419</v>
      </c>
      <c r="BG44" s="530">
        <v>7823.5347870919741</v>
      </c>
      <c r="BH44" s="530">
        <v>7708.0265372259964</v>
      </c>
      <c r="BI44" s="530">
        <v>8489.0008841432118</v>
      </c>
      <c r="BJ44" s="530">
        <v>8506.3998487766876</v>
      </c>
      <c r="BK44" s="530">
        <v>8605.045459682482</v>
      </c>
      <c r="BL44" s="530">
        <v>8698.2606262574591</v>
      </c>
      <c r="BM44" s="530">
        <v>9280.4259172492548</v>
      </c>
      <c r="BN44" s="530">
        <v>9294.2342306476767</v>
      </c>
      <c r="BO44" s="530">
        <v>9635.5659515614152</v>
      </c>
      <c r="BP44" s="530">
        <v>9475.1206773081976</v>
      </c>
      <c r="BQ44" s="530">
        <v>9125.2985669564332</v>
      </c>
      <c r="BR44" s="530">
        <v>9288.7431539777772</v>
      </c>
      <c r="BS44" s="530">
        <v>9422.6555083620933</v>
      </c>
      <c r="BT44" s="530">
        <v>10264.134516770358</v>
      </c>
      <c r="BU44" s="530">
        <v>10721.405525402562</v>
      </c>
      <c r="BV44" s="530">
        <v>10046.549590326807</v>
      </c>
      <c r="BW44" s="530">
        <v>9537.0308950808067</v>
      </c>
      <c r="BX44" s="530">
        <v>9847.4090509647467</v>
      </c>
      <c r="BY44" s="530">
        <v>10097.346815957313</v>
      </c>
      <c r="BZ44" s="530">
        <v>10154.280731005787</v>
      </c>
      <c r="CA44" s="530">
        <v>10522.355121407993</v>
      </c>
      <c r="CB44" s="530">
        <v>10352.366136982795</v>
      </c>
      <c r="CC44" s="530">
        <v>10037.617270339781</v>
      </c>
      <c r="CD44" s="530">
        <v>10567.819826471554</v>
      </c>
      <c r="CE44" s="530">
        <v>10469.568391697207</v>
      </c>
      <c r="CF44" s="530">
        <v>10415.538359530783</v>
      </c>
      <c r="CG44" s="530">
        <v>11376.6833224169</v>
      </c>
      <c r="CH44" s="530">
        <v>10830.176198437317</v>
      </c>
      <c r="CI44" s="530">
        <v>10910.724934795169</v>
      </c>
      <c r="CJ44" s="530">
        <v>10828.158954843757</v>
      </c>
      <c r="CK44" s="530">
        <v>10776.328819657454</v>
      </c>
      <c r="CL44" s="530">
        <v>10680.105423668449</v>
      </c>
      <c r="CM44" s="530">
        <v>11095.252952426592</v>
      </c>
      <c r="CN44" s="530">
        <v>11140.947177616612</v>
      </c>
      <c r="CO44" s="530">
        <v>11379.951547673976</v>
      </c>
      <c r="CP44" s="530">
        <v>11595.072669347646</v>
      </c>
      <c r="CQ44" s="530">
        <v>11868.461831969422</v>
      </c>
      <c r="CR44" s="530">
        <v>11867.282196275353</v>
      </c>
      <c r="CS44" s="530">
        <v>12115.10142639816</v>
      </c>
      <c r="CT44" s="530">
        <v>12149.83826369694</v>
      </c>
      <c r="CU44" s="530">
        <v>12328.263682215664</v>
      </c>
      <c r="CV44" s="530">
        <v>12747.634636687382</v>
      </c>
      <c r="CW44" s="530">
        <v>12930.971464633123</v>
      </c>
      <c r="CX44" s="530">
        <v>13206.402540258914</v>
      </c>
      <c r="CY44" s="530">
        <v>13024.60011847623</v>
      </c>
      <c r="CZ44" s="530">
        <v>12826.45625597953</v>
      </c>
      <c r="DA44" s="530">
        <v>12993.682354884986</v>
      </c>
      <c r="DB44" s="569">
        <v>12442.048648592074</v>
      </c>
      <c r="DC44" s="530">
        <v>12887.461789553057</v>
      </c>
      <c r="DD44" s="512">
        <v>13154.226620819973</v>
      </c>
      <c r="DE44" s="512">
        <v>13366.470651808098</v>
      </c>
      <c r="DF44" s="512">
        <v>13702.425117124852</v>
      </c>
      <c r="DG44" s="512">
        <v>14383.121785474061</v>
      </c>
    </row>
    <row r="45" spans="1:111" ht="17.25" customHeight="1">
      <c r="A45" s="616" t="s">
        <v>444</v>
      </c>
      <c r="B45" s="510" t="s">
        <v>439</v>
      </c>
      <c r="C45" s="530">
        <v>62973.530562383392</v>
      </c>
      <c r="D45" s="530">
        <v>68698.754404333158</v>
      </c>
      <c r="E45" s="530">
        <v>75387.278355736344</v>
      </c>
      <c r="F45" s="569">
        <v>62258.623779648398</v>
      </c>
      <c r="G45" s="530">
        <v>60991.482858880714</v>
      </c>
      <c r="H45" s="570">
        <v>59461.940140620994</v>
      </c>
      <c r="I45" s="530">
        <v>52677.960544831192</v>
      </c>
      <c r="J45" s="530">
        <v>59138.250073531701</v>
      </c>
      <c r="K45" s="530">
        <v>75838.201747540283</v>
      </c>
      <c r="L45" s="530">
        <v>71725.372582125652</v>
      </c>
      <c r="M45" s="569">
        <v>59839.81858450429</v>
      </c>
      <c r="N45" s="530">
        <v>58163.815765453452</v>
      </c>
      <c r="O45" s="530">
        <v>63554.940957365296</v>
      </c>
      <c r="P45" s="530">
        <v>63112.461831478417</v>
      </c>
      <c r="Q45" s="530">
        <v>64316.831008833382</v>
      </c>
      <c r="R45" s="530">
        <v>78379.980879206676</v>
      </c>
      <c r="S45" s="530">
        <v>83041.630440034292</v>
      </c>
      <c r="T45" s="530">
        <v>100612.31628793814</v>
      </c>
      <c r="U45" s="530">
        <v>94316.455472598784</v>
      </c>
      <c r="V45" s="530">
        <v>84097.222329514436</v>
      </c>
      <c r="W45" s="530">
        <v>87752.08464722606</v>
      </c>
      <c r="X45" s="530">
        <v>82111.209813532638</v>
      </c>
      <c r="Y45" s="530">
        <v>93528.857524623309</v>
      </c>
      <c r="Z45" s="530">
        <v>83690.308243655149</v>
      </c>
      <c r="AA45" s="530">
        <v>83686.9674078276</v>
      </c>
      <c r="AB45" s="530">
        <v>101785.70477649692</v>
      </c>
      <c r="AC45" s="530">
        <v>108711.06543606985</v>
      </c>
      <c r="AD45" s="530">
        <v>104377.46787951031</v>
      </c>
      <c r="AE45" s="512">
        <v>102638.10194678439</v>
      </c>
      <c r="AF45" s="512">
        <v>113701.45511967188</v>
      </c>
      <c r="AG45" s="529">
        <v>109452.62145771914</v>
      </c>
      <c r="AH45" s="530">
        <v>107427.62419960187</v>
      </c>
      <c r="AI45" s="530">
        <v>97535.100236206214</v>
      </c>
      <c r="AJ45" s="530">
        <v>95840.69261243433</v>
      </c>
      <c r="AK45" s="530">
        <v>98098.995731767151</v>
      </c>
      <c r="AL45" s="530">
        <v>103888.12489777863</v>
      </c>
      <c r="AM45" s="530">
        <v>93877.01935408439</v>
      </c>
      <c r="AN45" s="530">
        <v>95375.568905587075</v>
      </c>
      <c r="AO45" s="530">
        <v>94966.927211317976</v>
      </c>
      <c r="AP45" s="530">
        <v>95766.070596586811</v>
      </c>
      <c r="AQ45" s="530">
        <v>110307.1659247433</v>
      </c>
      <c r="AR45" s="530">
        <v>106875.30926031344</v>
      </c>
      <c r="AS45" s="530">
        <v>103677.06953694137</v>
      </c>
      <c r="AT45" s="530">
        <v>106509.25669721646</v>
      </c>
      <c r="AU45" s="530">
        <v>103537.89560406878</v>
      </c>
      <c r="AV45" s="530">
        <v>100349.0747235185</v>
      </c>
      <c r="AW45" s="530">
        <v>94562.858452299653</v>
      </c>
      <c r="AX45" s="530">
        <v>85168.803610280942</v>
      </c>
      <c r="AY45" s="530">
        <v>77273.116232237851</v>
      </c>
      <c r="AZ45" s="530">
        <v>74142.698369001911</v>
      </c>
      <c r="BA45" s="530">
        <v>73587.444683017427</v>
      </c>
      <c r="BB45" s="530">
        <v>63904.630520693587</v>
      </c>
      <c r="BC45" s="530">
        <v>67380.586611924839</v>
      </c>
      <c r="BD45" s="530">
        <v>52331.669477749441</v>
      </c>
      <c r="BE45" s="530">
        <v>56635.89421769599</v>
      </c>
      <c r="BF45" s="530">
        <v>47305.077412382729</v>
      </c>
      <c r="BG45" s="530">
        <v>50522.066632704824</v>
      </c>
      <c r="BH45" s="530">
        <v>53825.945809446479</v>
      </c>
      <c r="BI45" s="530">
        <v>54012.883546671888</v>
      </c>
      <c r="BJ45" s="530">
        <v>63059.83346362671</v>
      </c>
      <c r="BK45" s="530">
        <v>59286.180326882968</v>
      </c>
      <c r="BL45" s="530">
        <v>58337.099019569163</v>
      </c>
      <c r="BM45" s="530">
        <v>59769.582025271528</v>
      </c>
      <c r="BN45" s="530">
        <v>62574.599231501648</v>
      </c>
      <c r="BO45" s="530">
        <v>60409.232461079453</v>
      </c>
      <c r="BP45" s="530">
        <v>61801.902933246223</v>
      </c>
      <c r="BQ45" s="530">
        <v>59682.730505676634</v>
      </c>
      <c r="BR45" s="530">
        <v>59078.490046756036</v>
      </c>
      <c r="BS45" s="530">
        <v>54549.794765581704</v>
      </c>
      <c r="BT45" s="530">
        <v>55421.082310405662</v>
      </c>
      <c r="BU45" s="530">
        <v>69285.941733017491</v>
      </c>
      <c r="BV45" s="530">
        <v>53227.897403973569</v>
      </c>
      <c r="BW45" s="530">
        <v>57258.452592395268</v>
      </c>
      <c r="BX45" s="530">
        <v>55574.580947562841</v>
      </c>
      <c r="BY45" s="530">
        <v>55015.801415255715</v>
      </c>
      <c r="BZ45" s="530">
        <v>55679.252420939971</v>
      </c>
      <c r="CA45" s="530">
        <v>54164.803179884737</v>
      </c>
      <c r="CB45" s="530">
        <v>55100.873822430876</v>
      </c>
      <c r="CC45" s="530">
        <v>56297.471547733192</v>
      </c>
      <c r="CD45" s="530">
        <v>52942.079114367138</v>
      </c>
      <c r="CE45" s="530">
        <v>51432.019607114999</v>
      </c>
      <c r="CF45" s="530">
        <v>60538.065129484006</v>
      </c>
      <c r="CG45" s="530">
        <v>61878.881572812686</v>
      </c>
      <c r="CH45" s="530">
        <v>54323.393748100949</v>
      </c>
      <c r="CI45" s="530">
        <v>73787.629785697558</v>
      </c>
      <c r="CJ45" s="530">
        <v>71549.757824738146</v>
      </c>
      <c r="CK45" s="530">
        <v>77606.383377185484</v>
      </c>
      <c r="CL45" s="530">
        <v>63321.297541147564</v>
      </c>
      <c r="CM45" s="530">
        <v>64902.684066333095</v>
      </c>
      <c r="CN45" s="530">
        <v>67640.266431736571</v>
      </c>
      <c r="CO45" s="530">
        <v>68033.211193979689</v>
      </c>
      <c r="CP45" s="530">
        <v>66748.02051421853</v>
      </c>
      <c r="CQ45" s="530">
        <v>98351.723268758287</v>
      </c>
      <c r="CR45" s="530">
        <v>99498.442517818592</v>
      </c>
      <c r="CS45" s="530">
        <v>74941.516052851177</v>
      </c>
      <c r="CT45" s="530">
        <v>84584.771947819332</v>
      </c>
      <c r="CU45" s="530">
        <v>93401.976990724681</v>
      </c>
      <c r="CV45" s="530">
        <v>97127.70397339089</v>
      </c>
      <c r="CW45" s="530">
        <v>90976.083382537661</v>
      </c>
      <c r="CX45" s="530">
        <v>98828.247562139746</v>
      </c>
      <c r="CY45" s="530">
        <v>91326.942535603986</v>
      </c>
      <c r="CZ45" s="530">
        <v>95320.427954477331</v>
      </c>
      <c r="DA45" s="530">
        <v>108801.06762902519</v>
      </c>
      <c r="DB45" s="569">
        <v>103804.13415029467</v>
      </c>
      <c r="DC45" s="530">
        <v>108477.83277564563</v>
      </c>
      <c r="DD45" s="512">
        <v>111658.62875262782</v>
      </c>
      <c r="DE45" s="512">
        <v>88982.277074035694</v>
      </c>
      <c r="DF45" s="512">
        <v>65789.662217932986</v>
      </c>
      <c r="DG45" s="512">
        <v>68188.389262274941</v>
      </c>
    </row>
    <row r="46" spans="1:111" ht="17.25" customHeight="1">
      <c r="A46" s="616"/>
      <c r="B46" s="510"/>
      <c r="C46" s="589"/>
      <c r="D46" s="589"/>
      <c r="E46" s="589"/>
      <c r="F46" s="590"/>
      <c r="G46" s="589"/>
      <c r="H46" s="591"/>
      <c r="I46" s="589"/>
      <c r="J46" s="589"/>
      <c r="K46" s="589"/>
      <c r="L46" s="589"/>
      <c r="M46" s="590"/>
      <c r="N46" s="589"/>
      <c r="O46" s="589"/>
      <c r="P46" s="589"/>
      <c r="Q46" s="589"/>
      <c r="R46" s="589"/>
      <c r="S46" s="589"/>
      <c r="T46" s="589"/>
      <c r="U46" s="589"/>
      <c r="V46" s="589"/>
      <c r="W46" s="589"/>
      <c r="X46" s="589"/>
      <c r="Y46" s="589"/>
      <c r="Z46" s="589"/>
      <c r="AA46" s="589"/>
      <c r="AB46" s="589"/>
      <c r="AC46" s="589"/>
      <c r="AD46" s="589"/>
      <c r="AE46" s="592"/>
      <c r="AF46" s="592"/>
      <c r="AG46" s="593"/>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89"/>
      <c r="CV46" s="589"/>
      <c r="CW46" s="589"/>
      <c r="CX46" s="589"/>
      <c r="CY46" s="589"/>
      <c r="CZ46" s="589"/>
      <c r="DA46" s="589"/>
      <c r="DB46" s="590"/>
      <c r="DC46" s="589"/>
      <c r="DD46" s="592"/>
      <c r="DE46" s="592"/>
      <c r="DF46" s="592"/>
      <c r="DG46" s="592"/>
    </row>
    <row r="47" spans="1:111" ht="17.25" customHeight="1">
      <c r="A47" s="615" t="s">
        <v>445</v>
      </c>
      <c r="B47" s="506" t="s">
        <v>446</v>
      </c>
      <c r="C47" s="561">
        <v>231.56321800000001</v>
      </c>
      <c r="D47" s="561">
        <v>244.56903</v>
      </c>
      <c r="E47" s="561">
        <v>243.88480200000001</v>
      </c>
      <c r="F47" s="562">
        <v>894.87686329999997</v>
      </c>
      <c r="G47" s="561">
        <v>902.47286123000003</v>
      </c>
      <c r="H47" s="563">
        <v>913.28048660000002</v>
      </c>
      <c r="I47" s="561">
        <v>924.24705643000004</v>
      </c>
      <c r="J47" s="561">
        <v>935.94412235000004</v>
      </c>
      <c r="K47" s="561">
        <v>947.48504020000007</v>
      </c>
      <c r="L47" s="561">
        <v>958.67395076888897</v>
      </c>
      <c r="M47" s="562">
        <v>970.47936142111109</v>
      </c>
      <c r="N47" s="561">
        <v>982.71418112888898</v>
      </c>
      <c r="O47" s="561">
        <v>1029.9734679333333</v>
      </c>
      <c r="P47" s="561">
        <v>1039.2984984133332</v>
      </c>
      <c r="Q47" s="561">
        <v>1054.6342642622224</v>
      </c>
      <c r="R47" s="561">
        <v>1064.6590485788888</v>
      </c>
      <c r="S47" s="561">
        <v>1076.2280478177779</v>
      </c>
      <c r="T47" s="561">
        <v>1088.8792321111112</v>
      </c>
      <c r="U47" s="561">
        <v>1101.5320324188888</v>
      </c>
      <c r="V47" s="561">
        <v>1114.4294483033332</v>
      </c>
      <c r="W47" s="561">
        <v>1127.11884353</v>
      </c>
      <c r="X47" s="561">
        <v>1141.7175953866667</v>
      </c>
      <c r="Y47" s="561">
        <v>1158.3885001033332</v>
      </c>
      <c r="Z47" s="561">
        <v>1173.85555658</v>
      </c>
      <c r="AA47" s="561">
        <v>1192.1119814356903</v>
      </c>
      <c r="AB47" s="561">
        <v>1204.7922557448296</v>
      </c>
      <c r="AC47" s="561">
        <v>1219.8609252011217</v>
      </c>
      <c r="AD47" s="561">
        <v>1231.7610712585674</v>
      </c>
      <c r="AE47" s="507">
        <v>1236.045001036345</v>
      </c>
      <c r="AF47" s="507">
        <v>1261.7841879768891</v>
      </c>
      <c r="AG47" s="588">
        <v>1278.5503714638587</v>
      </c>
      <c r="AH47" s="561">
        <v>1292.6733276455918</v>
      </c>
      <c r="AI47" s="561">
        <v>1307.8143752879118</v>
      </c>
      <c r="AJ47" s="561">
        <v>1325.2377130349007</v>
      </c>
      <c r="AK47" s="561">
        <v>1340.5265307413711</v>
      </c>
      <c r="AL47" s="561">
        <v>1356.4140406065899</v>
      </c>
      <c r="AM47" s="561">
        <v>1371.9830373129037</v>
      </c>
      <c r="AN47" s="561">
        <v>1387.7294814627639</v>
      </c>
      <c r="AO47" s="561">
        <v>1391.9710411111112</v>
      </c>
      <c r="AP47" s="561">
        <v>1345.0189419933752</v>
      </c>
      <c r="AQ47" s="561">
        <v>1356.0663831839051</v>
      </c>
      <c r="AR47" s="561">
        <v>1372.5229543510598</v>
      </c>
      <c r="AS47" s="561">
        <v>1389.1917470284782</v>
      </c>
      <c r="AT47" s="561">
        <v>1406.7636767705512</v>
      </c>
      <c r="AU47" s="561">
        <v>1424.1167111904763</v>
      </c>
      <c r="AV47" s="561">
        <v>1438.8276591848639</v>
      </c>
      <c r="AW47" s="561">
        <v>1437.5671838838095</v>
      </c>
      <c r="AX47" s="561">
        <v>1532.8619360233331</v>
      </c>
      <c r="AY47" s="561">
        <v>1555.8646305122222</v>
      </c>
      <c r="AZ47" s="561">
        <v>1570.2510025755557</v>
      </c>
      <c r="BA47" s="561">
        <v>1586.1209918133334</v>
      </c>
      <c r="BB47" s="561">
        <v>742.05842346999998</v>
      </c>
      <c r="BC47" s="561">
        <v>747.63109256000007</v>
      </c>
      <c r="BD47" s="561">
        <v>759.73270224999999</v>
      </c>
      <c r="BE47" s="561">
        <v>772.19647421000002</v>
      </c>
      <c r="BF47" s="561">
        <v>783.64372535000007</v>
      </c>
      <c r="BG47" s="561">
        <v>795.03426162999995</v>
      </c>
      <c r="BH47" s="561">
        <v>806.36142286999996</v>
      </c>
      <c r="BI47" s="561">
        <v>817.11920386999998</v>
      </c>
      <c r="BJ47" s="561">
        <v>829.69099343000005</v>
      </c>
      <c r="BK47" s="561">
        <v>841.75958768999999</v>
      </c>
      <c r="BL47" s="561">
        <v>841.34192214999996</v>
      </c>
      <c r="BM47" s="561">
        <v>850.71337003999997</v>
      </c>
      <c r="BN47" s="561">
        <v>860.90493549999997</v>
      </c>
      <c r="BO47" s="561">
        <v>871.46817457999987</v>
      </c>
      <c r="BP47" s="561">
        <v>882.04527719000009</v>
      </c>
      <c r="BQ47" s="561">
        <v>892.00809130000005</v>
      </c>
      <c r="BR47" s="561">
        <v>903.91998393000006</v>
      </c>
      <c r="BS47" s="561">
        <v>913.01940185000001</v>
      </c>
      <c r="BT47" s="561">
        <v>921.02394779999997</v>
      </c>
      <c r="BU47" s="561">
        <v>929.69761502000006</v>
      </c>
      <c r="BV47" s="561">
        <v>941.94318427000007</v>
      </c>
      <c r="BW47" s="561">
        <v>951.54407246999995</v>
      </c>
      <c r="BX47" s="561">
        <v>951.26087802999996</v>
      </c>
      <c r="BY47" s="561">
        <v>960.51654225000004</v>
      </c>
      <c r="BZ47" s="561">
        <v>959.27091482999992</v>
      </c>
      <c r="CA47" s="561">
        <v>968.69937096000001</v>
      </c>
      <c r="CB47" s="561">
        <v>976.84763184999997</v>
      </c>
      <c r="CC47" s="561">
        <v>987.94876218999991</v>
      </c>
      <c r="CD47" s="561">
        <v>997.67433128999994</v>
      </c>
      <c r="CE47" s="561">
        <v>1008.3339269400001</v>
      </c>
      <c r="CF47" s="561">
        <v>1018.04001825</v>
      </c>
      <c r="CG47" s="561">
        <v>1027.9046779100001</v>
      </c>
      <c r="CH47" s="561">
        <v>1034.54105153</v>
      </c>
      <c r="CI47" s="561">
        <v>1046.3292143400001</v>
      </c>
      <c r="CJ47" s="561">
        <v>1056.93696527</v>
      </c>
      <c r="CK47" s="561">
        <v>1068.1048831099999</v>
      </c>
      <c r="CL47" s="561">
        <v>1086.2447271100002</v>
      </c>
      <c r="CM47" s="561">
        <v>1094.89581032</v>
      </c>
      <c r="CN47" s="561">
        <v>1103.7077119</v>
      </c>
      <c r="CO47" s="561">
        <v>1114.0039380399999</v>
      </c>
      <c r="CP47" s="561">
        <v>1126.4172563299999</v>
      </c>
      <c r="CQ47" s="561">
        <v>1136.3494650599998</v>
      </c>
      <c r="CR47" s="561">
        <v>1148.6181616200001</v>
      </c>
      <c r="CS47" s="561">
        <v>1159.7702537600001</v>
      </c>
      <c r="CT47" s="561">
        <v>1170.5591787599999</v>
      </c>
      <c r="CU47" s="561">
        <v>1181.90419982</v>
      </c>
      <c r="CV47" s="561">
        <v>1190.8741275899999</v>
      </c>
      <c r="CW47" s="561">
        <v>1201.6446606699999</v>
      </c>
      <c r="CX47" s="561">
        <v>1213.0932805299999</v>
      </c>
      <c r="CY47" s="561">
        <v>1224.16639169</v>
      </c>
      <c r="CZ47" s="561">
        <v>1235.9602562800001</v>
      </c>
      <c r="DA47" s="561">
        <v>1250.3412743499998</v>
      </c>
      <c r="DB47" s="562">
        <v>1263.11193826</v>
      </c>
      <c r="DC47" s="561">
        <v>1275.6406891000001</v>
      </c>
      <c r="DD47" s="507">
        <v>1286.59783924</v>
      </c>
      <c r="DE47" s="507">
        <v>1297.00956477</v>
      </c>
      <c r="DF47" s="507">
        <v>1309.7397866099998</v>
      </c>
      <c r="DG47" s="507">
        <v>1321.1902400800002</v>
      </c>
    </row>
    <row r="48" spans="1:111" ht="17.25" customHeight="1">
      <c r="A48" s="616"/>
      <c r="B48" s="510"/>
      <c r="C48" s="589"/>
      <c r="D48" s="589"/>
      <c r="E48" s="589"/>
      <c r="F48" s="590"/>
      <c r="G48" s="589"/>
      <c r="H48" s="591"/>
      <c r="I48" s="589"/>
      <c r="J48" s="589"/>
      <c r="K48" s="589"/>
      <c r="L48" s="589"/>
      <c r="M48" s="590"/>
      <c r="N48" s="589"/>
      <c r="O48" s="589"/>
      <c r="P48" s="589"/>
      <c r="Q48" s="589"/>
      <c r="R48" s="589"/>
      <c r="S48" s="589"/>
      <c r="T48" s="589"/>
      <c r="U48" s="589"/>
      <c r="V48" s="589"/>
      <c r="W48" s="589"/>
      <c r="X48" s="589"/>
      <c r="Y48" s="589"/>
      <c r="Z48" s="589"/>
      <c r="AA48" s="589"/>
      <c r="AB48" s="589"/>
      <c r="AC48" s="589"/>
      <c r="AD48" s="589"/>
      <c r="AE48" s="592"/>
      <c r="AF48" s="592"/>
      <c r="AG48" s="593"/>
      <c r="AH48" s="589"/>
      <c r="AI48" s="589"/>
      <c r="AJ48" s="589"/>
      <c r="AK48" s="589"/>
      <c r="AL48" s="589"/>
      <c r="AM48" s="589"/>
      <c r="AN48" s="589"/>
      <c r="AO48" s="589"/>
      <c r="AP48" s="589"/>
      <c r="AQ48" s="589"/>
      <c r="AR48" s="589"/>
      <c r="AS48" s="589"/>
      <c r="AT48" s="589"/>
      <c r="AU48" s="589"/>
      <c r="AV48" s="589"/>
      <c r="AW48" s="589"/>
      <c r="AX48" s="589"/>
      <c r="AY48" s="589"/>
      <c r="AZ48" s="589"/>
      <c r="BA48" s="589"/>
      <c r="BB48" s="589"/>
      <c r="BC48" s="589"/>
      <c r="BD48" s="589"/>
      <c r="BE48" s="589"/>
      <c r="BF48" s="589"/>
      <c r="BG48" s="589"/>
      <c r="BH48" s="589"/>
      <c r="BI48" s="589"/>
      <c r="BJ48" s="589"/>
      <c r="BK48" s="589"/>
      <c r="BL48" s="589"/>
      <c r="BM48" s="589"/>
      <c r="BN48" s="589"/>
      <c r="BO48" s="589"/>
      <c r="BP48" s="589"/>
      <c r="BQ48" s="589"/>
      <c r="BR48" s="589"/>
      <c r="BS48" s="589"/>
      <c r="BT48" s="589"/>
      <c r="BU48" s="589"/>
      <c r="BV48" s="589"/>
      <c r="BW48" s="589"/>
      <c r="BX48" s="589"/>
      <c r="BY48" s="589"/>
      <c r="BZ48" s="589"/>
      <c r="CA48" s="589"/>
      <c r="CB48" s="589"/>
      <c r="CC48" s="589"/>
      <c r="CD48" s="589"/>
      <c r="CE48" s="589"/>
      <c r="CF48" s="589"/>
      <c r="CG48" s="589"/>
      <c r="CH48" s="589"/>
      <c r="CI48" s="589"/>
      <c r="CJ48" s="589"/>
      <c r="CK48" s="589"/>
      <c r="CL48" s="589"/>
      <c r="CM48" s="589"/>
      <c r="CN48" s="589"/>
      <c r="CO48" s="589"/>
      <c r="CP48" s="589"/>
      <c r="CQ48" s="589"/>
      <c r="CR48" s="589"/>
      <c r="CS48" s="589"/>
      <c r="CT48" s="589"/>
      <c r="CU48" s="589"/>
      <c r="CV48" s="589"/>
      <c r="CW48" s="589"/>
      <c r="CX48" s="589"/>
      <c r="CY48" s="589"/>
      <c r="CZ48" s="589"/>
      <c r="DA48" s="589"/>
      <c r="DB48" s="590"/>
      <c r="DC48" s="589"/>
      <c r="DD48" s="592"/>
      <c r="DE48" s="592"/>
      <c r="DF48" s="592"/>
      <c r="DG48" s="592"/>
    </row>
    <row r="49" spans="1:111" ht="17.25" customHeight="1">
      <c r="A49" s="615" t="s">
        <v>447</v>
      </c>
      <c r="B49" s="506" t="s">
        <v>465</v>
      </c>
      <c r="C49" s="561">
        <v>15645.512661406454</v>
      </c>
      <c r="D49" s="561">
        <v>15884.783669947929</v>
      </c>
      <c r="E49" s="561">
        <v>15153.842182608641</v>
      </c>
      <c r="F49" s="562">
        <v>15555.179380714215</v>
      </c>
      <c r="G49" s="561">
        <v>15292.70664958403</v>
      </c>
      <c r="H49" s="563">
        <v>14953.233001055829</v>
      </c>
      <c r="I49" s="561">
        <v>14949.287617767368</v>
      </c>
      <c r="J49" s="561">
        <v>14910.769174447587</v>
      </c>
      <c r="K49" s="561">
        <v>14835.403570225628</v>
      </c>
      <c r="L49" s="561">
        <v>14973.117719108574</v>
      </c>
      <c r="M49" s="562">
        <v>15410.342053047403</v>
      </c>
      <c r="N49" s="561">
        <v>15917.045083821948</v>
      </c>
      <c r="O49" s="561">
        <v>15643.62357843216</v>
      </c>
      <c r="P49" s="561">
        <v>15910.206036265174</v>
      </c>
      <c r="Q49" s="561">
        <v>16604.716301156575</v>
      </c>
      <c r="R49" s="561">
        <v>16569.771371776089</v>
      </c>
      <c r="S49" s="561">
        <v>16688.439361394347</v>
      </c>
      <c r="T49" s="561">
        <v>17479.208170804999</v>
      </c>
      <c r="U49" s="561">
        <v>16594.99025579686</v>
      </c>
      <c r="V49" s="561">
        <v>16716.496205298907</v>
      </c>
      <c r="W49" s="561">
        <v>16465.24152062762</v>
      </c>
      <c r="X49" s="561">
        <v>16478.725589911319</v>
      </c>
      <c r="Y49" s="561">
        <v>16614.809302686383</v>
      </c>
      <c r="Z49" s="561">
        <v>16325.490808256562</v>
      </c>
      <c r="AA49" s="561">
        <v>16380.635298681034</v>
      </c>
      <c r="AB49" s="561">
        <v>16722.130606199535</v>
      </c>
      <c r="AC49" s="561">
        <v>16622.821207805198</v>
      </c>
      <c r="AD49" s="561">
        <v>17046.157512781752</v>
      </c>
      <c r="AE49" s="507">
        <v>17264.306770457344</v>
      </c>
      <c r="AF49" s="507">
        <v>17498.136859660164</v>
      </c>
      <c r="AG49" s="588">
        <v>16698.808618465773</v>
      </c>
      <c r="AH49" s="561">
        <v>17100.436710464823</v>
      </c>
      <c r="AI49" s="561">
        <v>16746.070150179548</v>
      </c>
      <c r="AJ49" s="561">
        <v>1127.4601422405112</v>
      </c>
      <c r="AK49" s="561">
        <v>1095.5860619152888</v>
      </c>
      <c r="AL49" s="561">
        <v>1328.9540850303999</v>
      </c>
      <c r="AM49" s="561">
        <v>1211.6644621771668</v>
      </c>
      <c r="AN49" s="561">
        <v>1171.1074587792891</v>
      </c>
      <c r="AO49" s="561">
        <v>1236.2121890800224</v>
      </c>
      <c r="AP49" s="561">
        <v>1234.8537371959333</v>
      </c>
      <c r="AQ49" s="561">
        <v>1343.019678987924</v>
      </c>
      <c r="AR49" s="561">
        <v>1243.2708294678093</v>
      </c>
      <c r="AS49" s="561">
        <v>1279.8613689733668</v>
      </c>
      <c r="AT49" s="561">
        <v>1271.5996806622595</v>
      </c>
      <c r="AU49" s="561">
        <v>1199.1619262505569</v>
      </c>
      <c r="AV49" s="561">
        <v>1155.0305887734644</v>
      </c>
      <c r="AW49" s="561">
        <v>1139.6961893274311</v>
      </c>
      <c r="AX49" s="561">
        <v>1259.9482977386983</v>
      </c>
      <c r="AY49" s="561">
        <v>1238.3272744853004</v>
      </c>
      <c r="AZ49" s="561">
        <v>878.95489068434142</v>
      </c>
      <c r="BA49" s="561">
        <v>956.08903745806265</v>
      </c>
      <c r="BB49" s="561">
        <v>783.97270425570832</v>
      </c>
      <c r="BC49" s="561">
        <v>854.14120872096305</v>
      </c>
      <c r="BD49" s="561">
        <v>883.47022197736339</v>
      </c>
      <c r="BE49" s="561">
        <v>918.97752635636073</v>
      </c>
      <c r="BF49" s="561">
        <v>1006.803345868023</v>
      </c>
      <c r="BG49" s="561">
        <v>1541.7032591520708</v>
      </c>
      <c r="BH49" s="561">
        <v>1157.0924238882374</v>
      </c>
      <c r="BI49" s="561">
        <v>1220.1777750274027</v>
      </c>
      <c r="BJ49" s="561">
        <v>1247.2652278087021</v>
      </c>
      <c r="BK49" s="561">
        <v>1237.6344496282929</v>
      </c>
      <c r="BL49" s="561">
        <v>1219.0656411219168</v>
      </c>
      <c r="BM49" s="561">
        <v>1157.2090045506454</v>
      </c>
      <c r="BN49" s="561">
        <v>1256.4355875570463</v>
      </c>
      <c r="BO49" s="561">
        <v>1254.3869285360436</v>
      </c>
      <c r="BP49" s="561">
        <v>1302.1468264104776</v>
      </c>
      <c r="BQ49" s="561">
        <v>1217.2545327702653</v>
      </c>
      <c r="BR49" s="561">
        <v>1302.3310317796659</v>
      </c>
      <c r="BS49" s="561">
        <v>1204.6501408748975</v>
      </c>
      <c r="BT49" s="561">
        <v>1237.765141539488</v>
      </c>
      <c r="BU49" s="561">
        <v>1313.8005488732629</v>
      </c>
      <c r="BV49" s="561">
        <v>1182.4475531745416</v>
      </c>
      <c r="BW49" s="561">
        <v>1119.8991953549641</v>
      </c>
      <c r="BX49" s="561">
        <v>993.62369071162891</v>
      </c>
      <c r="BY49" s="561">
        <v>6420.4863756678606</v>
      </c>
      <c r="BZ49" s="561">
        <v>6486.7428962633339</v>
      </c>
      <c r="CA49" s="561">
        <v>6651.4769204397489</v>
      </c>
      <c r="CB49" s="561">
        <v>7714.8385189486571</v>
      </c>
      <c r="CC49" s="561">
        <v>7528.5721509488194</v>
      </c>
      <c r="CD49" s="561">
        <v>7609.5393174411147</v>
      </c>
      <c r="CE49" s="561">
        <v>7647.6678899913604</v>
      </c>
      <c r="CF49" s="561">
        <v>7764.8705142639292</v>
      </c>
      <c r="CG49" s="561">
        <v>7612.2662415359828</v>
      </c>
      <c r="CH49" s="561">
        <v>7669.7182570720006</v>
      </c>
      <c r="CI49" s="561">
        <v>8095.0391335804443</v>
      </c>
      <c r="CJ49" s="561">
        <v>7865.4789433237111</v>
      </c>
      <c r="CK49" s="561">
        <v>7890.0037322446178</v>
      </c>
      <c r="CL49" s="561">
        <v>8008.3467121284702</v>
      </c>
      <c r="CM49" s="561">
        <v>8646.3296934415921</v>
      </c>
      <c r="CN49" s="561">
        <v>7840.0146798454643</v>
      </c>
      <c r="CO49" s="561">
        <v>7766.9697828987692</v>
      </c>
      <c r="CP49" s="561">
        <v>8058.7182430322773</v>
      </c>
      <c r="CQ49" s="561">
        <v>8234.571529147137</v>
      </c>
      <c r="CR49" s="561">
        <v>8001.7661182826023</v>
      </c>
      <c r="CS49" s="561">
        <v>7978.7580518328195</v>
      </c>
      <c r="CT49" s="561">
        <v>8064.0392681820485</v>
      </c>
      <c r="CU49" s="561">
        <v>9343.9465719759646</v>
      </c>
      <c r="CV49" s="561">
        <v>9396.7240134001313</v>
      </c>
      <c r="CW49" s="561">
        <v>13780.199132482079</v>
      </c>
      <c r="CX49" s="561">
        <v>13694.15438558099</v>
      </c>
      <c r="CY49" s="561">
        <v>13561.030678638792</v>
      </c>
      <c r="CZ49" s="561">
        <v>13631.460155642533</v>
      </c>
      <c r="DA49" s="561">
        <v>13272.061651796099</v>
      </c>
      <c r="DB49" s="562">
        <v>13437.867494984626</v>
      </c>
      <c r="DC49" s="561">
        <v>13376.222837683907</v>
      </c>
      <c r="DD49" s="507">
        <v>14909.119321448543</v>
      </c>
      <c r="DE49" s="507">
        <v>15045.142499000014</v>
      </c>
      <c r="DF49" s="507">
        <v>17030.176292038144</v>
      </c>
      <c r="DG49" s="507">
        <v>17013.154985804216</v>
      </c>
    </row>
    <row r="50" spans="1:111" ht="17.25" customHeight="1">
      <c r="A50" s="616"/>
      <c r="B50" s="510"/>
      <c r="C50" s="589"/>
      <c r="D50" s="589"/>
      <c r="E50" s="589"/>
      <c r="F50" s="590"/>
      <c r="G50" s="589"/>
      <c r="H50" s="591"/>
      <c r="I50" s="589"/>
      <c r="J50" s="589"/>
      <c r="K50" s="589"/>
      <c r="L50" s="589"/>
      <c r="M50" s="590"/>
      <c r="N50" s="589"/>
      <c r="O50" s="589"/>
      <c r="P50" s="589"/>
      <c r="Q50" s="589"/>
      <c r="R50" s="589"/>
      <c r="S50" s="589"/>
      <c r="T50" s="589"/>
      <c r="U50" s="589"/>
      <c r="V50" s="589"/>
      <c r="W50" s="589"/>
      <c r="X50" s="589"/>
      <c r="Y50" s="589"/>
      <c r="Z50" s="589"/>
      <c r="AA50" s="589"/>
      <c r="AB50" s="589"/>
      <c r="AC50" s="589"/>
      <c r="AD50" s="589"/>
      <c r="AE50" s="592"/>
      <c r="AF50" s="592"/>
      <c r="AG50" s="593"/>
      <c r="AH50" s="589"/>
      <c r="AI50" s="589"/>
      <c r="AJ50" s="589"/>
      <c r="AK50" s="589"/>
      <c r="AL50" s="589"/>
      <c r="AM50" s="589"/>
      <c r="AN50" s="589"/>
      <c r="AO50" s="589"/>
      <c r="AP50" s="589"/>
      <c r="AQ50" s="589"/>
      <c r="AR50" s="589"/>
      <c r="AS50" s="589"/>
      <c r="AT50" s="589"/>
      <c r="AU50" s="589"/>
      <c r="AV50" s="589"/>
      <c r="AW50" s="589"/>
      <c r="AX50" s="589"/>
      <c r="AY50" s="589"/>
      <c r="AZ50" s="589"/>
      <c r="BA50" s="589"/>
      <c r="BB50" s="589"/>
      <c r="BC50" s="589"/>
      <c r="BD50" s="589"/>
      <c r="BE50" s="589"/>
      <c r="BF50" s="589"/>
      <c r="BG50" s="589"/>
      <c r="BH50" s="589"/>
      <c r="BI50" s="589"/>
      <c r="BJ50" s="589"/>
      <c r="BK50" s="589"/>
      <c r="BL50" s="589"/>
      <c r="BM50" s="589"/>
      <c r="BN50" s="589"/>
      <c r="BO50" s="589"/>
      <c r="BP50" s="589"/>
      <c r="BQ50" s="589"/>
      <c r="BR50" s="589"/>
      <c r="BS50" s="589"/>
      <c r="BT50" s="589"/>
      <c r="BU50" s="589"/>
      <c r="BV50" s="589"/>
      <c r="BW50" s="589"/>
      <c r="BX50" s="589"/>
      <c r="BY50" s="589"/>
      <c r="BZ50" s="589"/>
      <c r="CA50" s="589"/>
      <c r="CB50" s="589"/>
      <c r="CC50" s="589"/>
      <c r="CD50" s="589"/>
      <c r="CE50" s="589"/>
      <c r="CF50" s="589"/>
      <c r="CG50" s="589"/>
      <c r="CH50" s="589"/>
      <c r="CI50" s="589"/>
      <c r="CJ50" s="589"/>
      <c r="CK50" s="589"/>
      <c r="CL50" s="589"/>
      <c r="CM50" s="589"/>
      <c r="CN50" s="589"/>
      <c r="CO50" s="589"/>
      <c r="CP50" s="589"/>
      <c r="CQ50" s="589"/>
      <c r="CR50" s="589"/>
      <c r="CS50" s="589"/>
      <c r="CT50" s="589"/>
      <c r="CU50" s="589"/>
      <c r="CV50" s="589"/>
      <c r="CW50" s="589"/>
      <c r="CX50" s="589"/>
      <c r="CY50" s="589"/>
      <c r="CZ50" s="589"/>
      <c r="DA50" s="589"/>
      <c r="DB50" s="590"/>
      <c r="DC50" s="589"/>
      <c r="DD50" s="592"/>
      <c r="DE50" s="592"/>
      <c r="DF50" s="592"/>
      <c r="DG50" s="592"/>
    </row>
    <row r="51" spans="1:111" ht="17.25" customHeight="1">
      <c r="A51" s="615" t="s">
        <v>449</v>
      </c>
      <c r="B51" s="506" t="s">
        <v>201</v>
      </c>
      <c r="C51" s="561">
        <v>38593.247237861709</v>
      </c>
      <c r="D51" s="561">
        <v>38677.340497140096</v>
      </c>
      <c r="E51" s="561">
        <v>42843.641158210005</v>
      </c>
      <c r="F51" s="562">
        <v>65483.236434659811</v>
      </c>
      <c r="G51" s="561">
        <v>64657.918560286758</v>
      </c>
      <c r="H51" s="563">
        <v>64909.87494291264</v>
      </c>
      <c r="I51" s="561">
        <v>66614.03196911265</v>
      </c>
      <c r="J51" s="561">
        <v>61194.403880325684</v>
      </c>
      <c r="K51" s="561">
        <v>61153.779540520707</v>
      </c>
      <c r="L51" s="561">
        <v>63267.283073639701</v>
      </c>
      <c r="M51" s="562">
        <v>68506.473766113093</v>
      </c>
      <c r="N51" s="561">
        <v>81825.475170299338</v>
      </c>
      <c r="O51" s="561">
        <v>73897.512442902123</v>
      </c>
      <c r="P51" s="561">
        <v>80482.069269630156</v>
      </c>
      <c r="Q51" s="561">
        <v>84050.252673433017</v>
      </c>
      <c r="R51" s="561">
        <v>83508.332175396252</v>
      </c>
      <c r="S51" s="561">
        <v>86283.661007009461</v>
      </c>
      <c r="T51" s="561">
        <v>84335.767344295877</v>
      </c>
      <c r="U51" s="561">
        <v>87801.587539537431</v>
      </c>
      <c r="V51" s="561">
        <v>84138.146538588568</v>
      </c>
      <c r="W51" s="561">
        <v>83924.254523185446</v>
      </c>
      <c r="X51" s="561">
        <v>89536.739291579681</v>
      </c>
      <c r="Y51" s="561">
        <v>88898.621396624178</v>
      </c>
      <c r="Z51" s="561">
        <v>97270.407194049927</v>
      </c>
      <c r="AA51" s="561">
        <v>105709.30663084517</v>
      </c>
      <c r="AB51" s="561">
        <v>92965.195511556536</v>
      </c>
      <c r="AC51" s="561">
        <v>99661.822357810452</v>
      </c>
      <c r="AD51" s="561">
        <v>103050.03455237173</v>
      </c>
      <c r="AE51" s="507">
        <v>94890.696139107196</v>
      </c>
      <c r="AF51" s="507">
        <v>98491.443921532758</v>
      </c>
      <c r="AG51" s="588">
        <v>100097.47735002411</v>
      </c>
      <c r="AH51" s="561">
        <v>96837.04364484665</v>
      </c>
      <c r="AI51" s="561">
        <v>98964.390651508802</v>
      </c>
      <c r="AJ51" s="561">
        <v>117346.8929578658</v>
      </c>
      <c r="AK51" s="561">
        <v>111275.61328789066</v>
      </c>
      <c r="AL51" s="561">
        <v>107262.44080956784</v>
      </c>
      <c r="AM51" s="561">
        <v>113670.27935133062</v>
      </c>
      <c r="AN51" s="561">
        <v>113755.21719033859</v>
      </c>
      <c r="AO51" s="561">
        <v>117193.49835107665</v>
      </c>
      <c r="AP51" s="561">
        <v>114680.19077415405</v>
      </c>
      <c r="AQ51" s="561">
        <v>123147.90621819874</v>
      </c>
      <c r="AR51" s="561">
        <v>119425.2267136252</v>
      </c>
      <c r="AS51" s="561">
        <v>118576.46671077813</v>
      </c>
      <c r="AT51" s="561">
        <v>116573.48517141373</v>
      </c>
      <c r="AU51" s="561">
        <v>120426.57360885096</v>
      </c>
      <c r="AV51" s="561">
        <v>116359.87033590101</v>
      </c>
      <c r="AW51" s="561">
        <v>105825.28699763148</v>
      </c>
      <c r="AX51" s="561">
        <v>98288.130353572473</v>
      </c>
      <c r="AY51" s="561">
        <v>104969.86663035757</v>
      </c>
      <c r="AZ51" s="561">
        <v>103948.52686116811</v>
      </c>
      <c r="BA51" s="561">
        <v>106507.97710862385</v>
      </c>
      <c r="BB51" s="561">
        <v>105168.80115035707</v>
      </c>
      <c r="BC51" s="561">
        <v>103289.30802621595</v>
      </c>
      <c r="BD51" s="561">
        <v>101209.88974647276</v>
      </c>
      <c r="BE51" s="561">
        <v>101802.88519657716</v>
      </c>
      <c r="BF51" s="561">
        <v>102215.43641454133</v>
      </c>
      <c r="BG51" s="561">
        <v>103186.64767693872</v>
      </c>
      <c r="BH51" s="561">
        <v>98237.147598277501</v>
      </c>
      <c r="BI51" s="561">
        <v>110456.56631133109</v>
      </c>
      <c r="BJ51" s="561">
        <v>117905.54553182973</v>
      </c>
      <c r="BK51" s="561">
        <v>116040.77335440496</v>
      </c>
      <c r="BL51" s="561">
        <v>111607.27794559913</v>
      </c>
      <c r="BM51" s="561">
        <v>120807.88255158193</v>
      </c>
      <c r="BN51" s="561">
        <v>118421.7534043886</v>
      </c>
      <c r="BO51" s="561">
        <v>113453.92012670453</v>
      </c>
      <c r="BP51" s="561">
        <v>111410.28450875383</v>
      </c>
      <c r="BQ51" s="561">
        <v>108772.31658004419</v>
      </c>
      <c r="BR51" s="561">
        <v>100975.44984973417</v>
      </c>
      <c r="BS51" s="561">
        <v>103454.89570334017</v>
      </c>
      <c r="BT51" s="561">
        <v>99451.910636502347</v>
      </c>
      <c r="BU51" s="561">
        <v>112738.19159063847</v>
      </c>
      <c r="BV51" s="561">
        <v>92730.008417822915</v>
      </c>
      <c r="BW51" s="561">
        <v>101962.05765910193</v>
      </c>
      <c r="BX51" s="561">
        <v>110765.08047791531</v>
      </c>
      <c r="BY51" s="561">
        <v>111531.95376658885</v>
      </c>
      <c r="BZ51" s="561">
        <v>124500.70438389295</v>
      </c>
      <c r="CA51" s="561">
        <v>128817.85302633214</v>
      </c>
      <c r="CB51" s="561">
        <v>119372.22481696228</v>
      </c>
      <c r="CC51" s="561">
        <v>130596.76080115068</v>
      </c>
      <c r="CD51" s="561">
        <v>133632.61062397828</v>
      </c>
      <c r="CE51" s="561">
        <v>130688.20569288245</v>
      </c>
      <c r="CF51" s="561">
        <v>122836.55612158577</v>
      </c>
      <c r="CG51" s="561">
        <v>124753.3283890309</v>
      </c>
      <c r="CH51" s="561">
        <v>118691.79673997832</v>
      </c>
      <c r="CI51" s="561">
        <v>127483.06080769184</v>
      </c>
      <c r="CJ51" s="561">
        <v>128990.12625627106</v>
      </c>
      <c r="CK51" s="561">
        <v>123734.53352169989</v>
      </c>
      <c r="CL51" s="561">
        <v>127917.19779857068</v>
      </c>
      <c r="CM51" s="561">
        <v>124318.47468098615</v>
      </c>
      <c r="CN51" s="561">
        <v>129666.95852809249</v>
      </c>
      <c r="CO51" s="561">
        <v>110358.23086029646</v>
      </c>
      <c r="CP51" s="561">
        <v>101027.91452672864</v>
      </c>
      <c r="CQ51" s="561">
        <v>94486.307687178443</v>
      </c>
      <c r="CR51" s="561">
        <v>98994.926734894529</v>
      </c>
      <c r="CS51" s="561">
        <v>119669.25134560544</v>
      </c>
      <c r="CT51" s="561">
        <v>112193.33946003798</v>
      </c>
      <c r="CU51" s="561">
        <v>113894.3952691341</v>
      </c>
      <c r="CV51" s="561">
        <v>120406.59304772885</v>
      </c>
      <c r="CW51" s="561">
        <v>116101.81193159243</v>
      </c>
      <c r="CX51" s="561">
        <v>115245.58941464416</v>
      </c>
      <c r="CY51" s="561">
        <v>116335.2518167284</v>
      </c>
      <c r="CZ51" s="561">
        <v>130861.25681762684</v>
      </c>
      <c r="DA51" s="561">
        <v>111386.08029227542</v>
      </c>
      <c r="DB51" s="562">
        <v>113765.48877805106</v>
      </c>
      <c r="DC51" s="561">
        <v>112455.14903501561</v>
      </c>
      <c r="DD51" s="507">
        <v>126395.53454864303</v>
      </c>
      <c r="DE51" s="507">
        <v>124179.88455053105</v>
      </c>
      <c r="DF51" s="507">
        <v>149385.98101848501</v>
      </c>
      <c r="DG51" s="507">
        <v>141377.18825667602</v>
      </c>
    </row>
    <row r="52" spans="1:111" ht="17.25" customHeight="1">
      <c r="A52" s="616"/>
      <c r="B52" s="532"/>
      <c r="C52" s="589"/>
      <c r="D52" s="589"/>
      <c r="E52" s="589"/>
      <c r="F52" s="590"/>
      <c r="G52" s="589"/>
      <c r="H52" s="591"/>
      <c r="I52" s="589"/>
      <c r="J52" s="589"/>
      <c r="K52" s="589"/>
      <c r="L52" s="589"/>
      <c r="M52" s="590"/>
      <c r="N52" s="589"/>
      <c r="O52" s="589"/>
      <c r="P52" s="589"/>
      <c r="Q52" s="589"/>
      <c r="R52" s="589"/>
      <c r="S52" s="589"/>
      <c r="T52" s="589"/>
      <c r="U52" s="589"/>
      <c r="V52" s="589"/>
      <c r="W52" s="589"/>
      <c r="X52" s="589"/>
      <c r="Y52" s="589"/>
      <c r="Z52" s="589"/>
      <c r="AA52" s="589"/>
      <c r="AB52" s="589"/>
      <c r="AC52" s="589"/>
      <c r="AD52" s="589"/>
      <c r="AE52" s="592"/>
      <c r="AF52" s="592"/>
      <c r="AG52" s="593"/>
      <c r="AH52" s="589"/>
      <c r="AI52" s="589"/>
      <c r="AJ52" s="589"/>
      <c r="AK52" s="589"/>
      <c r="AL52" s="589"/>
      <c r="AM52" s="589"/>
      <c r="AN52" s="589"/>
      <c r="AO52" s="589"/>
      <c r="AP52" s="589"/>
      <c r="AQ52" s="589"/>
      <c r="AR52" s="589"/>
      <c r="AS52" s="589"/>
      <c r="AT52" s="589"/>
      <c r="AU52" s="589"/>
      <c r="AV52" s="589"/>
      <c r="AW52" s="589"/>
      <c r="AX52" s="589"/>
      <c r="AY52" s="589"/>
      <c r="AZ52" s="589"/>
      <c r="BA52" s="589"/>
      <c r="BB52" s="589"/>
      <c r="BC52" s="589"/>
      <c r="BD52" s="589"/>
      <c r="BE52" s="589"/>
      <c r="BF52" s="589"/>
      <c r="BG52" s="589"/>
      <c r="BH52" s="589"/>
      <c r="BI52" s="589"/>
      <c r="BJ52" s="589"/>
      <c r="BK52" s="589"/>
      <c r="BL52" s="589"/>
      <c r="BM52" s="589"/>
      <c r="BN52" s="589"/>
      <c r="BO52" s="589"/>
      <c r="BP52" s="589"/>
      <c r="BQ52" s="589"/>
      <c r="BR52" s="589"/>
      <c r="BS52" s="589"/>
      <c r="BT52" s="589"/>
      <c r="BU52" s="589"/>
      <c r="BV52" s="589"/>
      <c r="BW52" s="589"/>
      <c r="BX52" s="589"/>
      <c r="BY52" s="589"/>
      <c r="BZ52" s="589"/>
      <c r="CA52" s="589"/>
      <c r="CB52" s="589"/>
      <c r="CC52" s="589"/>
      <c r="CD52" s="589"/>
      <c r="CE52" s="589"/>
      <c r="CF52" s="589"/>
      <c r="CG52" s="589"/>
      <c r="CH52" s="589"/>
      <c r="CI52" s="589"/>
      <c r="CJ52" s="589"/>
      <c r="CK52" s="589"/>
      <c r="CL52" s="589"/>
      <c r="CM52" s="589"/>
      <c r="CN52" s="589"/>
      <c r="CO52" s="589"/>
      <c r="CP52" s="589"/>
      <c r="CQ52" s="589"/>
      <c r="CR52" s="589"/>
      <c r="CS52" s="589"/>
      <c r="CT52" s="589"/>
      <c r="CU52" s="589"/>
      <c r="CV52" s="589"/>
      <c r="CW52" s="589"/>
      <c r="CX52" s="589"/>
      <c r="CY52" s="589"/>
      <c r="CZ52" s="589"/>
      <c r="DA52" s="589"/>
      <c r="DB52" s="590"/>
      <c r="DC52" s="589"/>
      <c r="DD52" s="592"/>
      <c r="DE52" s="592"/>
      <c r="DF52" s="592"/>
      <c r="DG52" s="592"/>
    </row>
    <row r="53" spans="1:111" ht="17.25" customHeight="1">
      <c r="A53" s="615" t="s">
        <v>450</v>
      </c>
      <c r="B53" s="506" t="s">
        <v>421</v>
      </c>
      <c r="C53" s="561">
        <v>0</v>
      </c>
      <c r="D53" s="561">
        <v>0</v>
      </c>
      <c r="E53" s="561">
        <v>0</v>
      </c>
      <c r="F53" s="562">
        <v>0</v>
      </c>
      <c r="G53" s="561">
        <v>0</v>
      </c>
      <c r="H53" s="563">
        <v>0</v>
      </c>
      <c r="I53" s="561">
        <v>0</v>
      </c>
      <c r="J53" s="561">
        <v>0</v>
      </c>
      <c r="K53" s="561">
        <v>0</v>
      </c>
      <c r="L53" s="561">
        <v>0</v>
      </c>
      <c r="M53" s="562">
        <v>0</v>
      </c>
      <c r="N53" s="561">
        <v>0</v>
      </c>
      <c r="O53" s="561">
        <v>0</v>
      </c>
      <c r="P53" s="561">
        <v>0</v>
      </c>
      <c r="Q53" s="561">
        <v>0</v>
      </c>
      <c r="R53" s="561">
        <v>0</v>
      </c>
      <c r="S53" s="561">
        <v>0</v>
      </c>
      <c r="T53" s="561">
        <v>0</v>
      </c>
      <c r="U53" s="561">
        <v>0</v>
      </c>
      <c r="V53" s="561">
        <v>0</v>
      </c>
      <c r="W53" s="561">
        <v>0</v>
      </c>
      <c r="X53" s="561">
        <v>0</v>
      </c>
      <c r="Y53" s="561">
        <v>0</v>
      </c>
      <c r="Z53" s="561">
        <v>0</v>
      </c>
      <c r="AA53" s="561">
        <v>0</v>
      </c>
      <c r="AB53" s="561">
        <v>0</v>
      </c>
      <c r="AC53" s="561">
        <v>0</v>
      </c>
      <c r="AD53" s="561">
        <v>0</v>
      </c>
      <c r="AE53" s="507">
        <v>0</v>
      </c>
      <c r="AF53" s="507">
        <v>0</v>
      </c>
      <c r="AG53" s="588">
        <v>0</v>
      </c>
      <c r="AH53" s="561">
        <v>0</v>
      </c>
      <c r="AI53" s="561">
        <v>0</v>
      </c>
      <c r="AJ53" s="561">
        <v>0</v>
      </c>
      <c r="AK53" s="561">
        <v>0</v>
      </c>
      <c r="AL53" s="561">
        <v>0</v>
      </c>
      <c r="AM53" s="561">
        <v>0</v>
      </c>
      <c r="AN53" s="561">
        <v>0</v>
      </c>
      <c r="AO53" s="561">
        <v>0</v>
      </c>
      <c r="AP53" s="561">
        <v>0</v>
      </c>
      <c r="AQ53" s="561">
        <v>0</v>
      </c>
      <c r="AR53" s="561">
        <v>0</v>
      </c>
      <c r="AS53" s="561">
        <v>0</v>
      </c>
      <c r="AT53" s="561">
        <v>0</v>
      </c>
      <c r="AU53" s="561">
        <v>0</v>
      </c>
      <c r="AV53" s="561">
        <v>0</v>
      </c>
      <c r="AW53" s="561">
        <v>0</v>
      </c>
      <c r="AX53" s="561">
        <v>0</v>
      </c>
      <c r="AY53" s="561">
        <v>0</v>
      </c>
      <c r="AZ53" s="561">
        <v>0</v>
      </c>
      <c r="BA53" s="561">
        <v>0</v>
      </c>
      <c r="BB53" s="561">
        <v>0</v>
      </c>
      <c r="BC53" s="561">
        <v>0</v>
      </c>
      <c r="BD53" s="561">
        <v>0</v>
      </c>
      <c r="BE53" s="561">
        <v>0</v>
      </c>
      <c r="BF53" s="561">
        <v>0</v>
      </c>
      <c r="BG53" s="561">
        <v>0</v>
      </c>
      <c r="BH53" s="561">
        <v>0</v>
      </c>
      <c r="BI53" s="561">
        <v>0</v>
      </c>
      <c r="BJ53" s="561">
        <v>0</v>
      </c>
      <c r="BK53" s="561">
        <v>0</v>
      </c>
      <c r="BL53" s="561">
        <v>0</v>
      </c>
      <c r="BM53" s="561">
        <v>0</v>
      </c>
      <c r="BN53" s="561">
        <v>0</v>
      </c>
      <c r="BO53" s="561">
        <v>0</v>
      </c>
      <c r="BP53" s="561">
        <v>0</v>
      </c>
      <c r="BQ53" s="561">
        <v>0</v>
      </c>
      <c r="BR53" s="561">
        <v>0</v>
      </c>
      <c r="BS53" s="561">
        <v>0</v>
      </c>
      <c r="BT53" s="561">
        <v>0</v>
      </c>
      <c r="BU53" s="561">
        <v>0</v>
      </c>
      <c r="BV53" s="561">
        <v>0</v>
      </c>
      <c r="BW53" s="561">
        <v>0</v>
      </c>
      <c r="BX53" s="561">
        <v>0</v>
      </c>
      <c r="BY53" s="561">
        <v>0</v>
      </c>
      <c r="BZ53" s="561">
        <v>0</v>
      </c>
      <c r="CA53" s="561">
        <v>0</v>
      </c>
      <c r="CB53" s="561">
        <v>0</v>
      </c>
      <c r="CC53" s="561">
        <v>0</v>
      </c>
      <c r="CD53" s="561">
        <v>0</v>
      </c>
      <c r="CE53" s="561">
        <v>0</v>
      </c>
      <c r="CF53" s="561">
        <v>0</v>
      </c>
      <c r="CG53" s="561">
        <v>0</v>
      </c>
      <c r="CH53" s="561">
        <v>0</v>
      </c>
      <c r="CI53" s="561">
        <v>0</v>
      </c>
      <c r="CJ53" s="561">
        <v>0</v>
      </c>
      <c r="CK53" s="561">
        <v>0</v>
      </c>
      <c r="CL53" s="561">
        <v>0</v>
      </c>
      <c r="CM53" s="561">
        <v>0</v>
      </c>
      <c r="CN53" s="561">
        <v>0</v>
      </c>
      <c r="CO53" s="561">
        <v>0</v>
      </c>
      <c r="CP53" s="561">
        <v>0</v>
      </c>
      <c r="CQ53" s="561">
        <v>0</v>
      </c>
      <c r="CR53" s="561">
        <v>0</v>
      </c>
      <c r="CS53" s="561">
        <v>0</v>
      </c>
      <c r="CT53" s="561">
        <v>0</v>
      </c>
      <c r="CU53" s="561">
        <v>0</v>
      </c>
      <c r="CV53" s="561">
        <v>0</v>
      </c>
      <c r="CW53" s="561">
        <v>0</v>
      </c>
      <c r="CX53" s="561">
        <v>0</v>
      </c>
      <c r="CY53" s="561">
        <v>0</v>
      </c>
      <c r="CZ53" s="561">
        <v>0</v>
      </c>
      <c r="DA53" s="561">
        <v>0</v>
      </c>
      <c r="DB53" s="562">
        <v>0</v>
      </c>
      <c r="DC53" s="561">
        <v>0</v>
      </c>
      <c r="DD53" s="507">
        <v>0</v>
      </c>
      <c r="DE53" s="507">
        <v>0</v>
      </c>
      <c r="DF53" s="507">
        <v>0</v>
      </c>
      <c r="DG53" s="507">
        <v>0</v>
      </c>
    </row>
    <row r="54" spans="1:111" ht="17.25" customHeight="1">
      <c r="A54" s="616"/>
      <c r="B54" s="510"/>
      <c r="C54" s="589"/>
      <c r="D54" s="589"/>
      <c r="E54" s="589"/>
      <c r="F54" s="590"/>
      <c r="G54" s="589"/>
      <c r="H54" s="591"/>
      <c r="I54" s="589"/>
      <c r="J54" s="589"/>
      <c r="K54" s="589"/>
      <c r="L54" s="589"/>
      <c r="M54" s="590"/>
      <c r="N54" s="589"/>
      <c r="O54" s="589"/>
      <c r="P54" s="589"/>
      <c r="Q54" s="589"/>
      <c r="R54" s="589"/>
      <c r="S54" s="589"/>
      <c r="T54" s="589"/>
      <c r="U54" s="589"/>
      <c r="V54" s="589"/>
      <c r="W54" s="589"/>
      <c r="X54" s="589"/>
      <c r="Y54" s="589"/>
      <c r="Z54" s="589"/>
      <c r="AA54" s="589"/>
      <c r="AB54" s="589"/>
      <c r="AC54" s="589"/>
      <c r="AD54" s="589"/>
      <c r="AE54" s="592"/>
      <c r="AF54" s="592"/>
      <c r="AG54" s="593"/>
      <c r="AH54" s="589"/>
      <c r="AI54" s="589"/>
      <c r="AJ54" s="589"/>
      <c r="AK54" s="589"/>
      <c r="AL54" s="589"/>
      <c r="AM54" s="589"/>
      <c r="AN54" s="589"/>
      <c r="AO54" s="589"/>
      <c r="AP54" s="589"/>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89"/>
      <c r="CJ54" s="589"/>
      <c r="CK54" s="589"/>
      <c r="CL54" s="589"/>
      <c r="CM54" s="589"/>
      <c r="CN54" s="589"/>
      <c r="CO54" s="589"/>
      <c r="CP54" s="589"/>
      <c r="CQ54" s="589"/>
      <c r="CR54" s="589"/>
      <c r="CS54" s="589"/>
      <c r="CT54" s="589"/>
      <c r="CU54" s="589"/>
      <c r="CV54" s="589"/>
      <c r="CW54" s="589"/>
      <c r="CX54" s="589"/>
      <c r="CY54" s="589"/>
      <c r="CZ54" s="589"/>
      <c r="DA54" s="589"/>
      <c r="DB54" s="590"/>
      <c r="DC54" s="589"/>
      <c r="DD54" s="592"/>
      <c r="DE54" s="592"/>
      <c r="DF54" s="592"/>
      <c r="DG54" s="592"/>
    </row>
    <row r="55" spans="1:111" ht="17.25" customHeight="1">
      <c r="A55" s="615" t="s">
        <v>451</v>
      </c>
      <c r="B55" s="506" t="s">
        <v>423</v>
      </c>
      <c r="C55" s="561">
        <v>29432.767018766855</v>
      </c>
      <c r="D55" s="561">
        <v>34260.080803627447</v>
      </c>
      <c r="E55" s="561">
        <v>33736.445753137697</v>
      </c>
      <c r="F55" s="562">
        <v>30869.665977368513</v>
      </c>
      <c r="G55" s="561">
        <v>33148.508443650164</v>
      </c>
      <c r="H55" s="563">
        <v>32103.114393552522</v>
      </c>
      <c r="I55" s="561">
        <v>30169.13539053157</v>
      </c>
      <c r="J55" s="561">
        <v>39529.378811924573</v>
      </c>
      <c r="K55" s="561">
        <v>40813.964159177995</v>
      </c>
      <c r="L55" s="561">
        <v>38298.472398335762</v>
      </c>
      <c r="M55" s="562">
        <v>42561.914226997869</v>
      </c>
      <c r="N55" s="561">
        <v>39547.513947527019</v>
      </c>
      <c r="O55" s="561">
        <v>34322.485455183065</v>
      </c>
      <c r="P55" s="561">
        <v>23458.447846964125</v>
      </c>
      <c r="Q55" s="561">
        <v>22783.893341378978</v>
      </c>
      <c r="R55" s="561">
        <v>28642.687883647355</v>
      </c>
      <c r="S55" s="561">
        <v>25554.180948222551</v>
      </c>
      <c r="T55" s="561">
        <v>28986.653275119956</v>
      </c>
      <c r="U55" s="561">
        <v>23144.521802052503</v>
      </c>
      <c r="V55" s="561">
        <v>24778.631760438147</v>
      </c>
      <c r="W55" s="561">
        <v>25578.83426078095</v>
      </c>
      <c r="X55" s="561">
        <v>28469.195348005636</v>
      </c>
      <c r="Y55" s="561">
        <v>35207.911461794189</v>
      </c>
      <c r="Z55" s="561">
        <v>29022.884805908736</v>
      </c>
      <c r="AA55" s="561">
        <v>39967.940543216449</v>
      </c>
      <c r="AB55" s="561">
        <v>38952.669907664116</v>
      </c>
      <c r="AC55" s="561">
        <v>35611.417045563867</v>
      </c>
      <c r="AD55" s="561">
        <v>33834.882104414784</v>
      </c>
      <c r="AE55" s="507">
        <v>39070.798615132757</v>
      </c>
      <c r="AF55" s="507">
        <v>34309.875560910383</v>
      </c>
      <c r="AG55" s="588">
        <v>30761.533252157133</v>
      </c>
      <c r="AH55" s="561">
        <v>30209.616689337126</v>
      </c>
      <c r="AI55" s="561">
        <v>44387.928754471606</v>
      </c>
      <c r="AJ55" s="561">
        <v>40145.866677087492</v>
      </c>
      <c r="AK55" s="561">
        <v>37941.127663167666</v>
      </c>
      <c r="AL55" s="561">
        <v>40551.299268888004</v>
      </c>
      <c r="AM55" s="561">
        <v>43238.137322506242</v>
      </c>
      <c r="AN55" s="561">
        <v>42618.980175564284</v>
      </c>
      <c r="AO55" s="561">
        <v>44457.242976324567</v>
      </c>
      <c r="AP55" s="561">
        <v>39691.1360705482</v>
      </c>
      <c r="AQ55" s="561">
        <v>59777.699357459212</v>
      </c>
      <c r="AR55" s="561">
        <v>44315.485858984328</v>
      </c>
      <c r="AS55" s="561">
        <v>50022.483865121387</v>
      </c>
      <c r="AT55" s="561">
        <v>45071.427850664673</v>
      </c>
      <c r="AU55" s="561">
        <v>44825.023681978993</v>
      </c>
      <c r="AV55" s="561">
        <v>45723.11009277204</v>
      </c>
      <c r="AW55" s="561">
        <v>56623.470659186809</v>
      </c>
      <c r="AX55" s="561">
        <v>58954.183824958382</v>
      </c>
      <c r="AY55" s="561">
        <v>71511.057699533572</v>
      </c>
      <c r="AZ55" s="561">
        <v>90538.775278142028</v>
      </c>
      <c r="BA55" s="561">
        <v>96306.272537237586</v>
      </c>
      <c r="BB55" s="561">
        <v>77032.912200377803</v>
      </c>
      <c r="BC55" s="561">
        <v>81370.840048575323</v>
      </c>
      <c r="BD55" s="561">
        <v>78336.510964634406</v>
      </c>
      <c r="BE55" s="561">
        <v>99663.735643111504</v>
      </c>
      <c r="BF55" s="561">
        <v>111707.05893216262</v>
      </c>
      <c r="BG55" s="561">
        <v>123272.0779647421</v>
      </c>
      <c r="BH55" s="561">
        <v>137833.12623258727</v>
      </c>
      <c r="BI55" s="561">
        <v>143953.15384429533</v>
      </c>
      <c r="BJ55" s="561">
        <v>178862.29597032876</v>
      </c>
      <c r="BK55" s="561">
        <v>169154.96589423789</v>
      </c>
      <c r="BL55" s="561">
        <v>160607.1231365795</v>
      </c>
      <c r="BM55" s="561">
        <v>164575.23255486466</v>
      </c>
      <c r="BN55" s="561">
        <v>179484.48929827844</v>
      </c>
      <c r="BO55" s="561">
        <v>196442.74826099002</v>
      </c>
      <c r="BP55" s="561">
        <v>164531.17855713627</v>
      </c>
      <c r="BQ55" s="561">
        <v>204934.24004247849</v>
      </c>
      <c r="BR55" s="561">
        <v>232314.69118893062</v>
      </c>
      <c r="BS55" s="561">
        <v>236566.50196854505</v>
      </c>
      <c r="BT55" s="561">
        <v>228442.52946675199</v>
      </c>
      <c r="BU55" s="561">
        <v>262787.18552714447</v>
      </c>
      <c r="BV55" s="561">
        <v>225701.43862436843</v>
      </c>
      <c r="BW55" s="561">
        <v>242684.51972220954</v>
      </c>
      <c r="BX55" s="561">
        <v>233419.56582643723</v>
      </c>
      <c r="BY55" s="561">
        <v>222553.99565980441</v>
      </c>
      <c r="BZ55" s="561">
        <v>280216.22471588483</v>
      </c>
      <c r="CA55" s="561">
        <v>258504.49647729652</v>
      </c>
      <c r="CB55" s="561">
        <v>238443.67931575485</v>
      </c>
      <c r="CC55" s="561">
        <v>291258.19929144433</v>
      </c>
      <c r="CD55" s="561">
        <v>331551.52239167277</v>
      </c>
      <c r="CE55" s="561">
        <v>365150.9206607173</v>
      </c>
      <c r="CF55" s="561">
        <v>331744.64526177425</v>
      </c>
      <c r="CG55" s="561">
        <v>306206.7874403724</v>
      </c>
      <c r="CH55" s="561">
        <v>326287.14330588136</v>
      </c>
      <c r="CI55" s="561">
        <v>345566.76871943782</v>
      </c>
      <c r="CJ55" s="561">
        <v>355620.70449500385</v>
      </c>
      <c r="CK55" s="561">
        <v>344224.6446809328</v>
      </c>
      <c r="CL55" s="561">
        <v>351250.84561238473</v>
      </c>
      <c r="CM55" s="561">
        <v>330178.31108843983</v>
      </c>
      <c r="CN55" s="561">
        <v>287721.32492861018</v>
      </c>
      <c r="CO55" s="561">
        <v>279939.08250933321</v>
      </c>
      <c r="CP55" s="561">
        <v>296836.98913296411</v>
      </c>
      <c r="CQ55" s="561">
        <v>297892.84432366665</v>
      </c>
      <c r="CR55" s="561">
        <v>307347.90835321526</v>
      </c>
      <c r="CS55" s="561">
        <v>284028.29083379696</v>
      </c>
      <c r="CT55" s="561">
        <v>296186.66098618211</v>
      </c>
      <c r="CU55" s="561">
        <v>294401.09124277084</v>
      </c>
      <c r="CV55" s="561">
        <v>313836.05786084075</v>
      </c>
      <c r="CW55" s="561">
        <v>367269.29246765771</v>
      </c>
      <c r="CX55" s="561">
        <v>360956.46484693687</v>
      </c>
      <c r="CY55" s="561">
        <v>310919.57905538724</v>
      </c>
      <c r="CZ55" s="561">
        <v>288355.94132487784</v>
      </c>
      <c r="DA55" s="561">
        <v>244096.76228233028</v>
      </c>
      <c r="DB55" s="562">
        <v>226887.54080734405</v>
      </c>
      <c r="DC55" s="561">
        <v>235220.8493683727</v>
      </c>
      <c r="DD55" s="507">
        <v>223332.05145226975</v>
      </c>
      <c r="DE55" s="507">
        <v>213015.07227861648</v>
      </c>
      <c r="DF55" s="507">
        <v>208067.28408345862</v>
      </c>
      <c r="DG55" s="507">
        <v>198664.07230677677</v>
      </c>
    </row>
    <row r="56" spans="1:111" ht="17.25" customHeight="1">
      <c r="A56" s="616"/>
      <c r="B56" s="510"/>
      <c r="C56" s="589"/>
      <c r="D56" s="589"/>
      <c r="E56" s="589"/>
      <c r="F56" s="590"/>
      <c r="G56" s="589"/>
      <c r="H56" s="591"/>
      <c r="I56" s="589"/>
      <c r="J56" s="589"/>
      <c r="K56" s="589"/>
      <c r="L56" s="589"/>
      <c r="M56" s="590"/>
      <c r="N56" s="589"/>
      <c r="O56" s="589"/>
      <c r="P56" s="589"/>
      <c r="Q56" s="589"/>
      <c r="R56" s="589"/>
      <c r="S56" s="589"/>
      <c r="T56" s="589"/>
      <c r="U56" s="589"/>
      <c r="V56" s="589"/>
      <c r="W56" s="589"/>
      <c r="X56" s="589"/>
      <c r="Y56" s="589"/>
      <c r="Z56" s="589"/>
      <c r="AA56" s="589"/>
      <c r="AB56" s="589"/>
      <c r="AC56" s="589"/>
      <c r="AD56" s="589"/>
      <c r="AE56" s="592"/>
      <c r="AF56" s="592"/>
      <c r="AG56" s="593"/>
      <c r="AH56" s="589"/>
      <c r="AI56" s="589"/>
      <c r="AJ56" s="589"/>
      <c r="AK56" s="589"/>
      <c r="AL56" s="589"/>
      <c r="AM56" s="589"/>
      <c r="AN56" s="589"/>
      <c r="AO56" s="589"/>
      <c r="AP56" s="589"/>
      <c r="AQ56" s="589"/>
      <c r="AR56" s="589"/>
      <c r="AS56" s="589"/>
      <c r="AT56" s="589"/>
      <c r="AU56" s="589"/>
      <c r="AV56" s="589"/>
      <c r="AW56" s="589"/>
      <c r="AX56" s="589"/>
      <c r="AY56" s="589"/>
      <c r="AZ56" s="589"/>
      <c r="BA56" s="589"/>
      <c r="BB56" s="589"/>
      <c r="BC56" s="589"/>
      <c r="BD56" s="589"/>
      <c r="BE56" s="589"/>
      <c r="BF56" s="589"/>
      <c r="BG56" s="589"/>
      <c r="BH56" s="589"/>
      <c r="BI56" s="589"/>
      <c r="BJ56" s="589"/>
      <c r="BK56" s="589"/>
      <c r="BL56" s="589"/>
      <c r="BM56" s="589"/>
      <c r="BN56" s="589"/>
      <c r="BO56" s="589"/>
      <c r="BP56" s="589"/>
      <c r="BQ56" s="589"/>
      <c r="BR56" s="589"/>
      <c r="BS56" s="589"/>
      <c r="BT56" s="589"/>
      <c r="BU56" s="589"/>
      <c r="BV56" s="589"/>
      <c r="BW56" s="589"/>
      <c r="BX56" s="589"/>
      <c r="BY56" s="589"/>
      <c r="BZ56" s="589"/>
      <c r="CA56" s="589"/>
      <c r="CB56" s="589"/>
      <c r="CC56" s="589"/>
      <c r="CD56" s="589"/>
      <c r="CE56" s="589"/>
      <c r="CF56" s="589"/>
      <c r="CG56" s="589"/>
      <c r="CH56" s="589"/>
      <c r="CI56" s="589"/>
      <c r="CJ56" s="589"/>
      <c r="CK56" s="589"/>
      <c r="CL56" s="589"/>
      <c r="CM56" s="589"/>
      <c r="CN56" s="589"/>
      <c r="CO56" s="589"/>
      <c r="CP56" s="589"/>
      <c r="CQ56" s="589"/>
      <c r="CR56" s="589"/>
      <c r="CS56" s="589"/>
      <c r="CT56" s="589"/>
      <c r="CU56" s="589"/>
      <c r="CV56" s="589"/>
      <c r="CW56" s="589"/>
      <c r="CX56" s="589"/>
      <c r="CY56" s="589"/>
      <c r="CZ56" s="589"/>
      <c r="DA56" s="589"/>
      <c r="DB56" s="590"/>
      <c r="DC56" s="589"/>
      <c r="DD56" s="592"/>
      <c r="DE56" s="592"/>
      <c r="DF56" s="592"/>
      <c r="DG56" s="592"/>
    </row>
    <row r="57" spans="1:111" ht="17.25" customHeight="1">
      <c r="A57" s="615" t="s">
        <v>452</v>
      </c>
      <c r="B57" s="506" t="s">
        <v>453</v>
      </c>
      <c r="C57" s="561">
        <v>16158.678189872391</v>
      </c>
      <c r="D57" s="561">
        <v>15399.666391304083</v>
      </c>
      <c r="E57" s="561">
        <v>22031.435805337154</v>
      </c>
      <c r="F57" s="562">
        <v>21475.643292177294</v>
      </c>
      <c r="G57" s="561">
        <v>20607.766992034929</v>
      </c>
      <c r="H57" s="563">
        <v>19201.823949447185</v>
      </c>
      <c r="I57" s="561">
        <v>17793.633641827717</v>
      </c>
      <c r="J57" s="561">
        <v>19316.304427188974</v>
      </c>
      <c r="K57" s="561">
        <v>20013.990508662733</v>
      </c>
      <c r="L57" s="561">
        <v>20256.913851944213</v>
      </c>
      <c r="M57" s="562">
        <v>19950.461601384475</v>
      </c>
      <c r="N57" s="561">
        <v>20450.920981053732</v>
      </c>
      <c r="O57" s="561">
        <v>19805.145389509093</v>
      </c>
      <c r="P57" s="561">
        <v>21329.915646678241</v>
      </c>
      <c r="Q57" s="561">
        <v>21488.567996316975</v>
      </c>
      <c r="R57" s="561">
        <v>22923.550957587766</v>
      </c>
      <c r="S57" s="561">
        <v>21825.190813529563</v>
      </c>
      <c r="T57" s="561">
        <v>21701.793808469345</v>
      </c>
      <c r="U57" s="561">
        <v>20872.484472240048</v>
      </c>
      <c r="V57" s="561">
        <v>20463.48981438058</v>
      </c>
      <c r="W57" s="561">
        <v>22331.350880751113</v>
      </c>
      <c r="X57" s="561">
        <v>22285.405925518662</v>
      </c>
      <c r="Y57" s="561">
        <v>22020.184815563014</v>
      </c>
      <c r="Z57" s="561">
        <v>25267.34982926305</v>
      </c>
      <c r="AA57" s="561">
        <v>24608.293075993377</v>
      </c>
      <c r="AB57" s="561">
        <v>21855.939058989279</v>
      </c>
      <c r="AC57" s="561">
        <v>24601.761641271045</v>
      </c>
      <c r="AD57" s="561">
        <v>22669.225900420108</v>
      </c>
      <c r="AE57" s="507">
        <v>24127.530389359155</v>
      </c>
      <c r="AF57" s="507">
        <v>23603.189087562012</v>
      </c>
      <c r="AG57" s="588">
        <v>26253.53710648734</v>
      </c>
      <c r="AH57" s="561">
        <v>26265.073123399943</v>
      </c>
      <c r="AI57" s="561">
        <v>25663.53690178521</v>
      </c>
      <c r="AJ57" s="561">
        <v>25332.953733783797</v>
      </c>
      <c r="AK57" s="561">
        <v>25047.975926123618</v>
      </c>
      <c r="AL57" s="561">
        <v>26628.938733172014</v>
      </c>
      <c r="AM57" s="561">
        <v>25493.150156275744</v>
      </c>
      <c r="AN57" s="561">
        <v>25336.709046442629</v>
      </c>
      <c r="AO57" s="561">
        <v>24076.817668915755</v>
      </c>
      <c r="AP57" s="561">
        <v>26978.584588775855</v>
      </c>
      <c r="AQ57" s="561">
        <v>28156.884939248106</v>
      </c>
      <c r="AR57" s="561">
        <v>28644.84748098725</v>
      </c>
      <c r="AS57" s="561">
        <v>30566.384319011457</v>
      </c>
      <c r="AT57" s="561">
        <v>28545.864615857005</v>
      </c>
      <c r="AU57" s="561">
        <v>26934.996123423614</v>
      </c>
      <c r="AV57" s="561">
        <v>25841.93165764619</v>
      </c>
      <c r="AW57" s="561">
        <v>28092.860571302979</v>
      </c>
      <c r="AX57" s="561">
        <v>26292.40951873811</v>
      </c>
      <c r="AY57" s="561">
        <v>28037.893862271598</v>
      </c>
      <c r="AZ57" s="561">
        <v>26860.379091036237</v>
      </c>
      <c r="BA57" s="561">
        <v>30188.881181034689</v>
      </c>
      <c r="BB57" s="561">
        <v>27094.074399699584</v>
      </c>
      <c r="BC57" s="561">
        <v>25315.67576164853</v>
      </c>
      <c r="BD57" s="561">
        <v>26697.460388662541</v>
      </c>
      <c r="BE57" s="561">
        <v>26492.668315637879</v>
      </c>
      <c r="BF57" s="561">
        <v>24927.705293513598</v>
      </c>
      <c r="BG57" s="561">
        <v>26670.992764928367</v>
      </c>
      <c r="BH57" s="561">
        <v>26375.217146415311</v>
      </c>
      <c r="BI57" s="561">
        <v>24820.832289797665</v>
      </c>
      <c r="BJ57" s="561">
        <v>29511.327082950043</v>
      </c>
      <c r="BK57" s="561">
        <v>30383.526504520516</v>
      </c>
      <c r="BL57" s="561">
        <v>28105.254953831773</v>
      </c>
      <c r="BM57" s="561">
        <v>26388.752473113425</v>
      </c>
      <c r="BN57" s="561">
        <v>26902.131664199755</v>
      </c>
      <c r="BO57" s="561">
        <v>31140.300341097565</v>
      </c>
      <c r="BP57" s="561">
        <v>32235.78470779585</v>
      </c>
      <c r="BQ57" s="561">
        <v>32445.356367323093</v>
      </c>
      <c r="BR57" s="561">
        <v>30805.015896943492</v>
      </c>
      <c r="BS57" s="561">
        <v>32671.667518136597</v>
      </c>
      <c r="BT57" s="561">
        <v>43780.854184367941</v>
      </c>
      <c r="BU57" s="561">
        <v>31436.979178190988</v>
      </c>
      <c r="BV57" s="561">
        <v>38380.12334699653</v>
      </c>
      <c r="BW57" s="561">
        <v>36398.612039613196</v>
      </c>
      <c r="BX57" s="561">
        <v>35610.019238602908</v>
      </c>
      <c r="BY57" s="561">
        <v>28220.660586893697</v>
      </c>
      <c r="BZ57" s="561">
        <v>35548.391283481265</v>
      </c>
      <c r="CA57" s="561">
        <v>37072.284151340195</v>
      </c>
      <c r="CB57" s="561">
        <v>38910.345796089772</v>
      </c>
      <c r="CC57" s="561">
        <v>39404.278051939822</v>
      </c>
      <c r="CD57" s="561">
        <v>37722.337078564677</v>
      </c>
      <c r="CE57" s="561">
        <v>38363.013823103916</v>
      </c>
      <c r="CF57" s="561">
        <v>38726.190562285257</v>
      </c>
      <c r="CG57" s="561">
        <v>39682.82334167861</v>
      </c>
      <c r="CH57" s="561">
        <v>46399.182294254191</v>
      </c>
      <c r="CI57" s="561">
        <v>46430.379387273628</v>
      </c>
      <c r="CJ57" s="561">
        <v>41199.290900733613</v>
      </c>
      <c r="CK57" s="561">
        <v>41543.969723707953</v>
      </c>
      <c r="CL57" s="561">
        <v>40483.929504703643</v>
      </c>
      <c r="CM57" s="561">
        <v>40217.169470184948</v>
      </c>
      <c r="CN57" s="561">
        <v>41140.443707170554</v>
      </c>
      <c r="CO57" s="561">
        <v>47446.201200333257</v>
      </c>
      <c r="CP57" s="561">
        <v>46961.57136462153</v>
      </c>
      <c r="CQ57" s="561">
        <v>48254.780355956907</v>
      </c>
      <c r="CR57" s="561">
        <v>46443.40917528428</v>
      </c>
      <c r="CS57" s="561">
        <v>49848.44690615451</v>
      </c>
      <c r="CT57" s="561">
        <v>45063.887441249055</v>
      </c>
      <c r="CU57" s="561">
        <v>46124.190772908441</v>
      </c>
      <c r="CV57" s="561">
        <v>46152.672104306788</v>
      </c>
      <c r="CW57" s="561">
        <v>50117.451247433062</v>
      </c>
      <c r="CX57" s="561">
        <v>51724.260593636587</v>
      </c>
      <c r="CY57" s="561">
        <v>46208.060636966627</v>
      </c>
      <c r="CZ57" s="561">
        <v>39718.043248880866</v>
      </c>
      <c r="DA57" s="561">
        <v>38629.663142935802</v>
      </c>
      <c r="DB57" s="562">
        <v>37955.90510136378</v>
      </c>
      <c r="DC57" s="561">
        <v>37742.235100137405</v>
      </c>
      <c r="DD57" s="507">
        <v>38076.078846724471</v>
      </c>
      <c r="DE57" s="507">
        <v>38609.971275321041</v>
      </c>
      <c r="DF57" s="507">
        <v>38417.566021774794</v>
      </c>
      <c r="DG57" s="507">
        <v>39378.186523585653</v>
      </c>
    </row>
    <row r="58" spans="1:111" ht="17.25" customHeight="1">
      <c r="A58" s="616"/>
      <c r="B58" s="510"/>
      <c r="C58" s="589"/>
      <c r="D58" s="589"/>
      <c r="E58" s="589"/>
      <c r="F58" s="590"/>
      <c r="G58" s="589"/>
      <c r="H58" s="591"/>
      <c r="I58" s="589"/>
      <c r="J58" s="589"/>
      <c r="K58" s="589"/>
      <c r="L58" s="589"/>
      <c r="M58" s="590"/>
      <c r="N58" s="589"/>
      <c r="O58" s="589"/>
      <c r="P58" s="589"/>
      <c r="Q58" s="589"/>
      <c r="R58" s="589"/>
      <c r="S58" s="589"/>
      <c r="T58" s="589"/>
      <c r="U58" s="589"/>
      <c r="V58" s="589"/>
      <c r="W58" s="589"/>
      <c r="X58" s="589"/>
      <c r="Y58" s="589"/>
      <c r="Z58" s="589"/>
      <c r="AA58" s="589"/>
      <c r="AB58" s="589"/>
      <c r="AC58" s="589"/>
      <c r="AD58" s="589"/>
      <c r="AE58" s="592"/>
      <c r="AF58" s="592"/>
      <c r="AG58" s="593"/>
      <c r="AH58" s="589"/>
      <c r="AI58" s="589"/>
      <c r="AJ58" s="589"/>
      <c r="AK58" s="589"/>
      <c r="AL58" s="589"/>
      <c r="AM58" s="589"/>
      <c r="AN58" s="589"/>
      <c r="AO58" s="589"/>
      <c r="AP58" s="589"/>
      <c r="AQ58" s="589"/>
      <c r="AR58" s="589"/>
      <c r="AS58" s="589"/>
      <c r="AT58" s="589"/>
      <c r="AU58" s="589"/>
      <c r="AV58" s="589"/>
      <c r="AW58" s="589"/>
      <c r="AX58" s="589"/>
      <c r="AY58" s="589"/>
      <c r="AZ58" s="589"/>
      <c r="BA58" s="589"/>
      <c r="BB58" s="589"/>
      <c r="BC58" s="589"/>
      <c r="BD58" s="589"/>
      <c r="BE58" s="589"/>
      <c r="BF58" s="589"/>
      <c r="BG58" s="589"/>
      <c r="BH58" s="589"/>
      <c r="BI58" s="589"/>
      <c r="BJ58" s="589"/>
      <c r="BK58" s="589"/>
      <c r="BL58" s="589"/>
      <c r="BM58" s="589"/>
      <c r="BN58" s="589"/>
      <c r="BO58" s="589"/>
      <c r="BP58" s="589"/>
      <c r="BQ58" s="589"/>
      <c r="BR58" s="589"/>
      <c r="BS58" s="589"/>
      <c r="BT58" s="589"/>
      <c r="BU58" s="589"/>
      <c r="BV58" s="589"/>
      <c r="BW58" s="589"/>
      <c r="BX58" s="589"/>
      <c r="BY58" s="589"/>
      <c r="BZ58" s="589"/>
      <c r="CA58" s="589"/>
      <c r="CB58" s="589"/>
      <c r="CC58" s="589"/>
      <c r="CD58" s="589"/>
      <c r="CE58" s="589"/>
      <c r="CF58" s="589"/>
      <c r="CG58" s="589"/>
      <c r="CH58" s="589"/>
      <c r="CI58" s="589"/>
      <c r="CJ58" s="589"/>
      <c r="CK58" s="589"/>
      <c r="CL58" s="589"/>
      <c r="CM58" s="589"/>
      <c r="CN58" s="589"/>
      <c r="CO58" s="589"/>
      <c r="CP58" s="589"/>
      <c r="CQ58" s="589"/>
      <c r="CR58" s="589"/>
      <c r="CS58" s="589"/>
      <c r="CT58" s="589"/>
      <c r="CU58" s="589"/>
      <c r="CV58" s="589"/>
      <c r="CW58" s="589"/>
      <c r="CX58" s="589"/>
      <c r="CY58" s="589"/>
      <c r="CZ58" s="589"/>
      <c r="DA58" s="589"/>
      <c r="DB58" s="590"/>
      <c r="DC58" s="589"/>
      <c r="DD58" s="592"/>
      <c r="DE58" s="592"/>
      <c r="DF58" s="592"/>
      <c r="DG58" s="592"/>
    </row>
    <row r="59" spans="1:111" ht="17.25" customHeight="1">
      <c r="A59" s="615" t="s">
        <v>454</v>
      </c>
      <c r="B59" s="506" t="s">
        <v>419</v>
      </c>
      <c r="C59" s="561">
        <v>40299.377312539364</v>
      </c>
      <c r="D59" s="561">
        <v>40897.174464550713</v>
      </c>
      <c r="E59" s="561">
        <v>41418.046998493701</v>
      </c>
      <c r="F59" s="562">
        <v>41431.841635135694</v>
      </c>
      <c r="G59" s="561">
        <v>41653.852711723099</v>
      </c>
      <c r="H59" s="563">
        <v>42382.352172430445</v>
      </c>
      <c r="I59" s="561">
        <v>42617.348218640211</v>
      </c>
      <c r="J59" s="561">
        <v>43614.156140104787</v>
      </c>
      <c r="K59" s="561">
        <v>43941.573180620879</v>
      </c>
      <c r="L59" s="561">
        <v>43933.029616701744</v>
      </c>
      <c r="M59" s="562">
        <v>44783.080922080873</v>
      </c>
      <c r="N59" s="561">
        <v>44195.840824197207</v>
      </c>
      <c r="O59" s="561">
        <v>43673.261159687172</v>
      </c>
      <c r="P59" s="561">
        <v>45224.515831074161</v>
      </c>
      <c r="Q59" s="561">
        <v>46849.720232299231</v>
      </c>
      <c r="R59" s="561">
        <v>46283.42460264438</v>
      </c>
      <c r="S59" s="561">
        <v>48014.658053635692</v>
      </c>
      <c r="T59" s="561">
        <v>49483.711488206434</v>
      </c>
      <c r="U59" s="561">
        <v>48476.295669645828</v>
      </c>
      <c r="V59" s="561">
        <v>49806.541415925356</v>
      </c>
      <c r="W59" s="561">
        <v>46843.666865092833</v>
      </c>
      <c r="X59" s="561">
        <v>47095.480653384591</v>
      </c>
      <c r="Y59" s="561">
        <v>47921.991783679747</v>
      </c>
      <c r="Z59" s="561">
        <v>48748.689920030221</v>
      </c>
      <c r="AA59" s="561">
        <v>49701.947383272287</v>
      </c>
      <c r="AB59" s="561">
        <v>50225.370442197789</v>
      </c>
      <c r="AC59" s="561">
        <v>50255.092954445507</v>
      </c>
      <c r="AD59" s="561">
        <v>50173.066566671099</v>
      </c>
      <c r="AE59" s="507">
        <v>51646.045959744595</v>
      </c>
      <c r="AF59" s="507">
        <v>52135.052324756274</v>
      </c>
      <c r="AG59" s="588">
        <v>51923.840327734593</v>
      </c>
      <c r="AH59" s="561">
        <v>54290.430311067721</v>
      </c>
      <c r="AI59" s="561">
        <v>54553.47210097991</v>
      </c>
      <c r="AJ59" s="561">
        <v>54781.930404075538</v>
      </c>
      <c r="AK59" s="561">
        <v>56291.891485824599</v>
      </c>
      <c r="AL59" s="561">
        <v>59034.14006419474</v>
      </c>
      <c r="AM59" s="561">
        <v>60336.762547660219</v>
      </c>
      <c r="AN59" s="561">
        <v>58433.737571185309</v>
      </c>
      <c r="AO59" s="561">
        <v>61722.657067999608</v>
      </c>
      <c r="AP59" s="561">
        <v>61121.022388491496</v>
      </c>
      <c r="AQ59" s="561">
        <v>64653.692893753156</v>
      </c>
      <c r="AR59" s="561">
        <v>65938.599478865523</v>
      </c>
      <c r="AS59" s="561">
        <v>67572.644090477799</v>
      </c>
      <c r="AT59" s="561">
        <v>68844.439888866429</v>
      </c>
      <c r="AU59" s="561">
        <v>70619.264637318702</v>
      </c>
      <c r="AV59" s="561">
        <v>71415.300964999711</v>
      </c>
      <c r="AW59" s="561">
        <v>71448.033640741909</v>
      </c>
      <c r="AX59" s="561">
        <v>71317.611680365444</v>
      </c>
      <c r="AY59" s="561">
        <v>71636.339654546551</v>
      </c>
      <c r="AZ59" s="561">
        <v>72364.164940520423</v>
      </c>
      <c r="BA59" s="561">
        <v>72729.831094379726</v>
      </c>
      <c r="BB59" s="561">
        <v>70480.727987459832</v>
      </c>
      <c r="BC59" s="561">
        <v>70526.35235032397</v>
      </c>
      <c r="BD59" s="561">
        <v>70569.078909740943</v>
      </c>
      <c r="BE59" s="561">
        <v>72014.339570399199</v>
      </c>
      <c r="BF59" s="561">
        <v>71967.09499391503</v>
      </c>
      <c r="BG59" s="561">
        <v>73271.353804589948</v>
      </c>
      <c r="BH59" s="561">
        <v>73849.64023806437</v>
      </c>
      <c r="BI59" s="561">
        <v>73862.058317793577</v>
      </c>
      <c r="BJ59" s="561">
        <v>77052.783139840336</v>
      </c>
      <c r="BK59" s="561">
        <v>79057.576617151513</v>
      </c>
      <c r="BL59" s="561">
        <v>77330.420374281064</v>
      </c>
      <c r="BM59" s="561">
        <v>78550.01557674598</v>
      </c>
      <c r="BN59" s="561">
        <v>78280.792370200521</v>
      </c>
      <c r="BO59" s="561">
        <v>79300.377539482477</v>
      </c>
      <c r="BP59" s="561">
        <v>84473.648619102474</v>
      </c>
      <c r="BQ59" s="561">
        <v>85038.856916136458</v>
      </c>
      <c r="BR59" s="561">
        <v>85694.832314834071</v>
      </c>
      <c r="BS59" s="561">
        <v>86701.463298792383</v>
      </c>
      <c r="BT59" s="561">
        <v>87084.157034179327</v>
      </c>
      <c r="BU59" s="561">
        <v>87096.469192007018</v>
      </c>
      <c r="BV59" s="561">
        <v>87336.869322237704</v>
      </c>
      <c r="BW59" s="561">
        <v>89036.787249494402</v>
      </c>
      <c r="BX59" s="561">
        <v>89235.76502342461</v>
      </c>
      <c r="BY59" s="561">
        <v>89112.41465863293</v>
      </c>
      <c r="BZ59" s="561">
        <v>92001.030889734742</v>
      </c>
      <c r="CA59" s="561">
        <v>92823.98516812356</v>
      </c>
      <c r="CB59" s="561">
        <v>94911.198696198524</v>
      </c>
      <c r="CC59" s="561">
        <v>92655.583889346046</v>
      </c>
      <c r="CD59" s="561">
        <v>93387.414470685457</v>
      </c>
      <c r="CE59" s="561">
        <v>94311.266267564584</v>
      </c>
      <c r="CF59" s="561">
        <v>96065.61365127757</v>
      </c>
      <c r="CG59" s="561">
        <v>96868.179552567482</v>
      </c>
      <c r="CH59" s="561">
        <v>99970.6883411335</v>
      </c>
      <c r="CI59" s="561">
        <v>102143.89863464859</v>
      </c>
      <c r="CJ59" s="561">
        <v>102986.73384132363</v>
      </c>
      <c r="CK59" s="561">
        <v>103873.18199425921</v>
      </c>
      <c r="CL59" s="561">
        <v>104115.39616690495</v>
      </c>
      <c r="CM59" s="561">
        <v>105223.37593117294</v>
      </c>
      <c r="CN59" s="561">
        <v>106183.2920679449</v>
      </c>
      <c r="CO59" s="561">
        <v>109157.30970641969</v>
      </c>
      <c r="CP59" s="561">
        <v>110133.52132883098</v>
      </c>
      <c r="CQ59" s="561">
        <v>112697.26542386685</v>
      </c>
      <c r="CR59" s="561">
        <v>114456.85917704883</v>
      </c>
      <c r="CS59" s="561">
        <v>115438.38624675125</v>
      </c>
      <c r="CT59" s="561">
        <v>114636.22307468319</v>
      </c>
      <c r="CU59" s="561">
        <v>115780.45646126535</v>
      </c>
      <c r="CV59" s="561">
        <v>116798.62575181546</v>
      </c>
      <c r="CW59" s="561">
        <v>116718.37460353736</v>
      </c>
      <c r="CX59" s="561">
        <v>115290.87593457245</v>
      </c>
      <c r="CY59" s="561">
        <v>115816.73350059979</v>
      </c>
      <c r="CZ59" s="561">
        <v>116900.34417156516</v>
      </c>
      <c r="DA59" s="561">
        <v>116443.72988501663</v>
      </c>
      <c r="DB59" s="562">
        <v>117713.06556413938</v>
      </c>
      <c r="DC59" s="561">
        <v>119477.91572915741</v>
      </c>
      <c r="DD59" s="507">
        <v>120389.23542704701</v>
      </c>
      <c r="DE59" s="507">
        <v>121335.87773175302</v>
      </c>
      <c r="DF59" s="507">
        <v>122443.84253953373</v>
      </c>
      <c r="DG59" s="507">
        <v>122754.56765158188</v>
      </c>
    </row>
    <row r="60" spans="1:111" ht="17.25" customHeight="1">
      <c r="A60" s="616"/>
      <c r="B60" s="510"/>
      <c r="C60" s="530"/>
      <c r="D60" s="530"/>
      <c r="E60" s="530"/>
      <c r="F60" s="569"/>
      <c r="G60" s="530"/>
      <c r="H60" s="570"/>
      <c r="I60" s="530"/>
      <c r="J60" s="530"/>
      <c r="K60" s="530"/>
      <c r="L60" s="530"/>
      <c r="M60" s="569"/>
      <c r="N60" s="530"/>
      <c r="O60" s="530"/>
      <c r="P60" s="530"/>
      <c r="Q60" s="530"/>
      <c r="R60" s="530"/>
      <c r="S60" s="530"/>
      <c r="T60" s="530"/>
      <c r="U60" s="530"/>
      <c r="V60" s="530"/>
      <c r="W60" s="530"/>
      <c r="X60" s="530"/>
      <c r="Y60" s="530"/>
      <c r="Z60" s="530"/>
      <c r="AA60" s="530"/>
      <c r="AB60" s="530"/>
      <c r="AC60" s="530"/>
      <c r="AD60" s="530"/>
      <c r="AE60" s="512"/>
      <c r="AF60" s="512"/>
      <c r="AG60" s="529"/>
      <c r="AH60" s="530"/>
      <c r="AI60" s="530"/>
      <c r="AJ60" s="530"/>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c r="BG60" s="530"/>
      <c r="BH60" s="530"/>
      <c r="BI60" s="530"/>
      <c r="BJ60" s="530"/>
      <c r="BK60" s="530"/>
      <c r="BL60" s="530"/>
      <c r="BM60" s="530"/>
      <c r="BN60" s="530"/>
      <c r="BO60" s="530"/>
      <c r="BP60" s="530"/>
      <c r="BQ60" s="530"/>
      <c r="BR60" s="530"/>
      <c r="BS60" s="530"/>
      <c r="BT60" s="530"/>
      <c r="BU60" s="530"/>
      <c r="BV60" s="530"/>
      <c r="BW60" s="530"/>
      <c r="BX60" s="530"/>
      <c r="BY60" s="530"/>
      <c r="BZ60" s="530"/>
      <c r="CA60" s="530"/>
      <c r="CB60" s="530"/>
      <c r="CC60" s="530"/>
      <c r="CD60" s="530"/>
      <c r="CE60" s="530"/>
      <c r="CF60" s="530"/>
      <c r="CG60" s="530"/>
      <c r="CH60" s="530"/>
      <c r="CI60" s="530"/>
      <c r="CJ60" s="530"/>
      <c r="CK60" s="530"/>
      <c r="CL60" s="530"/>
      <c r="CM60" s="530"/>
      <c r="CN60" s="530"/>
      <c r="CO60" s="530"/>
      <c r="CP60" s="530"/>
      <c r="CQ60" s="530"/>
      <c r="CR60" s="530"/>
      <c r="CS60" s="530"/>
      <c r="CT60" s="530"/>
      <c r="CU60" s="530"/>
      <c r="CV60" s="530"/>
      <c r="CW60" s="530"/>
      <c r="CX60" s="530"/>
      <c r="CY60" s="530"/>
      <c r="CZ60" s="530"/>
      <c r="DA60" s="530"/>
      <c r="DB60" s="569"/>
      <c r="DC60" s="530"/>
      <c r="DD60" s="512"/>
      <c r="DE60" s="512"/>
      <c r="DF60" s="512"/>
      <c r="DG60" s="512"/>
    </row>
    <row r="61" spans="1:111" ht="17.25" customHeight="1">
      <c r="A61" s="615"/>
      <c r="B61" s="506" t="s">
        <v>455</v>
      </c>
      <c r="C61" s="561">
        <v>471311.5679274908</v>
      </c>
      <c r="D61" s="561">
        <v>458405.79968156898</v>
      </c>
      <c r="E61" s="561">
        <v>471368.36615860113</v>
      </c>
      <c r="F61" s="562">
        <v>487597.2123353596</v>
      </c>
      <c r="G61" s="561">
        <v>490699.5337987378</v>
      </c>
      <c r="H61" s="563">
        <v>509422.0460164735</v>
      </c>
      <c r="I61" s="561">
        <v>496790.44643390819</v>
      </c>
      <c r="J61" s="561">
        <v>506831.09065121831</v>
      </c>
      <c r="K61" s="561">
        <v>536189.32489652047</v>
      </c>
      <c r="L61" s="561">
        <v>539946.71596931864</v>
      </c>
      <c r="M61" s="562">
        <v>536591.3487168093</v>
      </c>
      <c r="N61" s="561">
        <v>565086.1899789481</v>
      </c>
      <c r="O61" s="561">
        <v>553754.69138210919</v>
      </c>
      <c r="P61" s="561">
        <v>563618.70850807615</v>
      </c>
      <c r="Q61" s="561">
        <v>575394.00688601425</v>
      </c>
      <c r="R61" s="561">
        <v>605259.06121091812</v>
      </c>
      <c r="S61" s="561">
        <v>608440.06009224232</v>
      </c>
      <c r="T61" s="561">
        <v>637096.64951658109</v>
      </c>
      <c r="U61" s="561">
        <v>661145.88945898088</v>
      </c>
      <c r="V61" s="561">
        <v>633159.18726829987</v>
      </c>
      <c r="W61" s="561">
        <v>636947.78126271733</v>
      </c>
      <c r="X61" s="561">
        <v>655844.07052967488</v>
      </c>
      <c r="Y61" s="561">
        <v>662667.18795217026</v>
      </c>
      <c r="Z61" s="561">
        <v>664628.03592557285</v>
      </c>
      <c r="AA61" s="561">
        <v>695845.12316660327</v>
      </c>
      <c r="AB61" s="561">
        <v>714781.22866503743</v>
      </c>
      <c r="AC61" s="561">
        <v>729675.19286569417</v>
      </c>
      <c r="AD61" s="561">
        <v>737089.28856431844</v>
      </c>
      <c r="AE61" s="507">
        <v>740351.71166967158</v>
      </c>
      <c r="AF61" s="507">
        <v>780083.3295103102</v>
      </c>
      <c r="AG61" s="588">
        <v>758266.41427892959</v>
      </c>
      <c r="AH61" s="561">
        <v>788136.06321314129</v>
      </c>
      <c r="AI61" s="561">
        <v>784205.44569628616</v>
      </c>
      <c r="AJ61" s="561">
        <v>769965.96097749961</v>
      </c>
      <c r="AK61" s="561">
        <v>756096.52120624471</v>
      </c>
      <c r="AL61" s="561">
        <v>797078.898712961</v>
      </c>
      <c r="AM61" s="561">
        <v>810394.94968114293</v>
      </c>
      <c r="AN61" s="561">
        <v>828459.34888534085</v>
      </c>
      <c r="AO61" s="561">
        <v>819943.30276699422</v>
      </c>
      <c r="AP61" s="561">
        <v>803102.41851260676</v>
      </c>
      <c r="AQ61" s="561">
        <v>860616.11619385111</v>
      </c>
      <c r="AR61" s="561">
        <v>844613.98382920632</v>
      </c>
      <c r="AS61" s="561">
        <v>847548.11865086446</v>
      </c>
      <c r="AT61" s="561">
        <v>846906.62767194433</v>
      </c>
      <c r="AU61" s="561">
        <v>856623.22336508334</v>
      </c>
      <c r="AV61" s="561">
        <v>849664.16606785567</v>
      </c>
      <c r="AW61" s="561">
        <v>850875.33540781343</v>
      </c>
      <c r="AX61" s="561">
        <v>845763.63655023009</v>
      </c>
      <c r="AY61" s="561">
        <v>857777.29400556756</v>
      </c>
      <c r="AZ61" s="561">
        <v>873787.36227293161</v>
      </c>
      <c r="BA61" s="561">
        <v>878017.77051826671</v>
      </c>
      <c r="BB61" s="561">
        <v>860432.47357632231</v>
      </c>
      <c r="BC61" s="561">
        <v>860188.95408136863</v>
      </c>
      <c r="BD61" s="561">
        <v>848848.64170138247</v>
      </c>
      <c r="BE61" s="561">
        <v>894608.69760500453</v>
      </c>
      <c r="BF61" s="561">
        <v>915505.7386524789</v>
      </c>
      <c r="BG61" s="561">
        <v>937137.8134324369</v>
      </c>
      <c r="BH61" s="561">
        <v>958041.17727021279</v>
      </c>
      <c r="BI61" s="561">
        <v>958842.14554619312</v>
      </c>
      <c r="BJ61" s="561">
        <v>1070992.4571644114</v>
      </c>
      <c r="BK61" s="561">
        <v>1055271.1205802755</v>
      </c>
      <c r="BL61" s="561">
        <v>997219.36386759533</v>
      </c>
      <c r="BM61" s="561">
        <v>1035500.4015738897</v>
      </c>
      <c r="BN61" s="561">
        <v>1056066.0486184501</v>
      </c>
      <c r="BO61" s="561">
        <v>1077273.9333368349</v>
      </c>
      <c r="BP61" s="561">
        <v>1058366.3717395882</v>
      </c>
      <c r="BQ61" s="561">
        <v>1106725.2287103198</v>
      </c>
      <c r="BR61" s="561">
        <v>1122998.4580019945</v>
      </c>
      <c r="BS61" s="561">
        <v>1131601.8792578613</v>
      </c>
      <c r="BT61" s="561">
        <v>1099361.3938462641</v>
      </c>
      <c r="BU61" s="561">
        <v>1166032.9445716292</v>
      </c>
      <c r="BV61" s="561">
        <v>1094115.950659808</v>
      </c>
      <c r="BW61" s="561">
        <v>1160356.9789897006</v>
      </c>
      <c r="BX61" s="561">
        <v>1134584.9616875097</v>
      </c>
      <c r="BY61" s="561">
        <v>1112955.0925738942</v>
      </c>
      <c r="BZ61" s="561">
        <v>1198674.0723846038</v>
      </c>
      <c r="CA61" s="561">
        <v>1181223.9003155327</v>
      </c>
      <c r="CB61" s="561">
        <v>1211293.175415861</v>
      </c>
      <c r="CC61" s="561">
        <v>1221711.2032408915</v>
      </c>
      <c r="CD61" s="561">
        <v>1235903.3137058993</v>
      </c>
      <c r="CE61" s="561">
        <v>1274384.0037352208</v>
      </c>
      <c r="CF61" s="561">
        <v>1295912.2835075075</v>
      </c>
      <c r="CG61" s="561">
        <v>1274120.3794604437</v>
      </c>
      <c r="CH61" s="561">
        <v>1311993.3462399533</v>
      </c>
      <c r="CI61" s="561">
        <v>1302799.9339062085</v>
      </c>
      <c r="CJ61" s="561">
        <v>1336708.8400544485</v>
      </c>
      <c r="CK61" s="561">
        <v>1291958.9124593784</v>
      </c>
      <c r="CL61" s="561">
        <v>1315134.6475493363</v>
      </c>
      <c r="CM61" s="561">
        <v>1318305.6145090882</v>
      </c>
      <c r="CN61" s="561">
        <v>1292269.3594581685</v>
      </c>
      <c r="CO61" s="561">
        <v>1298120.7727984819</v>
      </c>
      <c r="CP61" s="561">
        <v>1328344.7383193797</v>
      </c>
      <c r="CQ61" s="561">
        <v>1295942.022379637</v>
      </c>
      <c r="CR61" s="561">
        <v>1339915.721147168</v>
      </c>
      <c r="CS61" s="561">
        <v>1328981.7561233544</v>
      </c>
      <c r="CT61" s="561">
        <v>1367299.7785182362</v>
      </c>
      <c r="CU61" s="561">
        <v>1346126.803456035</v>
      </c>
      <c r="CV61" s="561">
        <v>1401146.8867960759</v>
      </c>
      <c r="CW61" s="561">
        <v>1437709.1982464476</v>
      </c>
      <c r="CX61" s="561">
        <v>1425057.8552786382</v>
      </c>
      <c r="CY61" s="561">
        <v>1355225.293529425</v>
      </c>
      <c r="CZ61" s="561">
        <v>1347066.8456793358</v>
      </c>
      <c r="DA61" s="561">
        <v>1337575.1882112366</v>
      </c>
      <c r="DB61" s="562">
        <v>1290068.1048503355</v>
      </c>
      <c r="DC61" s="561">
        <v>1308970.5420305035</v>
      </c>
      <c r="DD61" s="507">
        <v>1312688.1238438613</v>
      </c>
      <c r="DE61" s="507">
        <v>1301376.0418920221</v>
      </c>
      <c r="DF61" s="507">
        <v>1281129.7530766272</v>
      </c>
      <c r="DG61" s="507">
        <v>1268393.3452357026</v>
      </c>
    </row>
    <row r="62" spans="1:111" ht="17.25" customHeight="1" thickBot="1">
      <c r="A62" s="620"/>
      <c r="B62" s="534"/>
      <c r="C62" s="537"/>
      <c r="D62" s="537"/>
      <c r="E62" s="537"/>
      <c r="F62" s="594"/>
      <c r="G62" s="537"/>
      <c r="H62" s="595"/>
      <c r="I62" s="537"/>
      <c r="J62" s="537"/>
      <c r="K62" s="537"/>
      <c r="L62" s="537"/>
      <c r="M62" s="594"/>
      <c r="N62" s="537"/>
      <c r="O62" s="537"/>
      <c r="P62" s="537"/>
      <c r="Q62" s="537"/>
      <c r="R62" s="537"/>
      <c r="S62" s="537"/>
      <c r="T62" s="537"/>
      <c r="U62" s="537"/>
      <c r="V62" s="537"/>
      <c r="W62" s="537"/>
      <c r="X62" s="537"/>
      <c r="Y62" s="537"/>
      <c r="Z62" s="537"/>
      <c r="AA62" s="537"/>
      <c r="AB62" s="537"/>
      <c r="AC62" s="537"/>
      <c r="AD62" s="537"/>
      <c r="AE62" s="535"/>
      <c r="AF62" s="535"/>
      <c r="AG62" s="536"/>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94"/>
      <c r="DC62" s="537"/>
      <c r="DD62" s="535"/>
      <c r="DE62" s="535"/>
      <c r="DF62" s="535"/>
      <c r="DG62" s="535"/>
    </row>
    <row r="63" spans="1:111" ht="15.75" thickTop="1">
      <c r="A63" s="482" t="s">
        <v>240</v>
      </c>
      <c r="B63" s="455"/>
      <c r="C63" s="455"/>
      <c r="D63" s="455"/>
      <c r="E63" s="455"/>
      <c r="F63" s="455"/>
      <c r="G63" s="455"/>
      <c r="H63" s="455"/>
      <c r="I63" s="455"/>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c r="AK63" s="403"/>
      <c r="AL63" s="403"/>
    </row>
    <row r="64" spans="1:111" ht="18" hidden="1">
      <c r="A64" s="621" t="s">
        <v>474</v>
      </c>
      <c r="B64" s="611"/>
      <c r="C64" s="611"/>
      <c r="D64" s="611"/>
      <c r="E64" s="611"/>
      <c r="F64" s="611"/>
      <c r="G64" s="611"/>
      <c r="H64" s="611"/>
      <c r="I64" s="611"/>
    </row>
    <row r="65" spans="1:106" s="403" customFormat="1" ht="18">
      <c r="A65" s="480" t="s">
        <v>475</v>
      </c>
      <c r="B65" s="455"/>
      <c r="C65" s="455"/>
      <c r="D65" s="455"/>
      <c r="E65" s="455"/>
      <c r="F65" s="455"/>
      <c r="G65" s="455"/>
      <c r="H65" s="455"/>
      <c r="I65" s="455"/>
    </row>
    <row r="66" spans="1:106">
      <c r="A66" s="482" t="s">
        <v>180</v>
      </c>
      <c r="B66" s="455"/>
      <c r="C66" s="455"/>
      <c r="D66" s="455"/>
      <c r="E66" s="455"/>
      <c r="F66" s="455"/>
      <c r="G66" s="455"/>
      <c r="H66" s="455"/>
      <c r="I66" s="455"/>
      <c r="J66" s="403"/>
      <c r="K66" s="403"/>
      <c r="L66" s="403"/>
      <c r="M66" s="403"/>
      <c r="N66" s="403"/>
      <c r="O66" s="403"/>
      <c r="P66" s="403"/>
      <c r="Q66" s="403"/>
      <c r="R66" s="403"/>
      <c r="S66" s="403"/>
      <c r="T66" s="403"/>
      <c r="U66" s="403"/>
      <c r="V66" s="403"/>
      <c r="W66" s="403"/>
      <c r="X66" s="403"/>
      <c r="Y66" s="403"/>
      <c r="Z66" s="403"/>
      <c r="AA66" s="403"/>
      <c r="AB66" s="403"/>
      <c r="AC66" s="403"/>
      <c r="AD66" s="403"/>
      <c r="AE66" s="403"/>
      <c r="AF66" s="403"/>
      <c r="AG66" s="403"/>
      <c r="AH66" s="403"/>
      <c r="AI66" s="403"/>
      <c r="AJ66" s="403"/>
      <c r="AK66" s="403"/>
      <c r="AL66" s="403"/>
    </row>
    <row r="67" spans="1:106" hidden="1">
      <c r="C67" s="596">
        <f>[41]Sheet1!$C$463/1000000</f>
        <v>471311.5679274908</v>
      </c>
      <c r="D67" s="596">
        <f>[42]Sheet1!$C$434/1000000</f>
        <v>458405.79968156898</v>
      </c>
      <c r="E67" s="596">
        <f>[43]Sheet1!$C$434/1000000</f>
        <v>471368.36615860107</v>
      </c>
      <c r="F67" s="596">
        <f>[44]Sheet1!$C$434/1000000</f>
        <v>487597.2123353596</v>
      </c>
      <c r="G67" s="596">
        <f>[45]Sheet1!$C$434/1000000</f>
        <v>490699.53379873774</v>
      </c>
      <c r="H67" s="596">
        <f>[46]Sheet1!$C$434/1000000</f>
        <v>509422.04600647342</v>
      </c>
      <c r="I67" s="596">
        <f>[47]Sheet1!$C$434/1000000</f>
        <v>496790.44643390825</v>
      </c>
      <c r="J67" s="596">
        <f>[48]Sheet1!$C$434/1000000</f>
        <v>506831.09065121826</v>
      </c>
      <c r="K67" s="596">
        <f>[49]Sheet1!$C$434/1000000</f>
        <v>536189.32489552046</v>
      </c>
      <c r="L67" s="596">
        <f>[50]Sheet1!$C$434/1000000</f>
        <v>539946.71596831852</v>
      </c>
      <c r="M67" s="596">
        <f>[51]Sheet1!$C$434/1000000</f>
        <v>536591.3487168093</v>
      </c>
      <c r="N67" s="596">
        <f>[52]Sheet1!$C$434/1000000</f>
        <v>565086.18997894798</v>
      </c>
      <c r="O67" s="596">
        <f>[53]Sheet1!$C$434/1000000</f>
        <v>553754.69138210919</v>
      </c>
      <c r="P67" s="596">
        <f>[54]Sheet1!$C$434/1000000</f>
        <v>563618.70850807615</v>
      </c>
      <c r="Q67" s="596">
        <f>[55]Sheet1!$C$434/1000000</f>
        <v>575394.00688601425</v>
      </c>
      <c r="R67" s="596">
        <f>[56]Sheet1!$C$434/1000000</f>
        <v>605259.06121091812</v>
      </c>
      <c r="S67" s="596">
        <f>[57]Sheet1!$C$434/1000000</f>
        <v>608440.06009224232</v>
      </c>
      <c r="T67" s="596">
        <f>[58]Sheet1!$C$434/1000000</f>
        <v>637096.64951658109</v>
      </c>
      <c r="U67" s="596">
        <f>[59]Sheet1!$C$434/1000000</f>
        <v>661145.88945898088</v>
      </c>
      <c r="V67" s="596">
        <f>[60]Sheet1!$C$434/1000000</f>
        <v>633159.18726829975</v>
      </c>
      <c r="W67" s="596">
        <f>[61]Sheet1!$C$434/1000000</f>
        <v>636947.78126271733</v>
      </c>
      <c r="X67" s="596">
        <f>[62]Sheet1!$C$434/1000000</f>
        <v>655844.07052967488</v>
      </c>
      <c r="Y67" s="596">
        <f>[63]Sheet1!$C$434/1000000</f>
        <v>662667.18795217038</v>
      </c>
      <c r="Z67" s="596">
        <f>[64]Sheet1!$C$434/1000000</f>
        <v>664628.03592557285</v>
      </c>
      <c r="AA67" s="596">
        <f>[65]Sheet1!$C$434/1000000</f>
        <v>695845.12316660339</v>
      </c>
      <c r="AB67" s="596">
        <f>[66]Sheet1!$C$434/1000000</f>
        <v>714781.22866503731</v>
      </c>
      <c r="AC67" s="596">
        <f>[67]Sheet1!$C$434/1000000</f>
        <v>729675.19286569406</v>
      </c>
      <c r="AD67" s="596">
        <f>[68]Sheet1!$C$434/1000000</f>
        <v>737089.28856431856</v>
      </c>
      <c r="AE67" s="596">
        <f>[69]Sheet1!$C$434/1000000</f>
        <v>740351.71166967147</v>
      </c>
      <c r="AF67" s="596">
        <f>[70]Sheet1!$C$434/1000000</f>
        <v>780083.3295103102</v>
      </c>
      <c r="AG67" s="596">
        <f>[71]Sheet1!$C$434/1000000</f>
        <v>758266.41427892959</v>
      </c>
      <c r="AH67" s="596">
        <f>[72]Sheet1!$C$434/1000000</f>
        <v>788136.06321314152</v>
      </c>
      <c r="AI67" s="596">
        <f>[73]Sheet1!$C$434/1000000</f>
        <v>784205.44569628581</v>
      </c>
    </row>
    <row r="68" spans="1:106" hidden="1">
      <c r="C68" s="596">
        <f t="shared" ref="C68:BN68" si="2">C61-C28</f>
        <v>3.2648677006363869E-7</v>
      </c>
      <c r="D68" s="596">
        <f t="shared" si="2"/>
        <v>7.0374691858887672E-5</v>
      </c>
      <c r="E68" s="596">
        <f t="shared" si="2"/>
        <v>-1.6628880985081196E-5</v>
      </c>
      <c r="F68" s="596">
        <f t="shared" si="2"/>
        <v>6.1962055042386055E-7</v>
      </c>
      <c r="G68" s="596">
        <f t="shared" si="2"/>
        <v>4.8674759455025196E-5</v>
      </c>
      <c r="H68" s="596">
        <f t="shared" si="2"/>
        <v>9.643088560551405E-6</v>
      </c>
      <c r="I68" s="596">
        <f t="shared" si="2"/>
        <v>-1.0558869689702988E-7</v>
      </c>
      <c r="J68" s="596">
        <f t="shared" si="2"/>
        <v>-2.2968742996454239E-7</v>
      </c>
      <c r="K68" s="596">
        <f t="shared" si="2"/>
        <v>7.6717697083950043E-7</v>
      </c>
      <c r="L68" s="596">
        <f t="shared" si="2"/>
        <v>-5.1886308938264847E-7</v>
      </c>
      <c r="M68" s="596">
        <f t="shared" si="2"/>
        <v>-2.3026135750114918E-5</v>
      </c>
      <c r="N68" s="596">
        <f t="shared" si="2"/>
        <v>-3.5408383700996637E-4</v>
      </c>
      <c r="O68" s="596">
        <f t="shared" si="2"/>
        <v>-5.1169190555810928E-6</v>
      </c>
      <c r="P68" s="596">
        <f t="shared" si="2"/>
        <v>-6.2307692132890224E-5</v>
      </c>
      <c r="Q68" s="596">
        <f t="shared" si="2"/>
        <v>-1.3825111091136932E-4</v>
      </c>
      <c r="R68" s="596">
        <f t="shared" si="2"/>
        <v>-2.8288224712014198E-5</v>
      </c>
      <c r="S68" s="596">
        <f t="shared" si="2"/>
        <v>-5.0530652515590191E-5</v>
      </c>
      <c r="T68" s="596">
        <f t="shared" si="2"/>
        <v>4.1076913475990295E-5</v>
      </c>
      <c r="U68" s="596">
        <f t="shared" si="2"/>
        <v>-1.3550627045333385E-5</v>
      </c>
      <c r="V68" s="596">
        <f t="shared" si="2"/>
        <v>-7.4590672738850117E-5</v>
      </c>
      <c r="W68" s="596">
        <f t="shared" si="2"/>
        <v>-6.788596510887146E-5</v>
      </c>
      <c r="X68" s="596">
        <f t="shared" si="2"/>
        <v>-6.5941829234361649E-5</v>
      </c>
      <c r="Y68" s="596">
        <f t="shared" si="2"/>
        <v>-6.6578853875398636E-5</v>
      </c>
      <c r="Z68" s="596">
        <f t="shared" si="2"/>
        <v>-3.3760443329811096E-8</v>
      </c>
      <c r="AA68" s="596">
        <f t="shared" si="2"/>
        <v>6.206100806593895E-7</v>
      </c>
      <c r="AB68" s="596">
        <f t="shared" si="2"/>
        <v>-5.2418326959013939E-6</v>
      </c>
      <c r="AC68" s="596">
        <f t="shared" si="2"/>
        <v>-1.1103693395853043E-6</v>
      </c>
      <c r="AD68" s="596">
        <f t="shared" si="2"/>
        <v>-6.0594175010919571E-7</v>
      </c>
      <c r="AE68" s="596">
        <f t="shared" si="2"/>
        <v>-5.2724499255418777E-7</v>
      </c>
      <c r="AF68" s="596">
        <f t="shared" si="2"/>
        <v>-1.4184042811393738E-6</v>
      </c>
      <c r="AG68" s="596">
        <f t="shared" si="2"/>
        <v>-7.5576826930046082E-7</v>
      </c>
      <c r="AH68" s="596">
        <f t="shared" si="2"/>
        <v>-2.2533349692821503E-6</v>
      </c>
      <c r="AI68" s="596">
        <f t="shared" si="2"/>
        <v>-1.841341145336628E-6</v>
      </c>
      <c r="AJ68" s="596">
        <f t="shared" si="2"/>
        <v>-1.0981457307934761E-6</v>
      </c>
      <c r="AK68" s="596">
        <f t="shared" si="2"/>
        <v>-1.6111880540847778E-6</v>
      </c>
      <c r="AL68" s="596">
        <f t="shared" si="2"/>
        <v>-2.8299400582909584E-6</v>
      </c>
      <c r="AM68" s="596">
        <f t="shared" si="2"/>
        <v>-8.3458144217729568E-7</v>
      </c>
      <c r="AN68" s="596">
        <f t="shared" si="2"/>
        <v>-2.5278422981500626E-6</v>
      </c>
      <c r="AO68" s="596">
        <f t="shared" si="2"/>
        <v>-1.271604560315609E-6</v>
      </c>
      <c r="AP68" s="596">
        <f t="shared" si="2"/>
        <v>-4.2984029278159142E-6</v>
      </c>
      <c r="AQ68" s="596">
        <f t="shared" si="2"/>
        <v>-2.8738286346197128E-6</v>
      </c>
      <c r="AR68" s="596">
        <f t="shared" si="2"/>
        <v>-1.884065568447113E-6</v>
      </c>
      <c r="AS68" s="596">
        <f t="shared" si="2"/>
        <v>-5.4610427469015121E-7</v>
      </c>
      <c r="AT68" s="596">
        <f t="shared" si="2"/>
        <v>-6.3015613704919815E-7</v>
      </c>
      <c r="AU68" s="596">
        <f t="shared" si="2"/>
        <v>4.1036400943994522E-7</v>
      </c>
      <c r="AV68" s="596">
        <f t="shared" si="2"/>
        <v>-3.4307246096432209E-5</v>
      </c>
      <c r="AW68" s="596">
        <f t="shared" si="2"/>
        <v>-1.3932585716247559E-6</v>
      </c>
      <c r="AX68" s="596">
        <f t="shared" si="2"/>
        <v>1.2400560081005096E-6</v>
      </c>
      <c r="AY68" s="596">
        <f t="shared" si="2"/>
        <v>-2.3397151380777359E-6</v>
      </c>
      <c r="AZ68" s="596">
        <f t="shared" si="2"/>
        <v>-8.7625812739133835E-7</v>
      </c>
      <c r="BA68" s="596">
        <f t="shared" si="2"/>
        <v>-9.64384526014328E-7</v>
      </c>
      <c r="BB68" s="596">
        <f t="shared" si="2"/>
        <v>7.9267192631959915E-7</v>
      </c>
      <c r="BC68" s="596">
        <f t="shared" si="2"/>
        <v>-2.059456892311573E-5</v>
      </c>
      <c r="BD68" s="596">
        <f t="shared" si="2"/>
        <v>-1.5756813809275627E-6</v>
      </c>
      <c r="BE68" s="596">
        <f t="shared" si="2"/>
        <v>-7.4889976531267166E-7</v>
      </c>
      <c r="BF68" s="596">
        <f t="shared" si="2"/>
        <v>-6.4400956034660339E-7</v>
      </c>
      <c r="BG68" s="596">
        <f t="shared" si="2"/>
        <v>-5.4878182709217072E-7</v>
      </c>
      <c r="BH68" s="596">
        <f t="shared" si="2"/>
        <v>1.4562392607331276E-6</v>
      </c>
      <c r="BI68" s="596">
        <f t="shared" si="2"/>
        <v>-1.3735843822360039E-6</v>
      </c>
      <c r="BJ68" s="596">
        <f t="shared" si="2"/>
        <v>6.4726918935775757E-8</v>
      </c>
      <c r="BK68" s="596">
        <f t="shared" si="2"/>
        <v>-2.0030653104186058E-5</v>
      </c>
      <c r="BL68" s="596">
        <f t="shared" si="2"/>
        <v>-2.1148822270333767E-5</v>
      </c>
      <c r="BM68" s="596">
        <f t="shared" si="2"/>
        <v>-2.0408886484801769E-5</v>
      </c>
      <c r="BN68" s="596">
        <f t="shared" si="2"/>
        <v>-1.9902829080820084E-5</v>
      </c>
      <c r="BO68" s="596">
        <f t="shared" ref="BO68:CX68" si="3">BO61-BO28</f>
        <v>-2.06709373742342E-5</v>
      </c>
      <c r="BP68" s="596">
        <f t="shared" si="3"/>
        <v>-2.3350352421402931E-5</v>
      </c>
      <c r="BQ68" s="596">
        <f t="shared" si="3"/>
        <v>-2.1002953872084618E-5</v>
      </c>
      <c r="BR68" s="596">
        <f t="shared" si="3"/>
        <v>-2.1791085600852966E-5</v>
      </c>
      <c r="BS68" s="596">
        <f t="shared" si="3"/>
        <v>-2.2942200303077698E-5</v>
      </c>
      <c r="BT68" s="596">
        <f t="shared" si="3"/>
        <v>-2.0303530618548393E-5</v>
      </c>
      <c r="BU68" s="596">
        <f t="shared" si="3"/>
        <v>-2.3498665541410446E-5</v>
      </c>
      <c r="BV68" s="596">
        <f t="shared" si="3"/>
        <v>-1.9518425688147545E-5</v>
      </c>
      <c r="BW68" s="596">
        <f t="shared" si="3"/>
        <v>-5.4663047194480896E-5</v>
      </c>
      <c r="BX68" s="596">
        <f t="shared" si="3"/>
        <v>-2.3049302399158478E-5</v>
      </c>
      <c r="BY68" s="596">
        <f t="shared" si="3"/>
        <v>-2.0994571968913078E-5</v>
      </c>
      <c r="BZ68" s="596">
        <f t="shared" si="3"/>
        <v>-2.1663960069417953E-5</v>
      </c>
      <c r="CA68" s="596">
        <f t="shared" si="3"/>
        <v>-2.3233471438288689E-5</v>
      </c>
      <c r="CB68" s="596">
        <f t="shared" si="3"/>
        <v>-2.2876542061567307E-5</v>
      </c>
      <c r="CC68" s="596">
        <f t="shared" si="3"/>
        <v>-2.1460233256220818E-5</v>
      </c>
      <c r="CD68" s="596">
        <f t="shared" si="3"/>
        <v>-2.0967796444892883E-5</v>
      </c>
      <c r="CE68" s="596">
        <f t="shared" si="3"/>
        <v>-2.0710751414299011E-5</v>
      </c>
      <c r="CF68" s="596">
        <f t="shared" si="3"/>
        <v>-2.2827647626399994E-5</v>
      </c>
      <c r="CG68" s="596">
        <f t="shared" si="3"/>
        <v>-2.1233456209301949E-5</v>
      </c>
      <c r="CH68" s="596">
        <f t="shared" si="3"/>
        <v>-2.2481661289930344E-5</v>
      </c>
      <c r="CI68" s="596">
        <f t="shared" si="3"/>
        <v>3.2549723982810974E-7</v>
      </c>
      <c r="CJ68" s="596">
        <f t="shared" si="3"/>
        <v>-3.3751130104064941E-6</v>
      </c>
      <c r="CK68" s="596">
        <f t="shared" si="3"/>
        <v>-1.3874378055334091E-6</v>
      </c>
      <c r="CL68" s="596">
        <f t="shared" si="3"/>
        <v>-1.7383135855197906E-6</v>
      </c>
      <c r="CM68" s="596">
        <f t="shared" si="3"/>
        <v>-2.7026981115341187E-6</v>
      </c>
      <c r="CN68" s="596">
        <f t="shared" si="3"/>
        <v>-1.7329584807157516E-6</v>
      </c>
      <c r="CO68" s="596">
        <f t="shared" si="3"/>
        <v>-1.2656673789024353E-6</v>
      </c>
      <c r="CP68" s="596">
        <f t="shared" si="3"/>
        <v>4.0745362639427185E-8</v>
      </c>
      <c r="CQ68" s="596">
        <f t="shared" si="3"/>
        <v>1.51083804666996E-6</v>
      </c>
      <c r="CR68" s="596">
        <f t="shared" si="3"/>
        <v>1.5250407159328461E-7</v>
      </c>
      <c r="CS68" s="596">
        <f t="shared" si="3"/>
        <v>-2.0796433091163635E-6</v>
      </c>
      <c r="CT68" s="596">
        <f t="shared" si="3"/>
        <v>-1.8812716007232666E-6</v>
      </c>
      <c r="CU68" s="596">
        <f t="shared" si="3"/>
        <v>-1.0416842997074127E-6</v>
      </c>
      <c r="CV68" s="596">
        <f t="shared" si="3"/>
        <v>-7.8650191426277161E-7</v>
      </c>
      <c r="CW68" s="596">
        <f t="shared" si="3"/>
        <v>-7.6438300311565399E-7</v>
      </c>
      <c r="CX68" s="596">
        <f t="shared" si="3"/>
        <v>-1.3222452253103256E-6</v>
      </c>
      <c r="CY68" s="596"/>
      <c r="CZ68" s="596"/>
      <c r="DA68" s="596"/>
      <c r="DB68" s="596"/>
    </row>
    <row r="70" spans="1:106">
      <c r="C70" s="622"/>
      <c r="D70" s="622"/>
      <c r="E70" s="622"/>
      <c r="F70" s="622"/>
      <c r="G70" s="622"/>
      <c r="H70" s="622"/>
      <c r="I70" s="622"/>
      <c r="J70" s="622"/>
      <c r="K70" s="622"/>
      <c r="L70" s="622"/>
      <c r="M70" s="622"/>
      <c r="N70" s="622"/>
      <c r="O70" s="622"/>
      <c r="P70" s="622"/>
      <c r="Q70" s="622"/>
      <c r="R70" s="622"/>
      <c r="S70" s="622"/>
      <c r="T70" s="622"/>
      <c r="U70" s="622"/>
      <c r="V70" s="622"/>
    </row>
    <row r="71" spans="1:106">
      <c r="C71" s="622"/>
      <c r="D71" s="622"/>
      <c r="E71" s="622"/>
      <c r="F71" s="622"/>
      <c r="G71" s="622"/>
      <c r="H71" s="622"/>
      <c r="I71" s="622"/>
      <c r="J71" s="622"/>
      <c r="K71" s="622"/>
      <c r="L71" s="622"/>
      <c r="M71" s="622"/>
      <c r="N71" s="622"/>
      <c r="O71" s="622"/>
      <c r="P71" s="622"/>
      <c r="Q71" s="622"/>
      <c r="R71" s="622"/>
      <c r="S71" s="622"/>
      <c r="T71" s="622"/>
      <c r="U71" s="622"/>
      <c r="V71" s="622"/>
    </row>
    <row r="72" spans="1:106">
      <c r="C72" s="622"/>
      <c r="D72" s="622"/>
      <c r="E72" s="622"/>
      <c r="F72" s="622"/>
      <c r="G72" s="622"/>
      <c r="H72" s="622"/>
      <c r="I72" s="622"/>
      <c r="J72" s="622"/>
      <c r="K72" s="622"/>
      <c r="L72" s="622"/>
      <c r="M72" s="622"/>
      <c r="N72" s="622"/>
      <c r="O72" s="622"/>
      <c r="P72" s="622"/>
      <c r="Q72" s="622"/>
      <c r="R72" s="622"/>
      <c r="S72" s="622"/>
      <c r="T72" s="622"/>
      <c r="U72" s="622"/>
      <c r="V72" s="622"/>
    </row>
    <row r="73" spans="1:106">
      <c r="C73" s="622"/>
      <c r="D73" s="622"/>
      <c r="E73" s="622"/>
      <c r="F73" s="622"/>
      <c r="G73" s="622"/>
      <c r="H73" s="622"/>
      <c r="I73" s="622"/>
      <c r="J73" s="622"/>
      <c r="K73" s="622"/>
      <c r="L73" s="622"/>
      <c r="M73" s="622"/>
      <c r="N73" s="622"/>
      <c r="O73" s="622"/>
      <c r="P73" s="622"/>
      <c r="Q73" s="622"/>
      <c r="R73" s="622"/>
      <c r="S73" s="622"/>
      <c r="T73" s="622"/>
      <c r="U73" s="622"/>
      <c r="V73" s="622"/>
    </row>
    <row r="74" spans="1:106">
      <c r="C74" s="622"/>
      <c r="D74" s="622"/>
      <c r="E74" s="622"/>
      <c r="F74" s="622"/>
      <c r="G74" s="622"/>
      <c r="H74" s="622"/>
      <c r="I74" s="622"/>
      <c r="J74" s="622"/>
      <c r="K74" s="622"/>
      <c r="L74" s="622"/>
      <c r="M74" s="622"/>
      <c r="N74" s="622"/>
      <c r="O74" s="622"/>
      <c r="P74" s="622"/>
      <c r="Q74" s="622"/>
      <c r="R74" s="622"/>
      <c r="S74" s="622"/>
      <c r="T74" s="622"/>
      <c r="U74" s="622"/>
      <c r="V74" s="622"/>
    </row>
    <row r="75" spans="1:106">
      <c r="C75" s="622"/>
      <c r="D75" s="622"/>
      <c r="E75" s="622"/>
      <c r="F75" s="622"/>
      <c r="G75" s="622"/>
      <c r="H75" s="622"/>
      <c r="I75" s="622"/>
      <c r="J75" s="622"/>
      <c r="K75" s="622"/>
      <c r="L75" s="622"/>
      <c r="M75" s="622"/>
      <c r="N75" s="622"/>
      <c r="O75" s="622"/>
      <c r="P75" s="622"/>
      <c r="Q75" s="622"/>
      <c r="R75" s="622"/>
      <c r="S75" s="622"/>
      <c r="T75" s="622"/>
      <c r="U75" s="622"/>
      <c r="V75" s="622"/>
    </row>
    <row r="76" spans="1:106">
      <c r="C76" s="622"/>
      <c r="D76" s="622"/>
      <c r="E76" s="622"/>
      <c r="F76" s="622"/>
      <c r="G76" s="622"/>
      <c r="H76" s="622"/>
      <c r="I76" s="622"/>
      <c r="J76" s="622"/>
      <c r="K76" s="622"/>
      <c r="L76" s="622"/>
      <c r="M76" s="622"/>
      <c r="N76" s="622"/>
      <c r="O76" s="622"/>
      <c r="P76" s="622"/>
      <c r="Q76" s="622"/>
      <c r="R76" s="622"/>
      <c r="S76" s="622"/>
      <c r="T76" s="622"/>
      <c r="U76" s="622"/>
      <c r="V76" s="622"/>
    </row>
    <row r="77" spans="1:106">
      <c r="C77" s="622"/>
      <c r="D77" s="622"/>
      <c r="E77" s="622"/>
      <c r="F77" s="622"/>
      <c r="G77" s="622"/>
      <c r="H77" s="622"/>
      <c r="I77" s="622"/>
      <c r="J77" s="622"/>
      <c r="K77" s="622"/>
      <c r="L77" s="622"/>
      <c r="M77" s="622"/>
      <c r="N77" s="622"/>
      <c r="O77" s="622"/>
      <c r="P77" s="622"/>
      <c r="Q77" s="622"/>
      <c r="R77" s="622"/>
      <c r="S77" s="622"/>
      <c r="T77" s="622"/>
      <c r="U77" s="622"/>
      <c r="V77" s="622"/>
    </row>
    <row r="78" spans="1:106">
      <c r="C78" s="622"/>
      <c r="D78" s="622"/>
      <c r="E78" s="622"/>
      <c r="F78" s="622"/>
      <c r="G78" s="622"/>
      <c r="H78" s="622"/>
      <c r="I78" s="622"/>
      <c r="J78" s="622"/>
      <c r="K78" s="622"/>
      <c r="L78" s="622"/>
      <c r="M78" s="622"/>
      <c r="N78" s="622"/>
      <c r="O78" s="622"/>
      <c r="P78" s="622"/>
      <c r="Q78" s="622"/>
      <c r="R78" s="622"/>
      <c r="S78" s="622"/>
      <c r="T78" s="622"/>
      <c r="U78" s="622"/>
      <c r="V78" s="622"/>
    </row>
    <row r="79" spans="1:106">
      <c r="C79" s="622"/>
      <c r="D79" s="622"/>
      <c r="E79" s="622"/>
      <c r="F79" s="622"/>
      <c r="G79" s="622"/>
      <c r="H79" s="622"/>
      <c r="I79" s="622"/>
      <c r="J79" s="622"/>
      <c r="K79" s="622"/>
      <c r="L79" s="622"/>
      <c r="M79" s="622"/>
      <c r="N79" s="622"/>
      <c r="O79" s="622"/>
      <c r="P79" s="622"/>
      <c r="Q79" s="622"/>
      <c r="R79" s="622"/>
      <c r="S79" s="622"/>
      <c r="T79" s="622"/>
      <c r="U79" s="622"/>
      <c r="V79" s="622"/>
    </row>
    <row r="80" spans="1:106">
      <c r="C80" s="622"/>
      <c r="D80" s="622"/>
      <c r="E80" s="622"/>
      <c r="F80" s="622"/>
      <c r="G80" s="622"/>
      <c r="H80" s="622"/>
      <c r="I80" s="622"/>
      <c r="J80" s="622"/>
      <c r="K80" s="622"/>
      <c r="L80" s="622"/>
      <c r="M80" s="622"/>
      <c r="N80" s="622"/>
      <c r="O80" s="622"/>
      <c r="P80" s="622"/>
      <c r="Q80" s="622"/>
      <c r="R80" s="622"/>
      <c r="S80" s="622"/>
      <c r="T80" s="622"/>
      <c r="U80" s="622"/>
      <c r="V80" s="622"/>
    </row>
    <row r="81" spans="3:22">
      <c r="C81" s="622"/>
      <c r="D81" s="622"/>
      <c r="E81" s="622"/>
      <c r="F81" s="622"/>
      <c r="G81" s="622"/>
      <c r="H81" s="622"/>
      <c r="I81" s="622"/>
      <c r="J81" s="622"/>
      <c r="K81" s="622"/>
      <c r="L81" s="622"/>
      <c r="M81" s="622"/>
      <c r="N81" s="622"/>
      <c r="O81" s="622"/>
      <c r="P81" s="622"/>
      <c r="Q81" s="622"/>
      <c r="R81" s="622"/>
      <c r="S81" s="622"/>
      <c r="T81" s="622"/>
      <c r="U81" s="622"/>
      <c r="V81" s="622"/>
    </row>
    <row r="82" spans="3:22">
      <c r="C82" s="622"/>
      <c r="D82" s="622"/>
      <c r="E82" s="622"/>
      <c r="F82" s="622"/>
      <c r="G82" s="622"/>
      <c r="H82" s="622"/>
      <c r="I82" s="622"/>
      <c r="J82" s="622"/>
      <c r="K82" s="622"/>
      <c r="L82" s="622"/>
      <c r="M82" s="622"/>
      <c r="N82" s="622"/>
      <c r="O82" s="622"/>
      <c r="P82" s="622"/>
      <c r="Q82" s="622"/>
      <c r="R82" s="622"/>
      <c r="S82" s="622"/>
      <c r="T82" s="622"/>
      <c r="U82" s="622"/>
      <c r="V82" s="622"/>
    </row>
    <row r="83" spans="3:22">
      <c r="C83" s="622"/>
      <c r="D83" s="622"/>
      <c r="E83" s="622"/>
      <c r="F83" s="622"/>
      <c r="G83" s="622"/>
      <c r="H83" s="622"/>
      <c r="I83" s="622"/>
      <c r="J83" s="622"/>
      <c r="K83" s="622"/>
      <c r="L83" s="622"/>
      <c r="M83" s="622"/>
      <c r="N83" s="622"/>
      <c r="O83" s="622"/>
      <c r="P83" s="622"/>
      <c r="Q83" s="622"/>
      <c r="R83" s="622"/>
      <c r="S83" s="622"/>
      <c r="T83" s="622"/>
      <c r="U83" s="622"/>
      <c r="V83" s="622"/>
    </row>
    <row r="84" spans="3:22">
      <c r="C84" s="622"/>
      <c r="D84" s="622"/>
      <c r="E84" s="622"/>
      <c r="F84" s="622"/>
      <c r="G84" s="622"/>
      <c r="H84" s="622"/>
      <c r="I84" s="622"/>
      <c r="J84" s="622"/>
      <c r="K84" s="622"/>
      <c r="L84" s="622"/>
      <c r="M84" s="622"/>
      <c r="N84" s="622"/>
      <c r="O84" s="622"/>
      <c r="P84" s="622"/>
      <c r="Q84" s="622"/>
      <c r="R84" s="622"/>
      <c r="S84" s="622"/>
      <c r="T84" s="622"/>
      <c r="U84" s="622"/>
      <c r="V84" s="622"/>
    </row>
    <row r="85" spans="3:22">
      <c r="C85" s="622"/>
      <c r="D85" s="622"/>
      <c r="E85" s="622"/>
      <c r="F85" s="622"/>
      <c r="G85" s="622"/>
      <c r="H85" s="622"/>
      <c r="I85" s="622"/>
      <c r="J85" s="622"/>
      <c r="K85" s="622"/>
      <c r="L85" s="622"/>
      <c r="M85" s="622"/>
      <c r="N85" s="622"/>
      <c r="O85" s="622"/>
      <c r="P85" s="622"/>
      <c r="Q85" s="622"/>
      <c r="R85" s="622"/>
      <c r="S85" s="622"/>
      <c r="T85" s="622"/>
      <c r="U85" s="622"/>
      <c r="V85" s="622"/>
    </row>
    <row r="86" spans="3:22">
      <c r="C86" s="622"/>
      <c r="D86" s="622"/>
      <c r="E86" s="622"/>
      <c r="F86" s="622"/>
      <c r="G86" s="622"/>
      <c r="H86" s="622"/>
      <c r="I86" s="622"/>
      <c r="J86" s="622"/>
      <c r="K86" s="622"/>
      <c r="L86" s="622"/>
      <c r="M86" s="622"/>
      <c r="N86" s="622"/>
      <c r="O86" s="622"/>
      <c r="P86" s="622"/>
      <c r="Q86" s="622"/>
      <c r="R86" s="622"/>
      <c r="S86" s="622"/>
      <c r="T86" s="622"/>
      <c r="U86" s="622"/>
      <c r="V86" s="622"/>
    </row>
    <row r="87" spans="3:22">
      <c r="C87" s="622"/>
      <c r="D87" s="622"/>
      <c r="E87" s="622"/>
      <c r="F87" s="622"/>
      <c r="G87" s="622"/>
      <c r="H87" s="622"/>
      <c r="I87" s="622"/>
      <c r="J87" s="622"/>
      <c r="K87" s="622"/>
      <c r="L87" s="622"/>
      <c r="M87" s="622"/>
      <c r="N87" s="622"/>
      <c r="O87" s="622"/>
      <c r="P87" s="622"/>
      <c r="Q87" s="622"/>
      <c r="R87" s="622"/>
      <c r="S87" s="622"/>
      <c r="T87" s="622"/>
      <c r="U87" s="622"/>
      <c r="V87" s="622"/>
    </row>
    <row r="88" spans="3:22">
      <c r="C88" s="622"/>
      <c r="D88" s="622"/>
      <c r="E88" s="622"/>
      <c r="F88" s="622"/>
      <c r="G88" s="622"/>
      <c r="H88" s="622"/>
      <c r="I88" s="622"/>
      <c r="J88" s="622"/>
      <c r="K88" s="622"/>
      <c r="L88" s="622"/>
      <c r="M88" s="622"/>
      <c r="N88" s="622"/>
      <c r="O88" s="622"/>
      <c r="P88" s="622"/>
      <c r="Q88" s="622"/>
      <c r="R88" s="622"/>
      <c r="S88" s="622"/>
      <c r="T88" s="622"/>
      <c r="U88" s="622"/>
      <c r="V88" s="622"/>
    </row>
    <row r="89" spans="3:22">
      <c r="C89" s="622"/>
      <c r="D89" s="622"/>
      <c r="E89" s="622"/>
      <c r="F89" s="622"/>
      <c r="G89" s="622"/>
      <c r="H89" s="622"/>
      <c r="I89" s="622"/>
      <c r="J89" s="622"/>
      <c r="K89" s="622"/>
      <c r="L89" s="622"/>
      <c r="M89" s="622"/>
      <c r="N89" s="622"/>
      <c r="O89" s="622"/>
      <c r="P89" s="622"/>
      <c r="Q89" s="622"/>
      <c r="R89" s="622"/>
      <c r="S89" s="622"/>
      <c r="T89" s="622"/>
      <c r="U89" s="622"/>
      <c r="V89" s="622"/>
    </row>
    <row r="90" spans="3:22">
      <c r="C90" s="622"/>
      <c r="D90" s="622"/>
      <c r="E90" s="622"/>
      <c r="F90" s="622"/>
      <c r="G90" s="622"/>
      <c r="H90" s="622"/>
      <c r="I90" s="622"/>
      <c r="J90" s="622"/>
      <c r="K90" s="622"/>
      <c r="L90" s="622"/>
      <c r="M90" s="622"/>
      <c r="N90" s="622"/>
      <c r="O90" s="622"/>
      <c r="P90" s="622"/>
      <c r="Q90" s="622"/>
      <c r="R90" s="622"/>
      <c r="S90" s="622"/>
      <c r="T90" s="622"/>
      <c r="U90" s="622"/>
      <c r="V90" s="622"/>
    </row>
    <row r="91" spans="3:22">
      <c r="C91" s="622"/>
      <c r="D91" s="622"/>
      <c r="E91" s="622"/>
      <c r="F91" s="622"/>
      <c r="G91" s="622"/>
      <c r="H91" s="622"/>
      <c r="I91" s="622"/>
      <c r="J91" s="622"/>
      <c r="K91" s="622"/>
      <c r="L91" s="622"/>
      <c r="M91" s="622"/>
      <c r="N91" s="622"/>
      <c r="O91" s="622"/>
      <c r="P91" s="622"/>
      <c r="Q91" s="622"/>
      <c r="R91" s="622"/>
      <c r="S91" s="622"/>
      <c r="T91" s="622"/>
      <c r="U91" s="622"/>
      <c r="V91" s="622"/>
    </row>
    <row r="92" spans="3:22">
      <c r="C92" s="622"/>
      <c r="D92" s="622"/>
      <c r="E92" s="622"/>
      <c r="F92" s="622"/>
      <c r="G92" s="622"/>
      <c r="H92" s="622"/>
      <c r="I92" s="622"/>
      <c r="J92" s="622"/>
      <c r="K92" s="622"/>
      <c r="L92" s="622"/>
      <c r="M92" s="622"/>
      <c r="N92" s="622"/>
      <c r="O92" s="622"/>
      <c r="P92" s="622"/>
      <c r="Q92" s="622"/>
      <c r="R92" s="622"/>
      <c r="S92" s="622"/>
      <c r="T92" s="622"/>
      <c r="U92" s="622"/>
      <c r="V92" s="622"/>
    </row>
    <row r="93" spans="3:22">
      <c r="C93" s="622"/>
      <c r="D93" s="622"/>
      <c r="E93" s="622"/>
      <c r="F93" s="622"/>
      <c r="G93" s="622"/>
      <c r="H93" s="622"/>
      <c r="I93" s="622"/>
      <c r="J93" s="622"/>
      <c r="K93" s="622"/>
      <c r="L93" s="622"/>
      <c r="M93" s="622"/>
      <c r="N93" s="622"/>
      <c r="O93" s="622"/>
      <c r="P93" s="622"/>
      <c r="Q93" s="622"/>
      <c r="R93" s="622"/>
      <c r="S93" s="622"/>
      <c r="T93" s="622"/>
      <c r="U93" s="622"/>
      <c r="V93" s="622"/>
    </row>
    <row r="94" spans="3:22">
      <c r="C94" s="622"/>
      <c r="D94" s="622"/>
      <c r="E94" s="622"/>
      <c r="F94" s="622"/>
      <c r="G94" s="622"/>
      <c r="H94" s="622"/>
      <c r="I94" s="622"/>
      <c r="J94" s="622"/>
      <c r="K94" s="622"/>
      <c r="L94" s="622"/>
      <c r="M94" s="622"/>
      <c r="N94" s="622"/>
      <c r="O94" s="622"/>
      <c r="P94" s="622"/>
      <c r="Q94" s="622"/>
      <c r="R94" s="622"/>
      <c r="S94" s="622"/>
      <c r="T94" s="622"/>
      <c r="U94" s="622"/>
      <c r="V94" s="622"/>
    </row>
    <row r="95" spans="3:22">
      <c r="C95" s="622"/>
      <c r="D95" s="622"/>
      <c r="E95" s="622"/>
      <c r="F95" s="622"/>
      <c r="G95" s="622"/>
      <c r="H95" s="622"/>
      <c r="I95" s="622"/>
      <c r="J95" s="622"/>
      <c r="K95" s="622"/>
      <c r="L95" s="622"/>
      <c r="M95" s="622"/>
      <c r="N95" s="622"/>
      <c r="O95" s="622"/>
      <c r="P95" s="622"/>
      <c r="Q95" s="622"/>
      <c r="R95" s="622"/>
      <c r="S95" s="622"/>
      <c r="T95" s="622"/>
      <c r="U95" s="622"/>
      <c r="V95" s="622"/>
    </row>
    <row r="96" spans="3:22">
      <c r="C96" s="622"/>
      <c r="D96" s="622"/>
      <c r="E96" s="622"/>
      <c r="F96" s="622"/>
      <c r="G96" s="622"/>
      <c r="H96" s="622"/>
      <c r="I96" s="622"/>
      <c r="J96" s="622"/>
      <c r="K96" s="622"/>
      <c r="L96" s="622"/>
      <c r="M96" s="622"/>
      <c r="N96" s="622"/>
      <c r="O96" s="622"/>
      <c r="P96" s="622"/>
      <c r="Q96" s="622"/>
      <c r="R96" s="622"/>
      <c r="S96" s="622"/>
      <c r="T96" s="622"/>
      <c r="U96" s="622"/>
      <c r="V96" s="622"/>
    </row>
    <row r="97" spans="3:22">
      <c r="C97" s="622"/>
      <c r="D97" s="622"/>
      <c r="E97" s="622"/>
      <c r="F97" s="622"/>
      <c r="G97" s="622"/>
      <c r="H97" s="622"/>
      <c r="I97" s="622"/>
      <c r="J97" s="622"/>
      <c r="K97" s="622"/>
      <c r="L97" s="622"/>
      <c r="M97" s="622"/>
      <c r="N97" s="622"/>
      <c r="O97" s="622"/>
      <c r="P97" s="622"/>
      <c r="Q97" s="622"/>
      <c r="R97" s="622"/>
      <c r="S97" s="622"/>
      <c r="T97" s="622"/>
      <c r="U97" s="622"/>
      <c r="V97" s="622"/>
    </row>
    <row r="98" spans="3:22">
      <c r="C98" s="622"/>
      <c r="D98" s="622"/>
      <c r="E98" s="622"/>
      <c r="F98" s="622"/>
      <c r="G98" s="622"/>
      <c r="H98" s="622"/>
      <c r="I98" s="622"/>
      <c r="J98" s="622"/>
      <c r="K98" s="622"/>
      <c r="L98" s="622"/>
      <c r="M98" s="622"/>
      <c r="N98" s="622"/>
      <c r="O98" s="622"/>
      <c r="P98" s="622"/>
      <c r="Q98" s="622"/>
      <c r="R98" s="622"/>
      <c r="S98" s="622"/>
      <c r="T98" s="622"/>
      <c r="U98" s="622"/>
      <c r="V98" s="622"/>
    </row>
    <row r="99" spans="3:22">
      <c r="C99" s="622"/>
      <c r="D99" s="622"/>
      <c r="E99" s="622"/>
      <c r="F99" s="622"/>
      <c r="G99" s="622"/>
      <c r="H99" s="622"/>
      <c r="I99" s="622"/>
      <c r="J99" s="622"/>
      <c r="K99" s="622"/>
      <c r="L99" s="622"/>
      <c r="M99" s="622"/>
      <c r="N99" s="622"/>
      <c r="O99" s="622"/>
      <c r="P99" s="622"/>
      <c r="Q99" s="622"/>
      <c r="R99" s="622"/>
      <c r="S99" s="622"/>
      <c r="T99" s="622"/>
      <c r="U99" s="622"/>
      <c r="V99" s="622"/>
    </row>
    <row r="100" spans="3:22">
      <c r="C100" s="622"/>
      <c r="D100" s="622"/>
      <c r="E100" s="622"/>
      <c r="F100" s="622"/>
      <c r="G100" s="622"/>
      <c r="H100" s="622"/>
      <c r="I100" s="622"/>
      <c r="J100" s="622"/>
      <c r="K100" s="622"/>
      <c r="L100" s="622"/>
      <c r="M100" s="622"/>
      <c r="N100" s="622"/>
      <c r="O100" s="622"/>
      <c r="P100" s="622"/>
      <c r="Q100" s="622"/>
      <c r="R100" s="622"/>
      <c r="S100" s="622"/>
      <c r="T100" s="622"/>
      <c r="U100" s="622"/>
      <c r="V100" s="622"/>
    </row>
    <row r="101" spans="3:22">
      <c r="C101" s="622"/>
      <c r="D101" s="622"/>
      <c r="E101" s="622"/>
      <c r="F101" s="622"/>
      <c r="G101" s="622"/>
      <c r="H101" s="622"/>
      <c r="I101" s="622"/>
      <c r="J101" s="622"/>
      <c r="K101" s="622"/>
      <c r="L101" s="622"/>
      <c r="M101" s="622"/>
      <c r="N101" s="622"/>
      <c r="O101" s="622"/>
      <c r="P101" s="622"/>
      <c r="Q101" s="622"/>
      <c r="R101" s="622"/>
      <c r="S101" s="622"/>
      <c r="T101" s="622"/>
      <c r="U101" s="622"/>
      <c r="V101" s="622"/>
    </row>
    <row r="102" spans="3:22">
      <c r="C102" s="622"/>
      <c r="D102" s="622"/>
      <c r="E102" s="622"/>
      <c r="F102" s="622"/>
      <c r="G102" s="622"/>
      <c r="H102" s="622"/>
      <c r="I102" s="622"/>
      <c r="J102" s="622"/>
      <c r="K102" s="622"/>
      <c r="L102" s="622"/>
      <c r="M102" s="622"/>
      <c r="N102" s="622"/>
      <c r="O102" s="622"/>
      <c r="P102" s="622"/>
      <c r="Q102" s="622"/>
      <c r="R102" s="622"/>
      <c r="S102" s="622"/>
      <c r="T102" s="622"/>
      <c r="U102" s="622"/>
      <c r="V102" s="622"/>
    </row>
    <row r="103" spans="3:22">
      <c r="C103" s="622"/>
      <c r="D103" s="622"/>
      <c r="E103" s="622"/>
      <c r="F103" s="622"/>
      <c r="G103" s="622"/>
      <c r="H103" s="622"/>
      <c r="I103" s="622"/>
      <c r="J103" s="622"/>
      <c r="K103" s="622"/>
      <c r="L103" s="622"/>
      <c r="M103" s="622"/>
      <c r="N103" s="622"/>
      <c r="O103" s="622"/>
      <c r="P103" s="622"/>
      <c r="Q103" s="622"/>
      <c r="R103" s="622"/>
      <c r="S103" s="622"/>
      <c r="T103" s="622"/>
      <c r="U103" s="622"/>
      <c r="V103" s="622"/>
    </row>
    <row r="104" spans="3:22">
      <c r="C104" s="622"/>
      <c r="D104" s="622"/>
      <c r="E104" s="622"/>
      <c r="F104" s="622"/>
      <c r="G104" s="622"/>
      <c r="H104" s="622"/>
      <c r="I104" s="622"/>
      <c r="J104" s="622"/>
      <c r="K104" s="622"/>
      <c r="L104" s="622"/>
      <c r="M104" s="622"/>
      <c r="N104" s="622"/>
      <c r="O104" s="622"/>
      <c r="P104" s="622"/>
      <c r="Q104" s="622"/>
      <c r="R104" s="622"/>
      <c r="S104" s="622"/>
      <c r="T104" s="622"/>
      <c r="U104" s="622"/>
      <c r="V104" s="622"/>
    </row>
    <row r="105" spans="3:22">
      <c r="C105" s="622"/>
      <c r="D105" s="622"/>
      <c r="E105" s="622"/>
      <c r="F105" s="622"/>
      <c r="G105" s="622"/>
      <c r="H105" s="622"/>
      <c r="I105" s="622"/>
      <c r="J105" s="622"/>
      <c r="K105" s="622"/>
      <c r="L105" s="622"/>
      <c r="M105" s="622"/>
      <c r="N105" s="622"/>
      <c r="O105" s="622"/>
      <c r="P105" s="622"/>
      <c r="Q105" s="622"/>
      <c r="R105" s="622"/>
      <c r="S105" s="622"/>
      <c r="T105" s="622"/>
      <c r="U105" s="622"/>
      <c r="V105" s="622"/>
    </row>
    <row r="106" spans="3:22">
      <c r="C106" s="622"/>
      <c r="D106" s="622"/>
      <c r="E106" s="622"/>
      <c r="F106" s="622"/>
      <c r="G106" s="622"/>
      <c r="H106" s="622"/>
      <c r="I106" s="622"/>
      <c r="J106" s="622"/>
      <c r="K106" s="622"/>
      <c r="L106" s="622"/>
      <c r="M106" s="622"/>
      <c r="N106" s="622"/>
      <c r="O106" s="622"/>
      <c r="P106" s="622"/>
      <c r="Q106" s="622"/>
      <c r="R106" s="622"/>
      <c r="S106" s="622"/>
      <c r="T106" s="622"/>
      <c r="U106" s="622"/>
      <c r="V106" s="622"/>
    </row>
    <row r="107" spans="3:22">
      <c r="C107" s="622"/>
      <c r="D107" s="622"/>
      <c r="E107" s="622"/>
      <c r="F107" s="622"/>
      <c r="G107" s="622"/>
      <c r="H107" s="622"/>
      <c r="I107" s="622"/>
      <c r="J107" s="622"/>
      <c r="K107" s="622"/>
      <c r="L107" s="622"/>
      <c r="M107" s="622"/>
      <c r="N107" s="622"/>
      <c r="O107" s="622"/>
      <c r="P107" s="622"/>
      <c r="Q107" s="622"/>
      <c r="R107" s="622"/>
      <c r="S107" s="622"/>
      <c r="T107" s="622"/>
      <c r="U107" s="622"/>
      <c r="V107" s="622"/>
    </row>
    <row r="108" spans="3:22">
      <c r="C108" s="622"/>
      <c r="D108" s="622"/>
      <c r="E108" s="622"/>
      <c r="F108" s="622"/>
      <c r="G108" s="622"/>
      <c r="H108" s="622"/>
      <c r="I108" s="622"/>
      <c r="J108" s="622"/>
      <c r="K108" s="622"/>
      <c r="L108" s="622"/>
      <c r="M108" s="622"/>
      <c r="N108" s="622"/>
      <c r="O108" s="622"/>
      <c r="P108" s="622"/>
      <c r="Q108" s="622"/>
      <c r="R108" s="622"/>
      <c r="S108" s="622"/>
      <c r="T108" s="622"/>
      <c r="U108" s="622"/>
      <c r="V108" s="622"/>
    </row>
    <row r="109" spans="3:22">
      <c r="C109" s="622"/>
      <c r="D109" s="622"/>
      <c r="E109" s="622"/>
      <c r="F109" s="622"/>
      <c r="G109" s="622"/>
      <c r="H109" s="622"/>
      <c r="I109" s="622"/>
      <c r="J109" s="622"/>
      <c r="K109" s="622"/>
      <c r="L109" s="622"/>
      <c r="M109" s="622"/>
      <c r="N109" s="622"/>
      <c r="O109" s="622"/>
      <c r="P109" s="622"/>
      <c r="Q109" s="622"/>
      <c r="R109" s="622"/>
      <c r="S109" s="622"/>
      <c r="T109" s="622"/>
      <c r="U109" s="622"/>
      <c r="V109" s="622"/>
    </row>
    <row r="110" spans="3:22">
      <c r="C110" s="622"/>
      <c r="D110" s="622"/>
      <c r="E110" s="622"/>
      <c r="F110" s="622"/>
      <c r="G110" s="622"/>
      <c r="H110" s="622"/>
      <c r="I110" s="622"/>
      <c r="J110" s="622"/>
      <c r="K110" s="622"/>
      <c r="L110" s="622"/>
      <c r="M110" s="622"/>
      <c r="N110" s="622"/>
      <c r="O110" s="622"/>
      <c r="P110" s="622"/>
      <c r="Q110" s="622"/>
      <c r="R110" s="622"/>
      <c r="S110" s="622"/>
      <c r="T110" s="622"/>
      <c r="U110" s="622"/>
      <c r="V110" s="622"/>
    </row>
    <row r="111" spans="3:22">
      <c r="C111" s="622"/>
      <c r="D111" s="622"/>
      <c r="E111" s="622"/>
      <c r="F111" s="622"/>
      <c r="G111" s="622"/>
      <c r="H111" s="622"/>
      <c r="I111" s="622"/>
      <c r="J111" s="622"/>
      <c r="K111" s="622"/>
      <c r="L111" s="622"/>
      <c r="M111" s="622"/>
      <c r="N111" s="622"/>
      <c r="O111" s="622"/>
      <c r="P111" s="622"/>
      <c r="Q111" s="622"/>
      <c r="R111" s="622"/>
      <c r="S111" s="622"/>
      <c r="T111" s="622"/>
      <c r="U111" s="622"/>
      <c r="V111" s="622"/>
    </row>
    <row r="112" spans="3:22">
      <c r="C112" s="622"/>
      <c r="D112" s="622"/>
      <c r="E112" s="622"/>
      <c r="F112" s="622"/>
      <c r="G112" s="622"/>
      <c r="H112" s="622"/>
      <c r="I112" s="622"/>
      <c r="J112" s="622"/>
      <c r="K112" s="622"/>
      <c r="L112" s="622"/>
      <c r="M112" s="622"/>
      <c r="N112" s="622"/>
      <c r="O112" s="622"/>
      <c r="P112" s="622"/>
      <c r="Q112" s="622"/>
      <c r="R112" s="622"/>
      <c r="S112" s="622"/>
      <c r="T112" s="622"/>
      <c r="U112" s="622"/>
      <c r="V112" s="622"/>
    </row>
    <row r="113" spans="3:22">
      <c r="C113" s="622"/>
      <c r="D113" s="622"/>
      <c r="E113" s="622"/>
      <c r="F113" s="622"/>
      <c r="G113" s="622"/>
      <c r="H113" s="622"/>
      <c r="I113" s="622"/>
      <c r="J113" s="622"/>
      <c r="K113" s="622"/>
      <c r="L113" s="622"/>
      <c r="M113" s="622"/>
      <c r="N113" s="622"/>
      <c r="O113" s="622"/>
      <c r="P113" s="622"/>
      <c r="Q113" s="622"/>
      <c r="R113" s="622"/>
      <c r="S113" s="622"/>
      <c r="T113" s="622"/>
      <c r="U113" s="622"/>
      <c r="V113" s="622"/>
    </row>
    <row r="114" spans="3:22">
      <c r="C114" s="622"/>
      <c r="D114" s="622"/>
      <c r="E114" s="622"/>
      <c r="F114" s="622"/>
      <c r="G114" s="622"/>
      <c r="H114" s="622"/>
      <c r="I114" s="622"/>
      <c r="J114" s="622"/>
      <c r="K114" s="622"/>
      <c r="L114" s="622"/>
      <c r="M114" s="622"/>
      <c r="N114" s="622"/>
      <c r="O114" s="622"/>
      <c r="P114" s="622"/>
      <c r="Q114" s="622"/>
      <c r="R114" s="622"/>
      <c r="S114" s="622"/>
      <c r="T114" s="622"/>
      <c r="U114" s="622"/>
      <c r="V114" s="622"/>
    </row>
    <row r="115" spans="3:22">
      <c r="C115" s="622"/>
      <c r="D115" s="622"/>
      <c r="E115" s="622"/>
      <c r="F115" s="622"/>
      <c r="G115" s="622"/>
      <c r="H115" s="622"/>
      <c r="I115" s="622"/>
      <c r="J115" s="622"/>
      <c r="K115" s="622"/>
      <c r="L115" s="622"/>
      <c r="M115" s="622"/>
      <c r="N115" s="622"/>
      <c r="O115" s="622"/>
      <c r="P115" s="622"/>
      <c r="Q115" s="622"/>
      <c r="R115" s="622"/>
      <c r="S115" s="622"/>
      <c r="T115" s="622"/>
      <c r="U115" s="622"/>
      <c r="V115" s="622"/>
    </row>
    <row r="116" spans="3:22">
      <c r="C116" s="622"/>
      <c r="D116" s="622"/>
      <c r="E116" s="622"/>
      <c r="F116" s="622"/>
      <c r="G116" s="622"/>
      <c r="H116" s="622"/>
      <c r="I116" s="622"/>
      <c r="J116" s="622"/>
      <c r="K116" s="622"/>
      <c r="L116" s="622"/>
      <c r="M116" s="622"/>
      <c r="N116" s="622"/>
      <c r="O116" s="622"/>
      <c r="P116" s="622"/>
      <c r="Q116" s="622"/>
      <c r="R116" s="622"/>
      <c r="S116" s="622"/>
      <c r="T116" s="622"/>
      <c r="U116" s="622"/>
      <c r="V116" s="622"/>
    </row>
    <row r="117" spans="3:22">
      <c r="C117" s="622"/>
      <c r="D117" s="622"/>
      <c r="E117" s="622"/>
      <c r="F117" s="622"/>
      <c r="G117" s="622"/>
      <c r="H117" s="622"/>
      <c r="I117" s="622"/>
      <c r="J117" s="622"/>
      <c r="K117" s="622"/>
      <c r="L117" s="622"/>
      <c r="M117" s="622"/>
      <c r="N117" s="622"/>
      <c r="O117" s="622"/>
      <c r="P117" s="622"/>
      <c r="Q117" s="622"/>
      <c r="R117" s="622"/>
      <c r="S117" s="622"/>
      <c r="T117" s="622"/>
      <c r="U117" s="622"/>
      <c r="V117" s="622"/>
    </row>
    <row r="118" spans="3:22">
      <c r="C118" s="622"/>
      <c r="D118" s="622"/>
      <c r="E118" s="622"/>
      <c r="F118" s="622"/>
      <c r="G118" s="622"/>
      <c r="H118" s="622"/>
      <c r="I118" s="622"/>
      <c r="J118" s="622"/>
      <c r="K118" s="622"/>
      <c r="L118" s="622"/>
      <c r="M118" s="622"/>
      <c r="N118" s="622"/>
      <c r="O118" s="622"/>
      <c r="P118" s="622"/>
      <c r="Q118" s="622"/>
      <c r="R118" s="622"/>
      <c r="S118" s="622"/>
      <c r="T118" s="622"/>
      <c r="U118" s="622"/>
      <c r="V118" s="622"/>
    </row>
    <row r="119" spans="3:22">
      <c r="C119" s="622"/>
      <c r="D119" s="622"/>
      <c r="E119" s="622"/>
      <c r="F119" s="622"/>
      <c r="G119" s="622"/>
      <c r="H119" s="622"/>
      <c r="I119" s="622"/>
      <c r="J119" s="622"/>
      <c r="K119" s="622"/>
      <c r="L119" s="622"/>
      <c r="M119" s="622"/>
      <c r="N119" s="622"/>
      <c r="O119" s="622"/>
      <c r="P119" s="622"/>
      <c r="Q119" s="622"/>
      <c r="R119" s="622"/>
      <c r="S119" s="622"/>
      <c r="T119" s="622"/>
      <c r="U119" s="622"/>
      <c r="V119" s="622"/>
    </row>
    <row r="120" spans="3:22">
      <c r="C120" s="622"/>
      <c r="D120" s="622"/>
      <c r="E120" s="622"/>
      <c r="F120" s="622"/>
      <c r="G120" s="622"/>
      <c r="H120" s="622"/>
      <c r="I120" s="622"/>
      <c r="J120" s="622"/>
      <c r="K120" s="622"/>
      <c r="L120" s="622"/>
      <c r="M120" s="622"/>
      <c r="N120" s="622"/>
      <c r="O120" s="622"/>
      <c r="P120" s="622"/>
      <c r="Q120" s="622"/>
      <c r="R120" s="622"/>
      <c r="S120" s="622"/>
      <c r="T120" s="622"/>
      <c r="U120" s="622"/>
      <c r="V120" s="622"/>
    </row>
    <row r="121" spans="3:22">
      <c r="C121" s="622"/>
      <c r="D121" s="622"/>
      <c r="E121" s="622"/>
      <c r="F121" s="622"/>
      <c r="G121" s="622"/>
      <c r="H121" s="622"/>
      <c r="I121" s="622"/>
      <c r="J121" s="622"/>
      <c r="K121" s="622"/>
      <c r="L121" s="622"/>
      <c r="M121" s="622"/>
      <c r="N121" s="622"/>
      <c r="O121" s="622"/>
      <c r="P121" s="622"/>
      <c r="Q121" s="622"/>
      <c r="R121" s="622"/>
      <c r="S121" s="622"/>
      <c r="T121" s="622"/>
      <c r="U121" s="622"/>
      <c r="V121" s="622"/>
    </row>
    <row r="122" spans="3:22">
      <c r="C122" s="622"/>
      <c r="D122" s="622"/>
      <c r="E122" s="622"/>
      <c r="F122" s="622"/>
      <c r="G122" s="622"/>
      <c r="H122" s="622"/>
      <c r="I122" s="622"/>
      <c r="J122" s="622"/>
      <c r="K122" s="622"/>
      <c r="L122" s="622"/>
      <c r="M122" s="622"/>
      <c r="N122" s="622"/>
      <c r="O122" s="622"/>
      <c r="P122" s="622"/>
      <c r="Q122" s="622"/>
      <c r="R122" s="622"/>
      <c r="S122" s="622"/>
      <c r="T122" s="622"/>
      <c r="U122" s="622"/>
      <c r="V122" s="622"/>
    </row>
    <row r="123" spans="3:22">
      <c r="C123" s="622"/>
      <c r="D123" s="622"/>
      <c r="E123" s="622"/>
      <c r="F123" s="622"/>
      <c r="G123" s="622"/>
      <c r="H123" s="622"/>
      <c r="I123" s="622"/>
      <c r="J123" s="622"/>
      <c r="K123" s="622"/>
      <c r="L123" s="622"/>
      <c r="M123" s="622"/>
      <c r="N123" s="622"/>
      <c r="O123" s="622"/>
      <c r="P123" s="622"/>
      <c r="Q123" s="622"/>
      <c r="R123" s="622"/>
      <c r="S123" s="622"/>
      <c r="T123" s="622"/>
      <c r="U123" s="622"/>
      <c r="V123" s="622"/>
    </row>
    <row r="124" spans="3:22">
      <c r="C124" s="622"/>
      <c r="D124" s="622"/>
      <c r="E124" s="622"/>
      <c r="F124" s="622"/>
      <c r="G124" s="622"/>
      <c r="H124" s="622"/>
      <c r="I124" s="622"/>
      <c r="J124" s="622"/>
      <c r="K124" s="622"/>
      <c r="L124" s="622"/>
      <c r="M124" s="622"/>
      <c r="N124" s="622"/>
      <c r="O124" s="622"/>
      <c r="P124" s="622"/>
      <c r="Q124" s="622"/>
      <c r="R124" s="622"/>
      <c r="S124" s="622"/>
      <c r="T124" s="622"/>
      <c r="U124" s="622"/>
      <c r="V124" s="622"/>
    </row>
    <row r="125" spans="3:22">
      <c r="C125" s="622"/>
      <c r="D125" s="622"/>
      <c r="E125" s="622"/>
      <c r="F125" s="622"/>
      <c r="G125" s="622"/>
      <c r="H125" s="622"/>
      <c r="I125" s="622"/>
      <c r="J125" s="622"/>
      <c r="K125" s="622"/>
      <c r="L125" s="622"/>
      <c r="M125" s="622"/>
      <c r="N125" s="622"/>
      <c r="O125" s="622"/>
      <c r="P125" s="622"/>
      <c r="Q125" s="622"/>
      <c r="R125" s="622"/>
      <c r="S125" s="622"/>
      <c r="T125" s="622"/>
      <c r="U125" s="622"/>
      <c r="V125" s="622"/>
    </row>
    <row r="126" spans="3:22">
      <c r="C126" s="622"/>
      <c r="D126" s="622"/>
      <c r="E126" s="622"/>
      <c r="F126" s="622"/>
      <c r="G126" s="622"/>
      <c r="H126" s="622"/>
      <c r="I126" s="622"/>
      <c r="J126" s="622"/>
      <c r="K126" s="622"/>
      <c r="L126" s="622"/>
      <c r="M126" s="622"/>
      <c r="N126" s="622"/>
      <c r="O126" s="622"/>
      <c r="P126" s="622"/>
      <c r="Q126" s="622"/>
      <c r="R126" s="622"/>
      <c r="S126" s="622"/>
      <c r="T126" s="622"/>
      <c r="U126" s="622"/>
      <c r="V126" s="622"/>
    </row>
    <row r="127" spans="3:22">
      <c r="C127" s="622"/>
      <c r="D127" s="622"/>
      <c r="E127" s="622"/>
      <c r="F127" s="622"/>
      <c r="G127" s="622"/>
      <c r="H127" s="622"/>
      <c r="I127" s="622"/>
      <c r="J127" s="622"/>
      <c r="K127" s="622"/>
      <c r="L127" s="622"/>
      <c r="M127" s="622"/>
      <c r="N127" s="622"/>
      <c r="O127" s="622"/>
      <c r="P127" s="622"/>
      <c r="Q127" s="622"/>
      <c r="R127" s="622"/>
      <c r="S127" s="622"/>
      <c r="T127" s="622"/>
      <c r="U127" s="622"/>
      <c r="V127" s="622"/>
    </row>
    <row r="128" spans="3:22">
      <c r="C128" s="622"/>
      <c r="D128" s="622"/>
      <c r="E128" s="622"/>
      <c r="F128" s="622"/>
      <c r="G128" s="622"/>
      <c r="H128" s="622"/>
      <c r="I128" s="622"/>
      <c r="J128" s="622"/>
      <c r="K128" s="622"/>
      <c r="L128" s="622"/>
      <c r="M128" s="622"/>
      <c r="N128" s="622"/>
      <c r="O128" s="622"/>
      <c r="P128" s="622"/>
      <c r="Q128" s="622"/>
      <c r="R128" s="622"/>
      <c r="S128" s="622"/>
      <c r="T128" s="622"/>
      <c r="U128" s="622"/>
      <c r="V128" s="622"/>
    </row>
    <row r="129" spans="3:22">
      <c r="C129" s="622"/>
      <c r="D129" s="622"/>
      <c r="E129" s="622"/>
      <c r="F129" s="622"/>
      <c r="G129" s="622"/>
      <c r="H129" s="622"/>
      <c r="I129" s="622"/>
      <c r="J129" s="622"/>
      <c r="K129" s="622"/>
      <c r="L129" s="622"/>
      <c r="M129" s="622"/>
      <c r="N129" s="622"/>
      <c r="O129" s="622"/>
      <c r="P129" s="622"/>
      <c r="Q129" s="622"/>
      <c r="R129" s="622"/>
      <c r="S129" s="622"/>
      <c r="T129" s="622"/>
      <c r="U129" s="622"/>
      <c r="V129" s="622"/>
    </row>
    <row r="130" spans="3:22">
      <c r="C130" s="622"/>
      <c r="D130" s="622"/>
      <c r="E130" s="622"/>
      <c r="F130" s="622"/>
      <c r="G130" s="622"/>
      <c r="H130" s="622"/>
      <c r="I130" s="622"/>
      <c r="J130" s="622"/>
      <c r="K130" s="622"/>
      <c r="L130" s="622"/>
      <c r="M130" s="622"/>
      <c r="N130" s="622"/>
      <c r="O130" s="622"/>
      <c r="P130" s="622"/>
      <c r="Q130" s="622"/>
      <c r="R130" s="622"/>
      <c r="S130" s="622"/>
      <c r="T130" s="622"/>
      <c r="U130" s="622"/>
      <c r="V130" s="622"/>
    </row>
    <row r="131" spans="3:22">
      <c r="C131" s="622"/>
      <c r="D131" s="622"/>
      <c r="E131" s="622"/>
      <c r="F131" s="622"/>
      <c r="G131" s="622"/>
      <c r="H131" s="622"/>
      <c r="I131" s="622"/>
      <c r="J131" s="622"/>
      <c r="K131" s="622"/>
      <c r="L131" s="622"/>
      <c r="M131" s="622"/>
      <c r="N131" s="622"/>
      <c r="O131" s="622"/>
      <c r="P131" s="622"/>
      <c r="Q131" s="622"/>
      <c r="R131" s="622"/>
      <c r="S131" s="622"/>
      <c r="T131" s="622"/>
      <c r="U131" s="622"/>
      <c r="V131" s="622"/>
    </row>
    <row r="132" spans="3:22">
      <c r="C132" s="622"/>
      <c r="D132" s="622"/>
      <c r="E132" s="622"/>
      <c r="F132" s="622"/>
      <c r="G132" s="622"/>
      <c r="H132" s="622"/>
      <c r="I132" s="622"/>
      <c r="J132" s="622"/>
      <c r="K132" s="622"/>
      <c r="L132" s="622"/>
      <c r="M132" s="622"/>
      <c r="N132" s="622"/>
      <c r="O132" s="622"/>
      <c r="P132" s="622"/>
      <c r="Q132" s="622"/>
      <c r="R132" s="622"/>
      <c r="S132" s="622"/>
      <c r="T132" s="622"/>
      <c r="U132" s="622"/>
      <c r="V132" s="622"/>
    </row>
    <row r="133" spans="3:22">
      <c r="C133" s="622"/>
      <c r="D133" s="622"/>
      <c r="E133" s="622"/>
      <c r="F133" s="622"/>
      <c r="G133" s="622"/>
      <c r="H133" s="622"/>
      <c r="I133" s="622"/>
      <c r="J133" s="622"/>
      <c r="K133" s="622"/>
      <c r="L133" s="622"/>
      <c r="M133" s="622"/>
      <c r="N133" s="622"/>
      <c r="O133" s="622"/>
      <c r="P133" s="622"/>
      <c r="Q133" s="622"/>
      <c r="R133" s="622"/>
      <c r="S133" s="622"/>
      <c r="T133" s="622"/>
      <c r="U133" s="622"/>
      <c r="V133" s="622"/>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9"/>
  <sheetViews>
    <sheetView zoomScaleNormal="100" workbookViewId="0">
      <selection activeCell="AT58" sqref="AT58"/>
    </sheetView>
  </sheetViews>
  <sheetFormatPr defaultColWidth="0" defaultRowHeight="12.75"/>
  <cols>
    <col min="1" max="1" width="55.28515625" style="624" customWidth="1"/>
    <col min="2" max="13" width="9" style="624" hidden="1" customWidth="1"/>
    <col min="14" max="26" width="9.140625" style="624" hidden="1" customWidth="1"/>
    <col min="27" max="31" width="0" style="624" hidden="1" customWidth="1"/>
    <col min="32" max="39" width="9.140625" style="624" hidden="1" customWidth="1"/>
    <col min="40" max="40" width="9.7109375" style="624" hidden="1" customWidth="1"/>
    <col min="41" max="42" width="11.28515625" style="624" hidden="1" customWidth="1"/>
    <col min="43" max="55" width="11.28515625" style="624" customWidth="1"/>
    <col min="56" max="205" width="9.140625" style="624" customWidth="1"/>
    <col min="206" max="206" width="55.28515625" style="624" customWidth="1"/>
    <col min="207" max="256" width="0" style="624" hidden="1"/>
    <col min="257" max="257" width="55.28515625" style="624" customWidth="1"/>
    <col min="258" max="295" width="0" style="624" hidden="1" customWidth="1"/>
    <col min="296" max="461" width="9.140625" style="624" customWidth="1"/>
    <col min="462" max="462" width="55.28515625" style="624" customWidth="1"/>
    <col min="463" max="512" width="0" style="624" hidden="1"/>
    <col min="513" max="513" width="55.28515625" style="624" customWidth="1"/>
    <col min="514" max="551" width="0" style="624" hidden="1" customWidth="1"/>
    <col min="552" max="717" width="9.140625" style="624" customWidth="1"/>
    <col min="718" max="718" width="55.28515625" style="624" customWidth="1"/>
    <col min="719" max="768" width="0" style="624" hidden="1"/>
    <col min="769" max="769" width="55.28515625" style="624" customWidth="1"/>
    <col min="770" max="807" width="0" style="624" hidden="1" customWidth="1"/>
    <col min="808" max="973" width="9.140625" style="624" customWidth="1"/>
    <col min="974" max="974" width="55.28515625" style="624" customWidth="1"/>
    <col min="975" max="1024" width="0" style="624" hidden="1"/>
    <col min="1025" max="1025" width="55.28515625" style="624" customWidth="1"/>
    <col min="1026" max="1063" width="0" style="624" hidden="1" customWidth="1"/>
    <col min="1064" max="1229" width="9.140625" style="624" customWidth="1"/>
    <col min="1230" max="1230" width="55.28515625" style="624" customWidth="1"/>
    <col min="1231" max="1280" width="0" style="624" hidden="1"/>
    <col min="1281" max="1281" width="55.28515625" style="624" customWidth="1"/>
    <col min="1282" max="1319" width="0" style="624" hidden="1" customWidth="1"/>
    <col min="1320" max="1485" width="9.140625" style="624" customWidth="1"/>
    <col min="1486" max="1486" width="55.28515625" style="624" customWidth="1"/>
    <col min="1487" max="1536" width="0" style="624" hidden="1"/>
    <col min="1537" max="1537" width="55.28515625" style="624" customWidth="1"/>
    <col min="1538" max="1575" width="0" style="624" hidden="1" customWidth="1"/>
    <col min="1576" max="1741" width="9.140625" style="624" customWidth="1"/>
    <col min="1742" max="1742" width="55.28515625" style="624" customWidth="1"/>
    <col min="1743" max="1792" width="0" style="624" hidden="1"/>
    <col min="1793" max="1793" width="55.28515625" style="624" customWidth="1"/>
    <col min="1794" max="1831" width="0" style="624" hidden="1" customWidth="1"/>
    <col min="1832" max="1997" width="9.140625" style="624" customWidth="1"/>
    <col min="1998" max="1998" width="55.28515625" style="624" customWidth="1"/>
    <col min="1999" max="2048" width="0" style="624" hidden="1"/>
    <col min="2049" max="2049" width="55.28515625" style="624" customWidth="1"/>
    <col min="2050" max="2087" width="0" style="624" hidden="1" customWidth="1"/>
    <col min="2088" max="2253" width="9.140625" style="624" customWidth="1"/>
    <col min="2254" max="2254" width="55.28515625" style="624" customWidth="1"/>
    <col min="2255" max="2304" width="0" style="624" hidden="1"/>
    <col min="2305" max="2305" width="55.28515625" style="624" customWidth="1"/>
    <col min="2306" max="2343" width="0" style="624" hidden="1" customWidth="1"/>
    <col min="2344" max="2509" width="9.140625" style="624" customWidth="1"/>
    <col min="2510" max="2510" width="55.28515625" style="624" customWidth="1"/>
    <col min="2511" max="2560" width="0" style="624" hidden="1"/>
    <col min="2561" max="2561" width="55.28515625" style="624" customWidth="1"/>
    <col min="2562" max="2599" width="0" style="624" hidden="1" customWidth="1"/>
    <col min="2600" max="2765" width="9.140625" style="624" customWidth="1"/>
    <col min="2766" max="2766" width="55.28515625" style="624" customWidth="1"/>
    <col min="2767" max="2816" width="0" style="624" hidden="1"/>
    <col min="2817" max="2817" width="55.28515625" style="624" customWidth="1"/>
    <col min="2818" max="2855" width="0" style="624" hidden="1" customWidth="1"/>
    <col min="2856" max="3021" width="9.140625" style="624" customWidth="1"/>
    <col min="3022" max="3022" width="55.28515625" style="624" customWidth="1"/>
    <col min="3023" max="3072" width="0" style="624" hidden="1"/>
    <col min="3073" max="3073" width="55.28515625" style="624" customWidth="1"/>
    <col min="3074" max="3111" width="0" style="624" hidden="1" customWidth="1"/>
    <col min="3112" max="3277" width="9.140625" style="624" customWidth="1"/>
    <col min="3278" max="3278" width="55.28515625" style="624" customWidth="1"/>
    <col min="3279" max="3328" width="0" style="624" hidden="1"/>
    <col min="3329" max="3329" width="55.28515625" style="624" customWidth="1"/>
    <col min="3330" max="3367" width="0" style="624" hidden="1" customWidth="1"/>
    <col min="3368" max="3533" width="9.140625" style="624" customWidth="1"/>
    <col min="3534" max="3534" width="55.28515625" style="624" customWidth="1"/>
    <col min="3535" max="3584" width="0" style="624" hidden="1"/>
    <col min="3585" max="3585" width="55.28515625" style="624" customWidth="1"/>
    <col min="3586" max="3623" width="0" style="624" hidden="1" customWidth="1"/>
    <col min="3624" max="3789" width="9.140625" style="624" customWidth="1"/>
    <col min="3790" max="3790" width="55.28515625" style="624" customWidth="1"/>
    <col min="3791" max="3840" width="0" style="624" hidden="1"/>
    <col min="3841" max="3841" width="55.28515625" style="624" customWidth="1"/>
    <col min="3842" max="3879" width="0" style="624" hidden="1" customWidth="1"/>
    <col min="3880" max="4045" width="9.140625" style="624" customWidth="1"/>
    <col min="4046" max="4046" width="55.28515625" style="624" customWidth="1"/>
    <col min="4047" max="4096" width="0" style="624" hidden="1"/>
    <col min="4097" max="4097" width="55.28515625" style="624" customWidth="1"/>
    <col min="4098" max="4135" width="0" style="624" hidden="1" customWidth="1"/>
    <col min="4136" max="4301" width="9.140625" style="624" customWidth="1"/>
    <col min="4302" max="4302" width="55.28515625" style="624" customWidth="1"/>
    <col min="4303" max="4352" width="0" style="624" hidden="1"/>
    <col min="4353" max="4353" width="55.28515625" style="624" customWidth="1"/>
    <col min="4354" max="4391" width="0" style="624" hidden="1" customWidth="1"/>
    <col min="4392" max="4557" width="9.140625" style="624" customWidth="1"/>
    <col min="4558" max="4558" width="55.28515625" style="624" customWidth="1"/>
    <col min="4559" max="4608" width="0" style="624" hidden="1"/>
    <col min="4609" max="4609" width="55.28515625" style="624" customWidth="1"/>
    <col min="4610" max="4647" width="0" style="624" hidden="1" customWidth="1"/>
    <col min="4648" max="4813" width="9.140625" style="624" customWidth="1"/>
    <col min="4814" max="4814" width="55.28515625" style="624" customWidth="1"/>
    <col min="4815" max="4864" width="0" style="624" hidden="1"/>
    <col min="4865" max="4865" width="55.28515625" style="624" customWidth="1"/>
    <col min="4866" max="4903" width="0" style="624" hidden="1" customWidth="1"/>
    <col min="4904" max="5069" width="9.140625" style="624" customWidth="1"/>
    <col min="5070" max="5070" width="55.28515625" style="624" customWidth="1"/>
    <col min="5071" max="5120" width="0" style="624" hidden="1"/>
    <col min="5121" max="5121" width="55.28515625" style="624" customWidth="1"/>
    <col min="5122" max="5159" width="0" style="624" hidden="1" customWidth="1"/>
    <col min="5160" max="5325" width="9.140625" style="624" customWidth="1"/>
    <col min="5326" max="5326" width="55.28515625" style="624" customWidth="1"/>
    <col min="5327" max="5376" width="0" style="624" hidden="1"/>
    <col min="5377" max="5377" width="55.28515625" style="624" customWidth="1"/>
    <col min="5378" max="5415" width="0" style="624" hidden="1" customWidth="1"/>
    <col min="5416" max="5581" width="9.140625" style="624" customWidth="1"/>
    <col min="5582" max="5582" width="55.28515625" style="624" customWidth="1"/>
    <col min="5583" max="5632" width="0" style="624" hidden="1"/>
    <col min="5633" max="5633" width="55.28515625" style="624" customWidth="1"/>
    <col min="5634" max="5671" width="0" style="624" hidden="1" customWidth="1"/>
    <col min="5672" max="5837" width="9.140625" style="624" customWidth="1"/>
    <col min="5838" max="5838" width="55.28515625" style="624" customWidth="1"/>
    <col min="5839" max="5888" width="0" style="624" hidden="1"/>
    <col min="5889" max="5889" width="55.28515625" style="624" customWidth="1"/>
    <col min="5890" max="5927" width="0" style="624" hidden="1" customWidth="1"/>
    <col min="5928" max="6093" width="9.140625" style="624" customWidth="1"/>
    <col min="6094" max="6094" width="55.28515625" style="624" customWidth="1"/>
    <col min="6095" max="6144" width="0" style="624" hidden="1"/>
    <col min="6145" max="6145" width="55.28515625" style="624" customWidth="1"/>
    <col min="6146" max="6183" width="0" style="624" hidden="1" customWidth="1"/>
    <col min="6184" max="6349" width="9.140625" style="624" customWidth="1"/>
    <col min="6350" max="6350" width="55.28515625" style="624" customWidth="1"/>
    <col min="6351" max="6400" width="0" style="624" hidden="1"/>
    <col min="6401" max="6401" width="55.28515625" style="624" customWidth="1"/>
    <col min="6402" max="6439" width="0" style="624" hidden="1" customWidth="1"/>
    <col min="6440" max="6605" width="9.140625" style="624" customWidth="1"/>
    <col min="6606" max="6606" width="55.28515625" style="624" customWidth="1"/>
    <col min="6607" max="6656" width="0" style="624" hidden="1"/>
    <col min="6657" max="6657" width="55.28515625" style="624" customWidth="1"/>
    <col min="6658" max="6695" width="0" style="624" hidden="1" customWidth="1"/>
    <col min="6696" max="6861" width="9.140625" style="624" customWidth="1"/>
    <col min="6862" max="6862" width="55.28515625" style="624" customWidth="1"/>
    <col min="6863" max="6912" width="0" style="624" hidden="1"/>
    <col min="6913" max="6913" width="55.28515625" style="624" customWidth="1"/>
    <col min="6914" max="6951" width="0" style="624" hidden="1" customWidth="1"/>
    <col min="6952" max="7117" width="9.140625" style="624" customWidth="1"/>
    <col min="7118" max="7118" width="55.28515625" style="624" customWidth="1"/>
    <col min="7119" max="7168" width="0" style="624" hidden="1"/>
    <col min="7169" max="7169" width="55.28515625" style="624" customWidth="1"/>
    <col min="7170" max="7207" width="0" style="624" hidden="1" customWidth="1"/>
    <col min="7208" max="7373" width="9.140625" style="624" customWidth="1"/>
    <col min="7374" max="7374" width="55.28515625" style="624" customWidth="1"/>
    <col min="7375" max="7424" width="0" style="624" hidden="1"/>
    <col min="7425" max="7425" width="55.28515625" style="624" customWidth="1"/>
    <col min="7426" max="7463" width="0" style="624" hidden="1" customWidth="1"/>
    <col min="7464" max="7629" width="9.140625" style="624" customWidth="1"/>
    <col min="7630" max="7630" width="55.28515625" style="624" customWidth="1"/>
    <col min="7631" max="7680" width="0" style="624" hidden="1"/>
    <col min="7681" max="7681" width="55.28515625" style="624" customWidth="1"/>
    <col min="7682" max="7719" width="0" style="624" hidden="1" customWidth="1"/>
    <col min="7720" max="7885" width="9.140625" style="624" customWidth="1"/>
    <col min="7886" max="7886" width="55.28515625" style="624" customWidth="1"/>
    <col min="7887" max="7936" width="0" style="624" hidden="1"/>
    <col min="7937" max="7937" width="55.28515625" style="624" customWidth="1"/>
    <col min="7938" max="7975" width="0" style="624" hidden="1" customWidth="1"/>
    <col min="7976" max="8141" width="9.140625" style="624" customWidth="1"/>
    <col min="8142" max="8142" width="55.28515625" style="624" customWidth="1"/>
    <col min="8143" max="8192" width="0" style="624" hidden="1"/>
    <col min="8193" max="8193" width="55.28515625" style="624" customWidth="1"/>
    <col min="8194" max="8231" width="0" style="624" hidden="1" customWidth="1"/>
    <col min="8232" max="8397" width="9.140625" style="624" customWidth="1"/>
    <col min="8398" max="8398" width="55.28515625" style="624" customWidth="1"/>
    <col min="8399" max="8448" width="0" style="624" hidden="1"/>
    <col min="8449" max="8449" width="55.28515625" style="624" customWidth="1"/>
    <col min="8450" max="8487" width="0" style="624" hidden="1" customWidth="1"/>
    <col min="8488" max="8653" width="9.140625" style="624" customWidth="1"/>
    <col min="8654" max="8654" width="55.28515625" style="624" customWidth="1"/>
    <col min="8655" max="8704" width="0" style="624" hidden="1"/>
    <col min="8705" max="8705" width="55.28515625" style="624" customWidth="1"/>
    <col min="8706" max="8743" width="0" style="624" hidden="1" customWidth="1"/>
    <col min="8744" max="8909" width="9.140625" style="624" customWidth="1"/>
    <col min="8910" max="8910" width="55.28515625" style="624" customWidth="1"/>
    <col min="8911" max="8960" width="0" style="624" hidden="1"/>
    <col min="8961" max="8961" width="55.28515625" style="624" customWidth="1"/>
    <col min="8962" max="8999" width="0" style="624" hidden="1" customWidth="1"/>
    <col min="9000" max="9165" width="9.140625" style="624" customWidth="1"/>
    <col min="9166" max="9166" width="55.28515625" style="624" customWidth="1"/>
    <col min="9167" max="9216" width="0" style="624" hidden="1"/>
    <col min="9217" max="9217" width="55.28515625" style="624" customWidth="1"/>
    <col min="9218" max="9255" width="0" style="624" hidden="1" customWidth="1"/>
    <col min="9256" max="9421" width="9.140625" style="624" customWidth="1"/>
    <col min="9422" max="9422" width="55.28515625" style="624" customWidth="1"/>
    <col min="9423" max="9472" width="0" style="624" hidden="1"/>
    <col min="9473" max="9473" width="55.28515625" style="624" customWidth="1"/>
    <col min="9474" max="9511" width="0" style="624" hidden="1" customWidth="1"/>
    <col min="9512" max="9677" width="9.140625" style="624" customWidth="1"/>
    <col min="9678" max="9678" width="55.28515625" style="624" customWidth="1"/>
    <col min="9679" max="9728" width="0" style="624" hidden="1"/>
    <col min="9729" max="9729" width="55.28515625" style="624" customWidth="1"/>
    <col min="9730" max="9767" width="0" style="624" hidden="1" customWidth="1"/>
    <col min="9768" max="9933" width="9.140625" style="624" customWidth="1"/>
    <col min="9934" max="9934" width="55.28515625" style="624" customWidth="1"/>
    <col min="9935" max="9984" width="0" style="624" hidden="1"/>
    <col min="9985" max="9985" width="55.28515625" style="624" customWidth="1"/>
    <col min="9986" max="10023" width="0" style="624" hidden="1" customWidth="1"/>
    <col min="10024" max="10189" width="9.140625" style="624" customWidth="1"/>
    <col min="10190" max="10190" width="55.28515625" style="624" customWidth="1"/>
    <col min="10191" max="10240" width="0" style="624" hidden="1"/>
    <col min="10241" max="10241" width="55.28515625" style="624" customWidth="1"/>
    <col min="10242" max="10279" width="0" style="624" hidden="1" customWidth="1"/>
    <col min="10280" max="10445" width="9.140625" style="624" customWidth="1"/>
    <col min="10446" max="10446" width="55.28515625" style="624" customWidth="1"/>
    <col min="10447" max="10496" width="0" style="624" hidden="1"/>
    <col min="10497" max="10497" width="55.28515625" style="624" customWidth="1"/>
    <col min="10498" max="10535" width="0" style="624" hidden="1" customWidth="1"/>
    <col min="10536" max="10701" width="9.140625" style="624" customWidth="1"/>
    <col min="10702" max="10702" width="55.28515625" style="624" customWidth="1"/>
    <col min="10703" max="10752" width="0" style="624" hidden="1"/>
    <col min="10753" max="10753" width="55.28515625" style="624" customWidth="1"/>
    <col min="10754" max="10791" width="0" style="624" hidden="1" customWidth="1"/>
    <col min="10792" max="10957" width="9.140625" style="624" customWidth="1"/>
    <col min="10958" max="10958" width="55.28515625" style="624" customWidth="1"/>
    <col min="10959" max="11008" width="0" style="624" hidden="1"/>
    <col min="11009" max="11009" width="55.28515625" style="624" customWidth="1"/>
    <col min="11010" max="11047" width="0" style="624" hidden="1" customWidth="1"/>
    <col min="11048" max="11213" width="9.140625" style="624" customWidth="1"/>
    <col min="11214" max="11214" width="55.28515625" style="624" customWidth="1"/>
    <col min="11215" max="11264" width="0" style="624" hidden="1"/>
    <col min="11265" max="11265" width="55.28515625" style="624" customWidth="1"/>
    <col min="11266" max="11303" width="0" style="624" hidden="1" customWidth="1"/>
    <col min="11304" max="11469" width="9.140625" style="624" customWidth="1"/>
    <col min="11470" max="11470" width="55.28515625" style="624" customWidth="1"/>
    <col min="11471" max="11520" width="0" style="624" hidden="1"/>
    <col min="11521" max="11521" width="55.28515625" style="624" customWidth="1"/>
    <col min="11522" max="11559" width="0" style="624" hidden="1" customWidth="1"/>
    <col min="11560" max="11725" width="9.140625" style="624" customWidth="1"/>
    <col min="11726" max="11726" width="55.28515625" style="624" customWidth="1"/>
    <col min="11727" max="11776" width="0" style="624" hidden="1"/>
    <col min="11777" max="11777" width="55.28515625" style="624" customWidth="1"/>
    <col min="11778" max="11815" width="0" style="624" hidden="1" customWidth="1"/>
    <col min="11816" max="11981" width="9.140625" style="624" customWidth="1"/>
    <col min="11982" max="11982" width="55.28515625" style="624" customWidth="1"/>
    <col min="11983" max="12032" width="0" style="624" hidden="1"/>
    <col min="12033" max="12033" width="55.28515625" style="624" customWidth="1"/>
    <col min="12034" max="12071" width="0" style="624" hidden="1" customWidth="1"/>
    <col min="12072" max="12237" width="9.140625" style="624" customWidth="1"/>
    <col min="12238" max="12238" width="55.28515625" style="624" customWidth="1"/>
    <col min="12239" max="12288" width="0" style="624" hidden="1"/>
    <col min="12289" max="12289" width="55.28515625" style="624" customWidth="1"/>
    <col min="12290" max="12327" width="0" style="624" hidden="1" customWidth="1"/>
    <col min="12328" max="12493" width="9.140625" style="624" customWidth="1"/>
    <col min="12494" max="12494" width="55.28515625" style="624" customWidth="1"/>
    <col min="12495" max="12544" width="0" style="624" hidden="1"/>
    <col min="12545" max="12545" width="55.28515625" style="624" customWidth="1"/>
    <col min="12546" max="12583" width="0" style="624" hidden="1" customWidth="1"/>
    <col min="12584" max="12749" width="9.140625" style="624" customWidth="1"/>
    <col min="12750" max="12750" width="55.28515625" style="624" customWidth="1"/>
    <col min="12751" max="12800" width="0" style="624" hidden="1"/>
    <col min="12801" max="12801" width="55.28515625" style="624" customWidth="1"/>
    <col min="12802" max="12839" width="0" style="624" hidden="1" customWidth="1"/>
    <col min="12840" max="13005" width="9.140625" style="624" customWidth="1"/>
    <col min="13006" max="13006" width="55.28515625" style="624" customWidth="1"/>
    <col min="13007" max="13056" width="0" style="624" hidden="1"/>
    <col min="13057" max="13057" width="55.28515625" style="624" customWidth="1"/>
    <col min="13058" max="13095" width="0" style="624" hidden="1" customWidth="1"/>
    <col min="13096" max="13261" width="9.140625" style="624" customWidth="1"/>
    <col min="13262" max="13262" width="55.28515625" style="624" customWidth="1"/>
    <col min="13263" max="13312" width="0" style="624" hidden="1"/>
    <col min="13313" max="13313" width="55.28515625" style="624" customWidth="1"/>
    <col min="13314" max="13351" width="0" style="624" hidden="1" customWidth="1"/>
    <col min="13352" max="13517" width="9.140625" style="624" customWidth="1"/>
    <col min="13518" max="13518" width="55.28515625" style="624" customWidth="1"/>
    <col min="13519" max="13568" width="0" style="624" hidden="1"/>
    <col min="13569" max="13569" width="55.28515625" style="624" customWidth="1"/>
    <col min="13570" max="13607" width="0" style="624" hidden="1" customWidth="1"/>
    <col min="13608" max="13773" width="9.140625" style="624" customWidth="1"/>
    <col min="13774" max="13774" width="55.28515625" style="624" customWidth="1"/>
    <col min="13775" max="13824" width="0" style="624" hidden="1"/>
    <col min="13825" max="13825" width="55.28515625" style="624" customWidth="1"/>
    <col min="13826" max="13863" width="0" style="624" hidden="1" customWidth="1"/>
    <col min="13864" max="14029" width="9.140625" style="624" customWidth="1"/>
    <col min="14030" max="14030" width="55.28515625" style="624" customWidth="1"/>
    <col min="14031" max="14080" width="0" style="624" hidden="1"/>
    <col min="14081" max="14081" width="55.28515625" style="624" customWidth="1"/>
    <col min="14082" max="14119" width="0" style="624" hidden="1" customWidth="1"/>
    <col min="14120" max="14285" width="9.140625" style="624" customWidth="1"/>
    <col min="14286" max="14286" width="55.28515625" style="624" customWidth="1"/>
    <col min="14287" max="14336" width="0" style="624" hidden="1"/>
    <col min="14337" max="14337" width="55.28515625" style="624" customWidth="1"/>
    <col min="14338" max="14375" width="0" style="624" hidden="1" customWidth="1"/>
    <col min="14376" max="14541" width="9.140625" style="624" customWidth="1"/>
    <col min="14542" max="14542" width="55.28515625" style="624" customWidth="1"/>
    <col min="14543" max="14592" width="0" style="624" hidden="1"/>
    <col min="14593" max="14593" width="55.28515625" style="624" customWidth="1"/>
    <col min="14594" max="14631" width="0" style="624" hidden="1" customWidth="1"/>
    <col min="14632" max="14797" width="9.140625" style="624" customWidth="1"/>
    <col min="14798" max="14798" width="55.28515625" style="624" customWidth="1"/>
    <col min="14799" max="14848" width="0" style="624" hidden="1"/>
    <col min="14849" max="14849" width="55.28515625" style="624" customWidth="1"/>
    <col min="14850" max="14887" width="0" style="624" hidden="1" customWidth="1"/>
    <col min="14888" max="15053" width="9.140625" style="624" customWidth="1"/>
    <col min="15054" max="15054" width="55.28515625" style="624" customWidth="1"/>
    <col min="15055" max="15104" width="0" style="624" hidden="1"/>
    <col min="15105" max="15105" width="55.28515625" style="624" customWidth="1"/>
    <col min="15106" max="15143" width="0" style="624" hidden="1" customWidth="1"/>
    <col min="15144" max="15309" width="9.140625" style="624" customWidth="1"/>
    <col min="15310" max="15310" width="55.28515625" style="624" customWidth="1"/>
    <col min="15311" max="15360" width="0" style="624" hidden="1"/>
    <col min="15361" max="15361" width="55.28515625" style="624" customWidth="1"/>
    <col min="15362" max="15399" width="0" style="624" hidden="1" customWidth="1"/>
    <col min="15400" max="15565" width="9.140625" style="624" customWidth="1"/>
    <col min="15566" max="15566" width="55.28515625" style="624" customWidth="1"/>
    <col min="15567" max="15616" width="0" style="624" hidden="1"/>
    <col min="15617" max="15617" width="55.28515625" style="624" customWidth="1"/>
    <col min="15618" max="15655" width="0" style="624" hidden="1" customWidth="1"/>
    <col min="15656" max="15821" width="9.140625" style="624" customWidth="1"/>
    <col min="15822" max="15822" width="55.28515625" style="624" customWidth="1"/>
    <col min="15823" max="15872" width="0" style="624" hidden="1"/>
    <col min="15873" max="15873" width="55.28515625" style="624" customWidth="1"/>
    <col min="15874" max="15911" width="0" style="624" hidden="1" customWidth="1"/>
    <col min="15912" max="16077" width="9.140625" style="624" customWidth="1"/>
    <col min="16078" max="16078" width="55.28515625" style="624" customWidth="1"/>
    <col min="16079" max="16128" width="0" style="624" hidden="1"/>
    <col min="16129" max="16129" width="55.28515625" style="624" customWidth="1"/>
    <col min="16130" max="16167" width="0" style="624" hidden="1" customWidth="1"/>
    <col min="16168" max="16333" width="9.140625" style="624" customWidth="1"/>
    <col min="16334" max="16334" width="55.28515625" style="624" customWidth="1"/>
    <col min="16335" max="16384" width="0" style="624" hidden="1"/>
  </cols>
  <sheetData>
    <row r="1" spans="1:55" ht="25.5" customHeight="1">
      <c r="A1" s="623" t="s">
        <v>476</v>
      </c>
    </row>
    <row r="2" spans="1:55">
      <c r="A2" s="625"/>
    </row>
    <row r="3" spans="1:55" ht="15.75" thickBot="1">
      <c r="A3" s="626"/>
      <c r="B3" s="627"/>
      <c r="C3" s="627"/>
      <c r="D3" s="627"/>
      <c r="E3" s="627"/>
      <c r="G3" s="627"/>
      <c r="H3" s="627"/>
      <c r="I3" s="627"/>
      <c r="K3" s="627"/>
      <c r="N3" s="627"/>
      <c r="O3" s="627"/>
      <c r="P3" s="627"/>
      <c r="Q3" s="627"/>
      <c r="R3" s="627"/>
      <c r="S3" s="627"/>
      <c r="T3" s="627"/>
      <c r="U3" s="627"/>
      <c r="V3" s="627"/>
      <c r="W3" s="627"/>
      <c r="X3" s="627"/>
      <c r="Y3" s="628"/>
      <c r="Z3" s="628"/>
      <c r="AA3" s="628"/>
      <c r="AB3" s="628"/>
      <c r="AC3" s="628"/>
      <c r="AD3" s="629"/>
      <c r="AE3" s="629"/>
      <c r="AF3" s="629"/>
      <c r="AG3" s="629"/>
      <c r="AH3" s="629"/>
      <c r="AI3" s="629"/>
      <c r="AJ3" s="629"/>
      <c r="AK3" s="630"/>
      <c r="AL3" s="630"/>
      <c r="AM3" s="630"/>
      <c r="AN3" s="630"/>
      <c r="AO3" s="630"/>
      <c r="AP3" s="630"/>
      <c r="AV3" s="630"/>
      <c r="AW3" s="630"/>
      <c r="AX3" s="630"/>
      <c r="BA3" s="631"/>
      <c r="BB3" s="631"/>
      <c r="BC3" s="631" t="s">
        <v>74</v>
      </c>
    </row>
    <row r="4" spans="1:55" ht="24" customHeight="1" thickTop="1" thickBot="1">
      <c r="A4" s="632"/>
      <c r="B4" s="497">
        <v>40179</v>
      </c>
      <c r="C4" s="497">
        <v>40211</v>
      </c>
      <c r="D4" s="497">
        <v>40239</v>
      </c>
      <c r="E4" s="497">
        <v>40270</v>
      </c>
      <c r="F4" s="497">
        <v>40300</v>
      </c>
      <c r="G4" s="497">
        <v>40331</v>
      </c>
      <c r="H4" s="497">
        <v>40361</v>
      </c>
      <c r="I4" s="497">
        <v>40392</v>
      </c>
      <c r="J4" s="497">
        <v>40423</v>
      </c>
      <c r="K4" s="497">
        <v>40453</v>
      </c>
      <c r="L4" s="497">
        <v>40484</v>
      </c>
      <c r="M4" s="497">
        <v>40514</v>
      </c>
      <c r="N4" s="497">
        <v>40545</v>
      </c>
      <c r="O4" s="497">
        <v>40576</v>
      </c>
      <c r="P4" s="497">
        <v>40604</v>
      </c>
      <c r="Q4" s="497">
        <v>40635</v>
      </c>
      <c r="R4" s="497">
        <v>40665</v>
      </c>
      <c r="S4" s="497">
        <v>40696</v>
      </c>
      <c r="T4" s="497">
        <v>40726</v>
      </c>
      <c r="U4" s="497">
        <v>40757</v>
      </c>
      <c r="V4" s="497">
        <v>40788</v>
      </c>
      <c r="W4" s="497">
        <v>40818</v>
      </c>
      <c r="X4" s="497">
        <v>40849</v>
      </c>
      <c r="Y4" s="497">
        <v>40879</v>
      </c>
      <c r="Z4" s="497">
        <v>40910</v>
      </c>
      <c r="AA4" s="497">
        <v>40941</v>
      </c>
      <c r="AB4" s="497">
        <v>40970</v>
      </c>
      <c r="AC4" s="497">
        <v>41001</v>
      </c>
      <c r="AD4" s="494">
        <v>41031</v>
      </c>
      <c r="AE4" s="495">
        <v>41062</v>
      </c>
      <c r="AF4" s="495">
        <v>41092</v>
      </c>
      <c r="AG4" s="495">
        <v>41123</v>
      </c>
      <c r="AH4" s="495">
        <v>41154</v>
      </c>
      <c r="AI4" s="495">
        <v>41184</v>
      </c>
      <c r="AJ4" s="495">
        <v>41215</v>
      </c>
      <c r="AK4" s="495">
        <v>41245</v>
      </c>
      <c r="AL4" s="495">
        <v>41276</v>
      </c>
      <c r="AM4" s="495">
        <v>41307</v>
      </c>
      <c r="AN4" s="495">
        <v>41335</v>
      </c>
      <c r="AO4" s="495">
        <v>41366</v>
      </c>
      <c r="AP4" s="495">
        <v>41396</v>
      </c>
      <c r="AQ4" s="493">
        <v>41427</v>
      </c>
      <c r="AR4" s="497">
        <v>41457</v>
      </c>
      <c r="AS4" s="497">
        <v>41488</v>
      </c>
      <c r="AT4" s="497">
        <v>41519</v>
      </c>
      <c r="AU4" s="497">
        <v>41549</v>
      </c>
      <c r="AV4" s="497">
        <v>41580</v>
      </c>
      <c r="AW4" s="497">
        <v>41610</v>
      </c>
      <c r="AX4" s="497">
        <v>41641</v>
      </c>
      <c r="AY4" s="497">
        <v>41672</v>
      </c>
      <c r="AZ4" s="497">
        <v>41700</v>
      </c>
      <c r="BA4" s="497">
        <v>41731</v>
      </c>
      <c r="BB4" s="497">
        <v>41761</v>
      </c>
      <c r="BC4" s="497">
        <v>41791</v>
      </c>
    </row>
    <row r="5" spans="1:55" ht="15.75" thickTop="1">
      <c r="A5" s="633"/>
      <c r="B5" s="634"/>
      <c r="C5" s="634"/>
      <c r="D5" s="634"/>
      <c r="E5" s="634"/>
      <c r="F5" s="634"/>
      <c r="G5" s="634"/>
      <c r="H5" s="634"/>
      <c r="I5" s="634"/>
      <c r="J5" s="634"/>
      <c r="K5" s="634"/>
      <c r="L5" s="634"/>
      <c r="M5" s="634"/>
      <c r="N5" s="634"/>
      <c r="O5" s="634"/>
      <c r="P5" s="634"/>
      <c r="Q5" s="634"/>
      <c r="R5" s="634"/>
      <c r="S5" s="634"/>
      <c r="T5" s="634"/>
      <c r="U5" s="634"/>
      <c r="V5" s="634"/>
      <c r="W5" s="634"/>
      <c r="X5" s="634"/>
      <c r="Y5" s="634"/>
      <c r="Z5" s="634"/>
      <c r="AA5" s="634"/>
      <c r="AB5" s="634"/>
      <c r="AC5" s="634"/>
      <c r="AD5" s="635"/>
      <c r="AE5" s="636"/>
      <c r="AF5" s="636"/>
      <c r="AG5" s="636"/>
      <c r="AH5" s="636"/>
      <c r="AI5" s="636"/>
      <c r="AJ5" s="636"/>
      <c r="AK5" s="636"/>
      <c r="AL5" s="636"/>
      <c r="AM5" s="636"/>
      <c r="AN5" s="614"/>
      <c r="AO5" s="614"/>
      <c r="AP5" s="614"/>
      <c r="AQ5" s="637"/>
      <c r="AR5" s="637"/>
      <c r="AS5" s="637"/>
      <c r="AT5" s="637"/>
      <c r="AU5" s="637"/>
      <c r="AV5" s="637"/>
      <c r="AW5" s="637"/>
      <c r="AX5" s="637"/>
      <c r="AY5" s="637"/>
      <c r="AZ5" s="637"/>
      <c r="BA5" s="637"/>
      <c r="BB5" s="637"/>
      <c r="BC5" s="637"/>
    </row>
    <row r="6" spans="1:55" ht="17.25" customHeight="1">
      <c r="A6" s="638" t="s">
        <v>477</v>
      </c>
      <c r="B6" s="639">
        <v>66426.303235972882</v>
      </c>
      <c r="C6" s="639">
        <v>67813.347178623269</v>
      </c>
      <c r="D6" s="639">
        <v>67350.55298928589</v>
      </c>
      <c r="E6" s="639">
        <v>67898.424276395206</v>
      </c>
      <c r="F6" s="639">
        <v>70563.533940011592</v>
      </c>
      <c r="G6" s="639">
        <v>69029.206086238628</v>
      </c>
      <c r="H6" s="639">
        <v>69173.827566074178</v>
      </c>
      <c r="I6" s="639">
        <v>70109.753901685341</v>
      </c>
      <c r="J6" s="639">
        <v>73222.669057128718</v>
      </c>
      <c r="K6" s="639">
        <v>72628.910586909114</v>
      </c>
      <c r="L6" s="639">
        <v>74948.541309052278</v>
      </c>
      <c r="M6" s="639">
        <v>77907.26620021234</v>
      </c>
      <c r="N6" s="639">
        <v>74640.649942564065</v>
      </c>
      <c r="O6" s="639">
        <v>74618.615312754191</v>
      </c>
      <c r="P6" s="639">
        <v>76376.735414886105</v>
      </c>
      <c r="Q6" s="639">
        <v>75700.789623743025</v>
      </c>
      <c r="R6" s="639">
        <v>77269.692369705648</v>
      </c>
      <c r="S6" s="639">
        <v>79953.017943437662</v>
      </c>
      <c r="T6" s="639">
        <v>79074.75525046949</v>
      </c>
      <c r="U6" s="639">
        <v>79520.667822633579</v>
      </c>
      <c r="V6" s="639">
        <v>78671.260029511788</v>
      </c>
      <c r="W6" s="639">
        <v>81199.667306703283</v>
      </c>
      <c r="X6" s="639">
        <v>77556.049942866448</v>
      </c>
      <c r="Y6" s="639">
        <v>80100.875885288551</v>
      </c>
      <c r="Z6" s="639">
        <v>80040.746933815622</v>
      </c>
      <c r="AA6" s="639">
        <v>79939.581236785903</v>
      </c>
      <c r="AB6" s="639">
        <v>79411.668224062698</v>
      </c>
      <c r="AC6" s="639">
        <v>79032.748513622151</v>
      </c>
      <c r="AD6" s="640">
        <v>78098.527743300889</v>
      </c>
      <c r="AE6" s="641">
        <v>85159.248901662751</v>
      </c>
      <c r="AF6" s="641">
        <v>86394.874568552084</v>
      </c>
      <c r="AG6" s="641">
        <v>86880.112743733043</v>
      </c>
      <c r="AH6" s="641">
        <v>87928.224802783152</v>
      </c>
      <c r="AI6" s="641">
        <v>88106.871545446251</v>
      </c>
      <c r="AJ6" s="641">
        <v>90488.3945909303</v>
      </c>
      <c r="AK6" s="641">
        <v>91559.825805914632</v>
      </c>
      <c r="AL6" s="641">
        <v>94098.106945505308</v>
      </c>
      <c r="AM6" s="641">
        <v>93549.31388682939</v>
      </c>
      <c r="AN6" s="642">
        <v>96754.802980609718</v>
      </c>
      <c r="AO6" s="642">
        <v>95870.007278678371</v>
      </c>
      <c r="AP6" s="642">
        <v>104072.51915873688</v>
      </c>
      <c r="AQ6" s="643">
        <v>103579.9323233067</v>
      </c>
      <c r="AR6" s="643">
        <v>100694.20800170788</v>
      </c>
      <c r="AS6" s="643">
        <v>99291.769986535714</v>
      </c>
      <c r="AT6" s="643">
        <v>100933.44968334469</v>
      </c>
      <c r="AU6" s="643">
        <v>100229.18125081969</v>
      </c>
      <c r="AV6" s="643">
        <v>99261.274187500021</v>
      </c>
      <c r="AW6" s="643">
        <v>103497.94482550361</v>
      </c>
      <c r="AX6" s="643">
        <v>102921.43799632388</v>
      </c>
      <c r="AY6" s="643">
        <v>108544.33997084292</v>
      </c>
      <c r="AZ6" s="643">
        <v>110343.08859754098</v>
      </c>
      <c r="BA6" s="643">
        <v>114721.20755311572</v>
      </c>
      <c r="BB6" s="643">
        <v>117055.21513527753</v>
      </c>
      <c r="BC6" s="643">
        <v>119619.60702976644</v>
      </c>
    </row>
    <row r="7" spans="1:55" ht="17.25" customHeight="1">
      <c r="A7" s="644" t="s">
        <v>478</v>
      </c>
      <c r="B7" s="645">
        <v>66492.585799862878</v>
      </c>
      <c r="C7" s="645">
        <v>67862.01856516127</v>
      </c>
      <c r="D7" s="645">
        <v>67430.017346329885</v>
      </c>
      <c r="E7" s="645">
        <v>67945.452102185212</v>
      </c>
      <c r="F7" s="645">
        <v>70614.469927441591</v>
      </c>
      <c r="G7" s="645">
        <v>69077.816955356626</v>
      </c>
      <c r="H7" s="645">
        <v>69265.429972490179</v>
      </c>
      <c r="I7" s="645">
        <v>70224.263039725134</v>
      </c>
      <c r="J7" s="645">
        <v>73306.736101442715</v>
      </c>
      <c r="K7" s="645">
        <v>72737.86993747011</v>
      </c>
      <c r="L7" s="645">
        <v>75058.895358864276</v>
      </c>
      <c r="M7" s="645">
        <v>78026.980681843343</v>
      </c>
      <c r="N7" s="645">
        <v>74759.402480359786</v>
      </c>
      <c r="O7" s="645">
        <v>74756.632415967833</v>
      </c>
      <c r="P7" s="645">
        <v>76503.314619923578</v>
      </c>
      <c r="Q7" s="645">
        <v>75822.721528235488</v>
      </c>
      <c r="R7" s="645">
        <v>77399.73435942053</v>
      </c>
      <c r="S7" s="645">
        <v>80428.540590047662</v>
      </c>
      <c r="T7" s="645">
        <v>79203.946197350044</v>
      </c>
      <c r="U7" s="645">
        <v>79650.466859240361</v>
      </c>
      <c r="V7" s="645">
        <v>78845.458772601793</v>
      </c>
      <c r="W7" s="645">
        <v>81365.965833621827</v>
      </c>
      <c r="X7" s="645">
        <v>77788.750568031581</v>
      </c>
      <c r="Y7" s="645">
        <v>80237.109940980547</v>
      </c>
      <c r="Z7" s="645">
        <v>80176.177110206452</v>
      </c>
      <c r="AA7" s="645">
        <v>80076.559609812335</v>
      </c>
      <c r="AB7" s="645">
        <v>79548.29515837974</v>
      </c>
      <c r="AC7" s="645">
        <v>79170.996508812314</v>
      </c>
      <c r="AD7" s="646">
        <v>78259.701957858124</v>
      </c>
      <c r="AE7" s="647">
        <v>85301.194492148148</v>
      </c>
      <c r="AF7" s="647">
        <v>86536.615580950136</v>
      </c>
      <c r="AG7" s="647">
        <v>86975.8829999195</v>
      </c>
      <c r="AH7" s="647">
        <v>88031.529455901109</v>
      </c>
      <c r="AI7" s="647">
        <v>88210.393405284456</v>
      </c>
      <c r="AJ7" s="647">
        <v>90592.266418886065</v>
      </c>
      <c r="AK7" s="647">
        <v>91662.001872008113</v>
      </c>
      <c r="AL7" s="647">
        <v>94206.306852081107</v>
      </c>
      <c r="AM7" s="647">
        <v>93652.94961204275</v>
      </c>
      <c r="AN7" s="648">
        <v>96856.18605491468</v>
      </c>
      <c r="AO7" s="648">
        <v>95972.828640172738</v>
      </c>
      <c r="AP7" s="648">
        <v>104173.9</v>
      </c>
      <c r="AQ7" s="649">
        <v>103679.96920214912</v>
      </c>
      <c r="AR7" s="649">
        <v>100788.00224111319</v>
      </c>
      <c r="AS7" s="649">
        <v>99389.311397990154</v>
      </c>
      <c r="AT7" s="649">
        <v>101028.76444301031</v>
      </c>
      <c r="AU7" s="649">
        <v>100323.77135378917</v>
      </c>
      <c r="AV7" s="649">
        <v>99353.672925023173</v>
      </c>
      <c r="AW7" s="649">
        <v>103588.59652304999</v>
      </c>
      <c r="AX7" s="649">
        <v>103056.83719043</v>
      </c>
      <c r="AY7" s="649">
        <v>108803.3230663904</v>
      </c>
      <c r="AZ7" s="649">
        <v>110599.60209876251</v>
      </c>
      <c r="BA7" s="649">
        <v>114974.06548828747</v>
      </c>
      <c r="BB7" s="649">
        <v>117312.07808435091</v>
      </c>
      <c r="BC7" s="649">
        <v>119944.65630671878</v>
      </c>
    </row>
    <row r="8" spans="1:55" ht="17.25" customHeight="1">
      <c r="A8" s="644" t="s">
        <v>479</v>
      </c>
      <c r="B8" s="645">
        <v>66.282563890000006</v>
      </c>
      <c r="C8" s="645">
        <v>48.671386537999993</v>
      </c>
      <c r="D8" s="645">
        <v>79.464357043999996</v>
      </c>
      <c r="E8" s="645">
        <v>47.027825789999994</v>
      </c>
      <c r="F8" s="645">
        <v>50.935987430000004</v>
      </c>
      <c r="G8" s="645">
        <v>48.610869118000004</v>
      </c>
      <c r="H8" s="645">
        <v>91.602406415999994</v>
      </c>
      <c r="I8" s="645">
        <v>114.50913803979999</v>
      </c>
      <c r="J8" s="645">
        <v>84.067044314</v>
      </c>
      <c r="K8" s="645">
        <v>108.95935056100001</v>
      </c>
      <c r="L8" s="645">
        <v>110.354049812</v>
      </c>
      <c r="M8" s="645">
        <v>119.71448163099998</v>
      </c>
      <c r="N8" s="645">
        <v>118.75253779572</v>
      </c>
      <c r="O8" s="645">
        <v>138.01710321363998</v>
      </c>
      <c r="P8" s="645">
        <v>126.57920503747999</v>
      </c>
      <c r="Q8" s="645">
        <v>121.93190449245998</v>
      </c>
      <c r="R8" s="645">
        <v>130.04198971488</v>
      </c>
      <c r="S8" s="645">
        <v>475.52264660999992</v>
      </c>
      <c r="T8" s="645">
        <v>129.19094688056001</v>
      </c>
      <c r="U8" s="645">
        <v>129.79903660677999</v>
      </c>
      <c r="V8" s="645">
        <v>174.19874308999999</v>
      </c>
      <c r="W8" s="645">
        <v>166.29852691854001</v>
      </c>
      <c r="X8" s="645">
        <v>232.70062516512718</v>
      </c>
      <c r="Y8" s="645">
        <v>136.234055692</v>
      </c>
      <c r="Z8" s="645">
        <v>135.43017639083101</v>
      </c>
      <c r="AA8" s="645">
        <v>136.97837302643597</v>
      </c>
      <c r="AB8" s="645">
        <v>136.62693431704</v>
      </c>
      <c r="AC8" s="645">
        <v>138.24799519016801</v>
      </c>
      <c r="AD8" s="646">
        <v>161.1742145572403</v>
      </c>
      <c r="AE8" s="647">
        <v>141.945590485396</v>
      </c>
      <c r="AF8" s="647">
        <v>141.74101239805501</v>
      </c>
      <c r="AG8" s="647">
        <v>95.770256186449998</v>
      </c>
      <c r="AH8" s="647">
        <v>103.30465311795001</v>
      </c>
      <c r="AI8" s="647">
        <v>103.5218598382</v>
      </c>
      <c r="AJ8" s="647">
        <v>103.87182795577</v>
      </c>
      <c r="AK8" s="647">
        <v>102.17606609348002</v>
      </c>
      <c r="AL8" s="647">
        <v>108.19990657579299</v>
      </c>
      <c r="AM8" s="647">
        <v>103.635725213366</v>
      </c>
      <c r="AN8" s="648">
        <v>101.38307430495601</v>
      </c>
      <c r="AO8" s="648">
        <v>102.82136149436799</v>
      </c>
      <c r="AP8" s="648">
        <v>101.433573398102</v>
      </c>
      <c r="AQ8" s="649">
        <v>100.03687884241801</v>
      </c>
      <c r="AR8" s="649">
        <v>93.794239405303003</v>
      </c>
      <c r="AS8" s="649">
        <v>97.541411454433984</v>
      </c>
      <c r="AT8" s="649">
        <v>95.314759665617004</v>
      </c>
      <c r="AU8" s="649">
        <v>94.590102969479005</v>
      </c>
      <c r="AV8" s="649">
        <v>92.398737523146991</v>
      </c>
      <c r="AW8" s="649">
        <v>90.651697546370997</v>
      </c>
      <c r="AX8" s="649">
        <v>135.39919410613217</v>
      </c>
      <c r="AY8" s="649">
        <v>258.98309554747982</v>
      </c>
      <c r="AZ8" s="649">
        <v>256.51350122152587</v>
      </c>
      <c r="BA8" s="649">
        <v>252.85793517174864</v>
      </c>
      <c r="BB8" s="649">
        <v>256.86294907339197</v>
      </c>
      <c r="BC8" s="649">
        <v>325.04927695233687</v>
      </c>
    </row>
    <row r="9" spans="1:55" ht="17.25" customHeight="1">
      <c r="A9" s="650"/>
      <c r="B9" s="651"/>
      <c r="C9" s="651"/>
      <c r="D9" s="651"/>
      <c r="E9" s="651"/>
      <c r="F9" s="651"/>
      <c r="G9" s="651"/>
      <c r="H9" s="651"/>
      <c r="I9" s="651"/>
      <c r="J9" s="651"/>
      <c r="K9" s="651"/>
      <c r="L9" s="651"/>
      <c r="M9" s="651"/>
      <c r="N9" s="651"/>
      <c r="O9" s="651"/>
      <c r="P9" s="651"/>
      <c r="Q9" s="651"/>
      <c r="R9" s="651"/>
      <c r="S9" s="651"/>
      <c r="T9" s="651"/>
      <c r="U9" s="651"/>
      <c r="V9" s="651"/>
      <c r="W9" s="651"/>
      <c r="X9" s="651"/>
      <c r="Y9" s="651"/>
      <c r="Z9" s="651"/>
      <c r="AA9" s="651"/>
      <c r="AB9" s="651"/>
      <c r="AC9" s="651"/>
      <c r="AD9" s="652"/>
      <c r="AE9" s="653"/>
      <c r="AF9" s="653"/>
      <c r="AG9" s="653"/>
      <c r="AH9" s="653"/>
      <c r="AI9" s="653"/>
      <c r="AJ9" s="653"/>
      <c r="AK9" s="653"/>
      <c r="AL9" s="653"/>
      <c r="AM9" s="653"/>
      <c r="AN9" s="654"/>
      <c r="AO9" s="654"/>
      <c r="AP9" s="654"/>
      <c r="AQ9" s="655"/>
      <c r="AR9" s="655"/>
      <c r="AS9" s="655"/>
      <c r="AT9" s="655"/>
      <c r="AU9" s="655"/>
      <c r="AV9" s="655"/>
      <c r="AW9" s="655"/>
      <c r="AX9" s="655"/>
      <c r="AY9" s="655"/>
      <c r="AZ9" s="655"/>
      <c r="BA9" s="655"/>
      <c r="BB9" s="655"/>
      <c r="BC9" s="655"/>
    </row>
    <row r="10" spans="1:55" ht="17.25" customHeight="1">
      <c r="A10" s="638" t="s">
        <v>480</v>
      </c>
      <c r="B10" s="639">
        <v>416.39877228</v>
      </c>
      <c r="C10" s="639">
        <v>398.98351687999997</v>
      </c>
      <c r="D10" s="639">
        <v>464.59303090000003</v>
      </c>
      <c r="E10" s="639">
        <v>369.60301450999998</v>
      </c>
      <c r="F10" s="639">
        <v>408.48481404999995</v>
      </c>
      <c r="G10" s="639">
        <v>451.59551101999995</v>
      </c>
      <c r="H10" s="639">
        <v>445.53247376000002</v>
      </c>
      <c r="I10" s="639">
        <v>375.32156171000003</v>
      </c>
      <c r="J10" s="639">
        <v>729.0334312199999</v>
      </c>
      <c r="K10" s="639">
        <v>725.01450312999987</v>
      </c>
      <c r="L10" s="639">
        <v>1098.9094759899999</v>
      </c>
      <c r="M10" s="639">
        <v>992.11887309000008</v>
      </c>
      <c r="N10" s="639">
        <v>1201.4398751599999</v>
      </c>
      <c r="O10" s="639">
        <v>986.17518556999994</v>
      </c>
      <c r="P10" s="639">
        <v>242.02596110999997</v>
      </c>
      <c r="Q10" s="639">
        <v>265.07175250999995</v>
      </c>
      <c r="R10" s="639">
        <v>629.2786777099999</v>
      </c>
      <c r="S10" s="639">
        <v>246.32987396999999</v>
      </c>
      <c r="T10" s="639">
        <v>1772.48621953</v>
      </c>
      <c r="U10" s="639">
        <v>1112.8485640200001</v>
      </c>
      <c r="V10" s="639">
        <v>719.99327042000004</v>
      </c>
      <c r="W10" s="639">
        <v>955.00277437</v>
      </c>
      <c r="X10" s="639">
        <v>1127.9270470100003</v>
      </c>
      <c r="Y10" s="639">
        <v>1138.7372729100002</v>
      </c>
      <c r="Z10" s="639">
        <v>1211.1530704200002</v>
      </c>
      <c r="AA10" s="639">
        <v>1131.4411226499999</v>
      </c>
      <c r="AB10" s="639">
        <v>1179.4819348599999</v>
      </c>
      <c r="AC10" s="639">
        <v>1157.8965479799999</v>
      </c>
      <c r="AD10" s="640">
        <v>218.86825797</v>
      </c>
      <c r="AE10" s="641">
        <v>450.09873363999998</v>
      </c>
      <c r="AF10" s="641">
        <v>152.5676181</v>
      </c>
      <c r="AG10" s="641">
        <v>445.32254952000005</v>
      </c>
      <c r="AH10" s="641">
        <v>763.68187892000003</v>
      </c>
      <c r="AI10" s="641">
        <v>1163.6323081500002</v>
      </c>
      <c r="AJ10" s="641">
        <v>1325.8463739199999</v>
      </c>
      <c r="AK10" s="641">
        <v>1804.5649623700001</v>
      </c>
      <c r="AL10" s="641">
        <v>2146.9082228399998</v>
      </c>
      <c r="AM10" s="641">
        <v>2114.7532336799995</v>
      </c>
      <c r="AN10" s="642">
        <v>2108.0848065299997</v>
      </c>
      <c r="AO10" s="642">
        <v>2342.2126538799998</v>
      </c>
      <c r="AP10" s="642">
        <v>1233.3859579699999</v>
      </c>
      <c r="AQ10" s="643">
        <v>1546.1322582800001</v>
      </c>
      <c r="AR10" s="643">
        <v>1729.84466681</v>
      </c>
      <c r="AS10" s="643">
        <v>2100.3866184399999</v>
      </c>
      <c r="AT10" s="643">
        <v>2973.8737531799998</v>
      </c>
      <c r="AU10" s="643">
        <v>2466.6333634100001</v>
      </c>
      <c r="AV10" s="643">
        <v>2627.7498871299995</v>
      </c>
      <c r="AW10" s="643">
        <v>2715.6635386299995</v>
      </c>
      <c r="AX10" s="643">
        <v>3505.64319918</v>
      </c>
      <c r="AY10" s="643">
        <v>3459.2269215600004</v>
      </c>
      <c r="AZ10" s="643">
        <v>3529.4347085599993</v>
      </c>
      <c r="BA10" s="643">
        <v>3453.8968748400002</v>
      </c>
      <c r="BB10" s="643">
        <v>2412.4059201499999</v>
      </c>
      <c r="BC10" s="643">
        <v>2414.3403686699999</v>
      </c>
    </row>
    <row r="11" spans="1:55" ht="17.25" customHeight="1">
      <c r="A11" s="650"/>
      <c r="B11" s="651"/>
      <c r="C11" s="651"/>
      <c r="D11" s="651"/>
      <c r="E11" s="651"/>
      <c r="F11" s="651"/>
      <c r="G11" s="651"/>
      <c r="H11" s="651"/>
      <c r="I11" s="651"/>
      <c r="J11" s="651"/>
      <c r="K11" s="651"/>
      <c r="L11" s="651"/>
      <c r="M11" s="651"/>
      <c r="N11" s="651"/>
      <c r="O11" s="651"/>
      <c r="P11" s="651"/>
      <c r="Q11" s="651"/>
      <c r="R11" s="651"/>
      <c r="S11" s="651"/>
      <c r="T11" s="651"/>
      <c r="U11" s="651"/>
      <c r="V11" s="651"/>
      <c r="W11" s="651"/>
      <c r="X11" s="651"/>
      <c r="Y11" s="651"/>
      <c r="Z11" s="651"/>
      <c r="AA11" s="651"/>
      <c r="AB11" s="651"/>
      <c r="AC11" s="651"/>
      <c r="AD11" s="652"/>
      <c r="AE11" s="653"/>
      <c r="AF11" s="653"/>
      <c r="AG11" s="653"/>
      <c r="AH11" s="653"/>
      <c r="AI11" s="653"/>
      <c r="AJ11" s="653"/>
      <c r="AK11" s="653"/>
      <c r="AL11" s="653"/>
      <c r="AM11" s="653"/>
      <c r="AN11" s="654"/>
      <c r="AO11" s="654"/>
      <c r="AP11" s="654"/>
      <c r="AQ11" s="655"/>
      <c r="AR11" s="655"/>
      <c r="AS11" s="655"/>
      <c r="AT11" s="655"/>
      <c r="AU11" s="655"/>
      <c r="AV11" s="655"/>
      <c r="AW11" s="655"/>
      <c r="AX11" s="655"/>
      <c r="AY11" s="655"/>
      <c r="AZ11" s="655"/>
      <c r="BA11" s="655"/>
      <c r="BB11" s="655"/>
      <c r="BC11" s="655"/>
    </row>
    <row r="12" spans="1:55" ht="17.25" customHeight="1">
      <c r="A12" s="638" t="s">
        <v>481</v>
      </c>
      <c r="B12" s="639">
        <v>-16094.591653099998</v>
      </c>
      <c r="C12" s="639">
        <v>-15133.990915980001</v>
      </c>
      <c r="D12" s="639">
        <v>-10574.257390679999</v>
      </c>
      <c r="E12" s="639">
        <v>-13160.13132181</v>
      </c>
      <c r="F12" s="639">
        <v>-13184.197336680001</v>
      </c>
      <c r="G12" s="639">
        <v>-12603.214470860001</v>
      </c>
      <c r="H12" s="639">
        <v>-12649.402737140001</v>
      </c>
      <c r="I12" s="639">
        <v>-13999.36386032</v>
      </c>
      <c r="J12" s="639">
        <v>-12309.791425859999</v>
      </c>
      <c r="K12" s="639">
        <v>-9506.4930552200003</v>
      </c>
      <c r="L12" s="639">
        <v>-11316.247423609999</v>
      </c>
      <c r="M12" s="639">
        <v>-9687.6799926800013</v>
      </c>
      <c r="N12" s="639">
        <v>-8384.2803368000004</v>
      </c>
      <c r="O12" s="639">
        <v>-7735.6408573600002</v>
      </c>
      <c r="P12" s="639">
        <v>-11176.693028849997</v>
      </c>
      <c r="Q12" s="639">
        <v>-9606.6951597400002</v>
      </c>
      <c r="R12" s="639">
        <v>-11320.184787369999</v>
      </c>
      <c r="S12" s="639">
        <v>-10168.74607549</v>
      </c>
      <c r="T12" s="639">
        <v>-11201.799995440004</v>
      </c>
      <c r="U12" s="639">
        <v>-8361.1217992800011</v>
      </c>
      <c r="V12" s="639">
        <v>-10561.849022570001</v>
      </c>
      <c r="W12" s="639">
        <v>-11253.339342660001</v>
      </c>
      <c r="X12" s="639">
        <v>-9436.6171233200002</v>
      </c>
      <c r="Y12" s="639">
        <v>-7837.3001372700001</v>
      </c>
      <c r="Z12" s="639">
        <v>-10079.960773000003</v>
      </c>
      <c r="AA12" s="639">
        <v>-8692.3302772299994</v>
      </c>
      <c r="AB12" s="639">
        <v>-9372.881900270002</v>
      </c>
      <c r="AC12" s="639">
        <v>-8880.1699302400029</v>
      </c>
      <c r="AD12" s="640">
        <v>-8780.1530179400033</v>
      </c>
      <c r="AE12" s="641">
        <v>-11179.910112040001</v>
      </c>
      <c r="AF12" s="641">
        <v>-11456.030725809998</v>
      </c>
      <c r="AG12" s="641">
        <v>-13179.341982179998</v>
      </c>
      <c r="AH12" s="641">
        <v>-11879.09227354</v>
      </c>
      <c r="AI12" s="641">
        <v>-13350.546611650003</v>
      </c>
      <c r="AJ12" s="641">
        <v>-16898.939951499997</v>
      </c>
      <c r="AK12" s="641">
        <v>-11466.967172649998</v>
      </c>
      <c r="AL12" s="641">
        <v>-13650.276193949998</v>
      </c>
      <c r="AM12" s="641">
        <v>-12018.874950829999</v>
      </c>
      <c r="AN12" s="642">
        <v>-12476.195903029999</v>
      </c>
      <c r="AO12" s="642">
        <v>-14313.36957282</v>
      </c>
      <c r="AP12" s="642">
        <v>-17374.062681929754</v>
      </c>
      <c r="AQ12" s="643">
        <v>-18112.053482993684</v>
      </c>
      <c r="AR12" s="643">
        <v>-14044.60487612374</v>
      </c>
      <c r="AS12" s="643">
        <v>-13816.06028582856</v>
      </c>
      <c r="AT12" s="643">
        <v>-17341.511666418828</v>
      </c>
      <c r="AU12" s="643">
        <v>-15217.901120033093</v>
      </c>
      <c r="AV12" s="643">
        <v>-13552.266238281474</v>
      </c>
      <c r="AW12" s="643">
        <v>-10932.694839660657</v>
      </c>
      <c r="AX12" s="643">
        <v>-13197.887711877294</v>
      </c>
      <c r="AY12" s="643">
        <v>-12463.583303451964</v>
      </c>
      <c r="AZ12" s="643">
        <v>-13387.690245879574</v>
      </c>
      <c r="BA12" s="643">
        <v>-17897.114501728862</v>
      </c>
      <c r="BB12" s="643">
        <v>-16472.475734490621</v>
      </c>
      <c r="BC12" s="643">
        <v>-18912.303265928196</v>
      </c>
    </row>
    <row r="13" spans="1:55" ht="17.25" customHeight="1">
      <c r="A13" s="644" t="s">
        <v>482</v>
      </c>
      <c r="B13" s="645">
        <v>549.75010699000006</v>
      </c>
      <c r="C13" s="645">
        <v>550.85699225999997</v>
      </c>
      <c r="D13" s="645">
        <v>477.41486412</v>
      </c>
      <c r="E13" s="645">
        <v>858.95183839999993</v>
      </c>
      <c r="F13" s="645">
        <v>1303.6483870500001</v>
      </c>
      <c r="G13" s="645">
        <v>1844.10998189</v>
      </c>
      <c r="H13" s="645">
        <v>1965.83924781</v>
      </c>
      <c r="I13" s="645">
        <v>2258.9554319200001</v>
      </c>
      <c r="J13" s="645">
        <v>2585.9917589500001</v>
      </c>
      <c r="K13" s="645">
        <v>3852.9324706999996</v>
      </c>
      <c r="L13" s="645">
        <v>4715.6667137699997</v>
      </c>
      <c r="M13" s="645">
        <v>5382.3653765999998</v>
      </c>
      <c r="N13" s="645">
        <v>5373.29925731</v>
      </c>
      <c r="O13" s="645">
        <v>5497.6521717300002</v>
      </c>
      <c r="P13" s="645">
        <v>5506.0446070600001</v>
      </c>
      <c r="Q13" s="645">
        <v>5753.6136106899994</v>
      </c>
      <c r="R13" s="645">
        <v>5568.8466461199996</v>
      </c>
      <c r="S13" s="645">
        <v>5785.0552399299995</v>
      </c>
      <c r="T13" s="645">
        <v>5888.7961917399998</v>
      </c>
      <c r="U13" s="645">
        <v>6327.5861512699994</v>
      </c>
      <c r="V13" s="645">
        <v>6270.1117044499997</v>
      </c>
      <c r="W13" s="645">
        <v>6681.2161204800004</v>
      </c>
      <c r="X13" s="645">
        <v>8446.9020713999998</v>
      </c>
      <c r="Y13" s="645">
        <v>9153.0711483899995</v>
      </c>
      <c r="Z13" s="645">
        <v>9515.2999755599994</v>
      </c>
      <c r="AA13" s="645">
        <v>9793.35363435</v>
      </c>
      <c r="AB13" s="645">
        <v>9467.6423170699982</v>
      </c>
      <c r="AC13" s="645">
        <v>9830.5223254699977</v>
      </c>
      <c r="AD13" s="646">
        <v>9826.4607385599993</v>
      </c>
      <c r="AE13" s="647">
        <v>9264.1876788000009</v>
      </c>
      <c r="AF13" s="647">
        <v>9218.8616261900006</v>
      </c>
      <c r="AG13" s="647">
        <v>8422.1579610000008</v>
      </c>
      <c r="AH13" s="647">
        <v>7958.31289956</v>
      </c>
      <c r="AI13" s="647">
        <v>6858.3900487000001</v>
      </c>
      <c r="AJ13" s="647">
        <v>5187.7303872000002</v>
      </c>
      <c r="AK13" s="647">
        <v>5183.1208412000005</v>
      </c>
      <c r="AL13" s="647">
        <v>6185.9692967000001</v>
      </c>
      <c r="AM13" s="647">
        <v>6441.3858202000001</v>
      </c>
      <c r="AN13" s="648">
        <v>6886.9248842000006</v>
      </c>
      <c r="AO13" s="648">
        <v>6821.7543517000004</v>
      </c>
      <c r="AP13" s="648">
        <v>6745.0943592000003</v>
      </c>
      <c r="AQ13" s="649">
        <v>6632.2029702399996</v>
      </c>
      <c r="AR13" s="649">
        <v>6616.6135157399995</v>
      </c>
      <c r="AS13" s="649">
        <v>6524.0395767399996</v>
      </c>
      <c r="AT13" s="649">
        <v>6390.45828833</v>
      </c>
      <c r="AU13" s="649">
        <v>6741.4355393300002</v>
      </c>
      <c r="AV13" s="649">
        <v>6907.6845558300001</v>
      </c>
      <c r="AW13" s="649">
        <v>6797.7968853299999</v>
      </c>
      <c r="AX13" s="649">
        <v>6826.0566403299999</v>
      </c>
      <c r="AY13" s="649">
        <v>6653.6253613299996</v>
      </c>
      <c r="AZ13" s="649">
        <v>6637.9881083299997</v>
      </c>
      <c r="BA13" s="649">
        <v>6548.2404078299996</v>
      </c>
      <c r="BB13" s="649">
        <v>6228.14650463</v>
      </c>
      <c r="BC13" s="649">
        <v>6228.1632066299999</v>
      </c>
    </row>
    <row r="14" spans="1:55" ht="17.25" customHeight="1">
      <c r="A14" s="644" t="s">
        <v>483</v>
      </c>
      <c r="B14" s="645">
        <v>16644.341760089999</v>
      </c>
      <c r="C14" s="645">
        <v>15684.847908240001</v>
      </c>
      <c r="D14" s="645">
        <v>11051.6722548</v>
      </c>
      <c r="E14" s="645">
        <v>14019.083160210001</v>
      </c>
      <c r="F14" s="645">
        <v>14487.845723730001</v>
      </c>
      <c r="G14" s="645">
        <v>14447.324452750001</v>
      </c>
      <c r="H14" s="645">
        <v>14615.24198495</v>
      </c>
      <c r="I14" s="645">
        <v>16258.319292239999</v>
      </c>
      <c r="J14" s="645">
        <v>14895.78318481</v>
      </c>
      <c r="K14" s="645">
        <v>13359.42552592</v>
      </c>
      <c r="L14" s="645">
        <v>16031.914137379999</v>
      </c>
      <c r="M14" s="645">
        <v>15070.04536928</v>
      </c>
      <c r="N14" s="645">
        <v>13757.57959411</v>
      </c>
      <c r="O14" s="645">
        <v>13233.29302909</v>
      </c>
      <c r="P14" s="645">
        <v>16682.737635909998</v>
      </c>
      <c r="Q14" s="645">
        <v>15360.30877043</v>
      </c>
      <c r="R14" s="645">
        <v>16889.031433489999</v>
      </c>
      <c r="S14" s="645">
        <v>15953.80131542</v>
      </c>
      <c r="T14" s="645">
        <v>17090.596187180003</v>
      </c>
      <c r="U14" s="645">
        <v>14688.707950550001</v>
      </c>
      <c r="V14" s="645">
        <v>16831.960727019999</v>
      </c>
      <c r="W14" s="645">
        <v>17934.555463140001</v>
      </c>
      <c r="X14" s="645">
        <v>17883.51919472</v>
      </c>
      <c r="Y14" s="645">
        <v>16990.37128566</v>
      </c>
      <c r="Z14" s="645">
        <v>19595.260748560002</v>
      </c>
      <c r="AA14" s="645">
        <v>18485.683911579999</v>
      </c>
      <c r="AB14" s="645">
        <v>18840.52421734</v>
      </c>
      <c r="AC14" s="645">
        <v>18710.692255710001</v>
      </c>
      <c r="AD14" s="646">
        <v>18606.613756500003</v>
      </c>
      <c r="AE14" s="647">
        <v>20444.097790840002</v>
      </c>
      <c r="AF14" s="647">
        <v>20674.892351999999</v>
      </c>
      <c r="AG14" s="647">
        <v>21601.499943179999</v>
      </c>
      <c r="AH14" s="647">
        <v>19837.4051731</v>
      </c>
      <c r="AI14" s="647">
        <v>20208.936660350002</v>
      </c>
      <c r="AJ14" s="647">
        <v>22086.670338699998</v>
      </c>
      <c r="AK14" s="647">
        <v>16650.08801385</v>
      </c>
      <c r="AL14" s="647">
        <v>19836.245490649999</v>
      </c>
      <c r="AM14" s="647">
        <v>18460.26077103</v>
      </c>
      <c r="AN14" s="648">
        <v>19363.12078723</v>
      </c>
      <c r="AO14" s="648">
        <v>21135.123924520001</v>
      </c>
      <c r="AP14" s="648">
        <v>24119.157041129754</v>
      </c>
      <c r="AQ14" s="649">
        <v>24744.256453233684</v>
      </c>
      <c r="AR14" s="649">
        <v>20661.218391863738</v>
      </c>
      <c r="AS14" s="649">
        <v>20340.099862568561</v>
      </c>
      <c r="AT14" s="649">
        <v>23731.969954748827</v>
      </c>
      <c r="AU14" s="649">
        <v>21959.336659363093</v>
      </c>
      <c r="AV14" s="649">
        <v>20459.950794111475</v>
      </c>
      <c r="AW14" s="649">
        <v>17730.491724990658</v>
      </c>
      <c r="AX14" s="649">
        <v>20023.944352207294</v>
      </c>
      <c r="AY14" s="649">
        <v>19117.208664781963</v>
      </c>
      <c r="AZ14" s="649">
        <v>20025.678354209573</v>
      </c>
      <c r="BA14" s="649">
        <v>24445.354909558861</v>
      </c>
      <c r="BB14" s="649">
        <v>22700.622239120621</v>
      </c>
      <c r="BC14" s="649">
        <v>25140.466472558197</v>
      </c>
    </row>
    <row r="15" spans="1:55" ht="17.25" customHeight="1">
      <c r="A15" s="650"/>
      <c r="B15" s="651"/>
      <c r="C15" s="651"/>
      <c r="D15" s="651"/>
      <c r="E15" s="651"/>
      <c r="F15" s="651"/>
      <c r="G15" s="651"/>
      <c r="H15" s="651"/>
      <c r="I15" s="651"/>
      <c r="J15" s="651"/>
      <c r="K15" s="651"/>
      <c r="L15" s="651"/>
      <c r="M15" s="651"/>
      <c r="N15" s="651"/>
      <c r="O15" s="651"/>
      <c r="P15" s="651"/>
      <c r="Q15" s="651"/>
      <c r="R15" s="651"/>
      <c r="S15" s="651"/>
      <c r="T15" s="651"/>
      <c r="U15" s="651"/>
      <c r="V15" s="651"/>
      <c r="W15" s="651"/>
      <c r="X15" s="651"/>
      <c r="Y15" s="651"/>
      <c r="Z15" s="651"/>
      <c r="AA15" s="651"/>
      <c r="AB15" s="651"/>
      <c r="AC15" s="651"/>
      <c r="AD15" s="652"/>
      <c r="AE15" s="653"/>
      <c r="AF15" s="653"/>
      <c r="AG15" s="653"/>
      <c r="AH15" s="653"/>
      <c r="AI15" s="653"/>
      <c r="AJ15" s="653"/>
      <c r="AK15" s="653"/>
      <c r="AL15" s="653"/>
      <c r="AM15" s="653"/>
      <c r="AN15" s="654"/>
      <c r="AO15" s="654"/>
      <c r="AP15" s="654"/>
      <c r="AQ15" s="655"/>
      <c r="AR15" s="655"/>
      <c r="AS15" s="655"/>
      <c r="AT15" s="655"/>
      <c r="AU15" s="655"/>
      <c r="AV15" s="655"/>
      <c r="AW15" s="655"/>
      <c r="AX15" s="655"/>
      <c r="AY15" s="655"/>
      <c r="AZ15" s="655"/>
      <c r="BA15" s="655"/>
      <c r="BB15" s="655"/>
      <c r="BC15" s="655"/>
    </row>
    <row r="16" spans="1:55" ht="17.25" customHeight="1">
      <c r="A16" s="638" t="s">
        <v>484</v>
      </c>
      <c r="B16" s="639">
        <v>153.19780331999999</v>
      </c>
      <c r="C16" s="639">
        <v>154.31596911</v>
      </c>
      <c r="D16" s="639">
        <v>138.70587049999997</v>
      </c>
      <c r="E16" s="639">
        <v>145.20146566999998</v>
      </c>
      <c r="F16" s="639">
        <v>139.64907062999998</v>
      </c>
      <c r="G16" s="639">
        <v>144.54348844999998</v>
      </c>
      <c r="H16" s="639">
        <v>136.46690247999999</v>
      </c>
      <c r="I16" s="639">
        <v>137.70103456999999</v>
      </c>
      <c r="J16" s="639">
        <v>166.28222216</v>
      </c>
      <c r="K16" s="639">
        <v>164.10271523999998</v>
      </c>
      <c r="L16" s="639">
        <v>188.36966712999998</v>
      </c>
      <c r="M16" s="639">
        <v>289.10614802999993</v>
      </c>
      <c r="N16" s="639">
        <v>325.25928297999997</v>
      </c>
      <c r="O16" s="639">
        <v>266.26099159999995</v>
      </c>
      <c r="P16" s="639">
        <v>282.16233682000001</v>
      </c>
      <c r="Q16" s="639">
        <v>326.19289162000001</v>
      </c>
      <c r="R16" s="639">
        <v>355.96613649</v>
      </c>
      <c r="S16" s="639">
        <v>144.95301177000002</v>
      </c>
      <c r="T16" s="639">
        <v>145.04960496999999</v>
      </c>
      <c r="U16" s="639">
        <v>146.18456738</v>
      </c>
      <c r="V16" s="639">
        <v>147.98835771</v>
      </c>
      <c r="W16" s="639">
        <v>189.87692557</v>
      </c>
      <c r="X16" s="639">
        <v>188.68572480999998</v>
      </c>
      <c r="Y16" s="639">
        <v>187.66180904000001</v>
      </c>
      <c r="Z16" s="639">
        <v>184.76241243000001</v>
      </c>
      <c r="AA16" s="639">
        <v>235.96431477000002</v>
      </c>
      <c r="AB16" s="639">
        <v>228.80128807000003</v>
      </c>
      <c r="AC16" s="639">
        <v>202.30284356000001</v>
      </c>
      <c r="AD16" s="640">
        <v>207.31680611000002</v>
      </c>
      <c r="AE16" s="641">
        <v>142.31707372000002</v>
      </c>
      <c r="AF16" s="641">
        <v>246.29880878</v>
      </c>
      <c r="AG16" s="641">
        <v>157.61338316000001</v>
      </c>
      <c r="AH16" s="641">
        <v>186.53756657</v>
      </c>
      <c r="AI16" s="641">
        <v>186.00266166</v>
      </c>
      <c r="AJ16" s="641">
        <v>148.20166657000001</v>
      </c>
      <c r="AK16" s="641">
        <v>184.47326498999999</v>
      </c>
      <c r="AL16" s="641">
        <v>158.50110899000001</v>
      </c>
      <c r="AM16" s="641">
        <v>151.81138362999999</v>
      </c>
      <c r="AN16" s="642">
        <v>144.74117856000001</v>
      </c>
      <c r="AO16" s="642">
        <v>154.39851223000002</v>
      </c>
      <c r="AP16" s="642">
        <v>135.40763834000001</v>
      </c>
      <c r="AQ16" s="643">
        <v>198.07188681</v>
      </c>
      <c r="AR16" s="643">
        <v>126.59522910000001</v>
      </c>
      <c r="AS16" s="643">
        <v>150.84449430999999</v>
      </c>
      <c r="AT16" s="643">
        <v>162.74188365000003</v>
      </c>
      <c r="AU16" s="643">
        <v>164.49673319999999</v>
      </c>
      <c r="AV16" s="643">
        <v>163.62766462999997</v>
      </c>
      <c r="AW16" s="643">
        <v>172.66457023999999</v>
      </c>
      <c r="AX16" s="643">
        <v>134.78201322999996</v>
      </c>
      <c r="AY16" s="643">
        <v>146.16603488000001</v>
      </c>
      <c r="AZ16" s="643">
        <v>154.80724961999994</v>
      </c>
      <c r="BA16" s="643">
        <v>158.50427366000002</v>
      </c>
      <c r="BB16" s="643">
        <v>161.91662781999997</v>
      </c>
      <c r="BC16" s="643">
        <v>159.59387422</v>
      </c>
    </row>
    <row r="17" spans="1:55" ht="17.25" customHeight="1">
      <c r="A17" s="638"/>
      <c r="B17" s="656"/>
      <c r="C17" s="656"/>
      <c r="D17" s="656"/>
      <c r="E17" s="656"/>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7"/>
      <c r="AE17" s="658"/>
      <c r="AF17" s="658"/>
      <c r="AG17" s="658"/>
      <c r="AH17" s="658"/>
      <c r="AI17" s="658"/>
      <c r="AJ17" s="658"/>
      <c r="AK17" s="658"/>
      <c r="AL17" s="658"/>
      <c r="AM17" s="658"/>
      <c r="AN17" s="659"/>
      <c r="AO17" s="659"/>
      <c r="AP17" s="659"/>
      <c r="AQ17" s="660"/>
      <c r="AR17" s="660"/>
      <c r="AS17" s="660"/>
      <c r="AT17" s="660"/>
      <c r="AU17" s="660"/>
      <c r="AV17" s="660"/>
      <c r="AW17" s="660"/>
      <c r="AX17" s="660"/>
      <c r="AY17" s="660"/>
      <c r="AZ17" s="660"/>
      <c r="BA17" s="660"/>
      <c r="BB17" s="660"/>
      <c r="BC17" s="660"/>
    </row>
    <row r="18" spans="1:55" ht="17.25" customHeight="1">
      <c r="A18" s="638" t="s">
        <v>485</v>
      </c>
      <c r="B18" s="639">
        <v>32306.578817460002</v>
      </c>
      <c r="C18" s="639">
        <v>34188.331145164084</v>
      </c>
      <c r="D18" s="639">
        <v>35018.925947288786</v>
      </c>
      <c r="E18" s="639">
        <v>33972.916108010002</v>
      </c>
      <c r="F18" s="639">
        <v>35004.952882689249</v>
      </c>
      <c r="G18" s="639">
        <v>35648.822886965798</v>
      </c>
      <c r="H18" s="639">
        <v>38111.517277910505</v>
      </c>
      <c r="I18" s="639">
        <v>36422.298472737748</v>
      </c>
      <c r="J18" s="639">
        <v>36444.26897664788</v>
      </c>
      <c r="K18" s="639">
        <v>38868.215593856054</v>
      </c>
      <c r="L18" s="639">
        <v>40023.459073151535</v>
      </c>
      <c r="M18" s="639">
        <v>44935.527259780167</v>
      </c>
      <c r="N18" s="639">
        <v>44220.858916383426</v>
      </c>
      <c r="O18" s="639">
        <v>43457.966264730763</v>
      </c>
      <c r="P18" s="639">
        <v>42616.030383652505</v>
      </c>
      <c r="Q18" s="639">
        <v>43519.537135460872</v>
      </c>
      <c r="R18" s="639">
        <v>41534.157818012638</v>
      </c>
      <c r="S18" s="639">
        <v>42236.711520816105</v>
      </c>
      <c r="T18" s="639">
        <v>42073.932665119974</v>
      </c>
      <c r="U18" s="639">
        <v>44194.178057538316</v>
      </c>
      <c r="V18" s="639">
        <v>42292.116241218129</v>
      </c>
      <c r="W18" s="639">
        <v>42459.190507549785</v>
      </c>
      <c r="X18" s="639">
        <v>41967.209032272607</v>
      </c>
      <c r="Y18" s="639">
        <v>48280.871327637411</v>
      </c>
      <c r="Z18" s="639">
        <v>43850.805226779208</v>
      </c>
      <c r="AA18" s="639">
        <v>44901.044055009108</v>
      </c>
      <c r="AB18" s="639">
        <v>44639.243475667608</v>
      </c>
      <c r="AC18" s="639">
        <v>44527.063578133653</v>
      </c>
      <c r="AD18" s="640">
        <v>44662.991762790327</v>
      </c>
      <c r="AE18" s="641">
        <v>45910.968640197767</v>
      </c>
      <c r="AF18" s="641">
        <v>46049.629763349993</v>
      </c>
      <c r="AG18" s="641">
        <v>46185.34960224</v>
      </c>
      <c r="AH18" s="641">
        <v>47267.960582840002</v>
      </c>
      <c r="AI18" s="641">
        <v>46439.120953459998</v>
      </c>
      <c r="AJ18" s="641">
        <v>45499.108851889992</v>
      </c>
      <c r="AK18" s="641">
        <v>52622.930014159996</v>
      </c>
      <c r="AL18" s="641">
        <v>50086.680641910003</v>
      </c>
      <c r="AM18" s="641">
        <v>52362.476793820002</v>
      </c>
      <c r="AN18" s="642">
        <v>51963.297140969997</v>
      </c>
      <c r="AO18" s="642">
        <v>48815.614415420001</v>
      </c>
      <c r="AP18" s="642">
        <v>52745.513655169998</v>
      </c>
      <c r="AQ18" s="643">
        <v>53094.012917469998</v>
      </c>
      <c r="AR18" s="643">
        <v>54156.365501669992</v>
      </c>
      <c r="AS18" s="643">
        <v>51451.915537709996</v>
      </c>
      <c r="AT18" s="643">
        <v>50185.234078640002</v>
      </c>
      <c r="AU18" s="643">
        <v>51977.864655339996</v>
      </c>
      <c r="AV18" s="643">
        <v>53757.247619950002</v>
      </c>
      <c r="AW18" s="643">
        <v>62350.012214779999</v>
      </c>
      <c r="AX18" s="643">
        <v>58668.6515592</v>
      </c>
      <c r="AY18" s="643">
        <v>64091.710065689993</v>
      </c>
      <c r="AZ18" s="643">
        <v>62483.452767250004</v>
      </c>
      <c r="BA18" s="643">
        <v>62070.370892899999</v>
      </c>
      <c r="BB18" s="643">
        <v>62582.034079030003</v>
      </c>
      <c r="BC18" s="643">
        <v>62137.03930633</v>
      </c>
    </row>
    <row r="19" spans="1:55" ht="17.25" customHeight="1">
      <c r="A19" s="644" t="s">
        <v>486</v>
      </c>
      <c r="B19" s="645">
        <v>18952.441887060002</v>
      </c>
      <c r="C19" s="645">
        <v>18641.061393979999</v>
      </c>
      <c r="D19" s="645">
        <v>18743.303560849996</v>
      </c>
      <c r="E19" s="645">
        <v>18751.685785169997</v>
      </c>
      <c r="F19" s="645">
        <v>18911.351549290001</v>
      </c>
      <c r="G19" s="645">
        <v>18649.461355769999</v>
      </c>
      <c r="H19" s="645">
        <v>18959.472219740001</v>
      </c>
      <c r="I19" s="645">
        <v>19099.734956819997</v>
      </c>
      <c r="J19" s="645">
        <v>19096.175257759998</v>
      </c>
      <c r="K19" s="645">
        <v>19126.732547099997</v>
      </c>
      <c r="L19" s="645">
        <v>19515.158774399999</v>
      </c>
      <c r="M19" s="645">
        <v>22591.76147184</v>
      </c>
      <c r="N19" s="645">
        <v>21236.65837347</v>
      </c>
      <c r="O19" s="645">
        <v>20538.891013150002</v>
      </c>
      <c r="P19" s="645">
        <v>20556.85096652</v>
      </c>
      <c r="Q19" s="645">
        <v>20352.834272419997</v>
      </c>
      <c r="R19" s="645">
        <v>20595.249062759998</v>
      </c>
      <c r="S19" s="645">
        <v>20453.797603709998</v>
      </c>
      <c r="T19" s="645">
        <v>20905.664051119998</v>
      </c>
      <c r="U19" s="645">
        <v>21645.42161148</v>
      </c>
      <c r="V19" s="645">
        <v>21156.80149025</v>
      </c>
      <c r="W19" s="645">
        <v>21838.137164569998</v>
      </c>
      <c r="X19" s="645">
        <v>21414.945182689997</v>
      </c>
      <c r="Y19" s="645">
        <v>24469.755843179999</v>
      </c>
      <c r="Z19" s="645">
        <v>22588.058014799997</v>
      </c>
      <c r="AA19" s="645">
        <v>22171.260158819998</v>
      </c>
      <c r="AB19" s="645">
        <v>21862.04674324</v>
      </c>
      <c r="AC19" s="645">
        <v>21939.357956429998</v>
      </c>
      <c r="AD19" s="646">
        <v>22081.98990434</v>
      </c>
      <c r="AE19" s="647">
        <v>21745.491674569999</v>
      </c>
      <c r="AF19" s="647">
        <v>22149.626996290001</v>
      </c>
      <c r="AG19" s="647">
        <v>22572.425488049998</v>
      </c>
      <c r="AH19" s="647">
        <v>22452.776109720002</v>
      </c>
      <c r="AI19" s="647">
        <v>23032.897365330002</v>
      </c>
      <c r="AJ19" s="647">
        <v>23216.152670249998</v>
      </c>
      <c r="AK19" s="647">
        <v>26961.314001819999</v>
      </c>
      <c r="AL19" s="647">
        <v>25163.105337090001</v>
      </c>
      <c r="AM19" s="647">
        <v>24498.755108590001</v>
      </c>
      <c r="AN19" s="648">
        <v>24955.023412139999</v>
      </c>
      <c r="AO19" s="648">
        <v>24919.571457469996</v>
      </c>
      <c r="AP19" s="648">
        <v>24588.03063723</v>
      </c>
      <c r="AQ19" s="649">
        <v>24405.038596909999</v>
      </c>
      <c r="AR19" s="649">
        <v>25220.77754155</v>
      </c>
      <c r="AS19" s="649">
        <v>25317.262526309998</v>
      </c>
      <c r="AT19" s="649">
        <v>24906.271864289996</v>
      </c>
      <c r="AU19" s="649">
        <v>25514.94680301</v>
      </c>
      <c r="AV19" s="649">
        <v>25355.99961635</v>
      </c>
      <c r="AW19" s="649">
        <v>30127.65067585</v>
      </c>
      <c r="AX19" s="649">
        <v>27335.793403099997</v>
      </c>
      <c r="AY19" s="649">
        <v>26937.436175199997</v>
      </c>
      <c r="AZ19" s="649">
        <v>26769.000060089998</v>
      </c>
      <c r="BA19" s="649">
        <v>26721.178490309998</v>
      </c>
      <c r="BB19" s="649">
        <v>26022.338344529999</v>
      </c>
      <c r="BC19" s="649">
        <v>26344.899356469996</v>
      </c>
    </row>
    <row r="20" spans="1:55" ht="17.25" customHeight="1">
      <c r="A20" s="644" t="s">
        <v>487</v>
      </c>
      <c r="B20" s="645">
        <v>13180.361091909999</v>
      </c>
      <c r="C20" s="645">
        <v>15445.119449369999</v>
      </c>
      <c r="D20" s="645">
        <v>16168.046902009999</v>
      </c>
      <c r="E20" s="645">
        <v>15124.25977701</v>
      </c>
      <c r="F20" s="645">
        <v>16001.144004809998</v>
      </c>
      <c r="G20" s="645">
        <v>16558.544007380002</v>
      </c>
      <c r="H20" s="645">
        <v>19007.349950509997</v>
      </c>
      <c r="I20" s="645">
        <v>17182.945034510001</v>
      </c>
      <c r="J20" s="645">
        <v>17080.954378169998</v>
      </c>
      <c r="K20" s="645">
        <v>19601.086913409999</v>
      </c>
      <c r="L20" s="645">
        <v>20360.644917080001</v>
      </c>
      <c r="M20" s="645">
        <v>22187.582204819999</v>
      </c>
      <c r="N20" s="645">
        <v>22842.828379009999</v>
      </c>
      <c r="O20" s="645">
        <v>22753.930035100002</v>
      </c>
      <c r="P20" s="645">
        <v>21902.896262459999</v>
      </c>
      <c r="Q20" s="645">
        <v>22996.164349359999</v>
      </c>
      <c r="R20" s="645">
        <v>20819.986171249999</v>
      </c>
      <c r="S20" s="645">
        <v>21555.850004669999</v>
      </c>
      <c r="T20" s="645">
        <v>21020.661866890001</v>
      </c>
      <c r="U20" s="645">
        <v>22403.703741509999</v>
      </c>
      <c r="V20" s="645">
        <v>20956.707757559998</v>
      </c>
      <c r="W20" s="645">
        <v>20392.186258429996</v>
      </c>
      <c r="X20" s="645">
        <v>20406.316159820002</v>
      </c>
      <c r="Y20" s="645">
        <v>23666.373667289998</v>
      </c>
      <c r="Z20" s="645">
        <v>21128.55688815</v>
      </c>
      <c r="AA20" s="645">
        <v>22606.986195919999</v>
      </c>
      <c r="AB20" s="645">
        <v>22648.888231509998</v>
      </c>
      <c r="AC20" s="645">
        <v>22462.387835019999</v>
      </c>
      <c r="AD20" s="646">
        <v>22476.149191739998</v>
      </c>
      <c r="AE20" s="647">
        <v>23977.369481069996</v>
      </c>
      <c r="AF20" s="647">
        <v>23701.931139239998</v>
      </c>
      <c r="AG20" s="647">
        <v>23541.113787940001</v>
      </c>
      <c r="AH20" s="647">
        <v>24591.544820159997</v>
      </c>
      <c r="AI20" s="647">
        <v>23167.60481945</v>
      </c>
      <c r="AJ20" s="647">
        <v>22131.482146099999</v>
      </c>
      <c r="AK20" s="647">
        <v>25515.138641540001</v>
      </c>
      <c r="AL20" s="647">
        <v>24854.226564650002</v>
      </c>
      <c r="AM20" s="647">
        <v>27797.761466790002</v>
      </c>
      <c r="AN20" s="648">
        <v>26943.295328619999</v>
      </c>
      <c r="AO20" s="648">
        <v>23830.458748830002</v>
      </c>
      <c r="AP20" s="648">
        <v>28088.96964996</v>
      </c>
      <c r="AQ20" s="649">
        <v>28377.491470929999</v>
      </c>
      <c r="AR20" s="649">
        <v>28845.220740209999</v>
      </c>
      <c r="AS20" s="649">
        <v>26045.912519270001</v>
      </c>
      <c r="AT20" s="649">
        <v>25113.663529400004</v>
      </c>
      <c r="AU20" s="649">
        <v>26366.097784619997</v>
      </c>
      <c r="AV20" s="649">
        <v>28225.168882770002</v>
      </c>
      <c r="AW20" s="649">
        <v>31894.798558349998</v>
      </c>
      <c r="AX20" s="649">
        <v>31263.989790459997</v>
      </c>
      <c r="AY20" s="649">
        <v>37062.201626349997</v>
      </c>
      <c r="AZ20" s="649">
        <v>35626.74721275</v>
      </c>
      <c r="BA20" s="649">
        <v>35263.900715039999</v>
      </c>
      <c r="BB20" s="649">
        <v>36480.672927440006</v>
      </c>
      <c r="BC20" s="649">
        <v>35505.536266570001</v>
      </c>
    </row>
    <row r="21" spans="1:55" ht="17.25" customHeight="1">
      <c r="A21" s="644" t="s">
        <v>488</v>
      </c>
      <c r="B21" s="645">
        <v>173.77583848999998</v>
      </c>
      <c r="C21" s="645">
        <v>102.15030181408299</v>
      </c>
      <c r="D21" s="645">
        <v>107.57548442879599</v>
      </c>
      <c r="E21" s="645">
        <v>96.970545829999992</v>
      </c>
      <c r="F21" s="645">
        <v>92.457328589252</v>
      </c>
      <c r="G21" s="645">
        <v>440.817523815794</v>
      </c>
      <c r="H21" s="645">
        <v>144.695107660503</v>
      </c>
      <c r="I21" s="645">
        <v>139.61848140775101</v>
      </c>
      <c r="J21" s="645">
        <v>267.13934071788196</v>
      </c>
      <c r="K21" s="645">
        <v>140.39613334605099</v>
      </c>
      <c r="L21" s="645">
        <v>147.65538167153198</v>
      </c>
      <c r="M21" s="645">
        <v>156.18358312016798</v>
      </c>
      <c r="N21" s="645">
        <v>141.37216390342701</v>
      </c>
      <c r="O21" s="645">
        <v>165.14521648076197</v>
      </c>
      <c r="P21" s="645">
        <v>156.283154672509</v>
      </c>
      <c r="Q21" s="645">
        <v>170.538513680878</v>
      </c>
      <c r="R21" s="645">
        <v>118.92258400263799</v>
      </c>
      <c r="S21" s="645">
        <v>227.06391243610898</v>
      </c>
      <c r="T21" s="645">
        <v>147.606747109975</v>
      </c>
      <c r="U21" s="645">
        <v>145.05270454831998</v>
      </c>
      <c r="V21" s="645">
        <v>178.60699340812801</v>
      </c>
      <c r="W21" s="645">
        <v>228.86708454979401</v>
      </c>
      <c r="X21" s="645">
        <v>145.94768976260698</v>
      </c>
      <c r="Y21" s="645">
        <v>144.74181716741302</v>
      </c>
      <c r="Z21" s="645">
        <v>134.190323829216</v>
      </c>
      <c r="AA21" s="645">
        <v>122.79770026911299</v>
      </c>
      <c r="AB21" s="645">
        <v>128.30850091761698</v>
      </c>
      <c r="AC21" s="645">
        <v>125.31778668365899</v>
      </c>
      <c r="AD21" s="646">
        <v>104.85266671033099</v>
      </c>
      <c r="AE21" s="647">
        <v>188.10748455776599</v>
      </c>
      <c r="AF21" s="647">
        <v>198.07162782</v>
      </c>
      <c r="AG21" s="647">
        <v>71.810326250000003</v>
      </c>
      <c r="AH21" s="647">
        <v>223.63965296000001</v>
      </c>
      <c r="AI21" s="647">
        <v>238.61876867999996</v>
      </c>
      <c r="AJ21" s="647">
        <v>151.47403553999999</v>
      </c>
      <c r="AK21" s="647">
        <v>146.47737080000002</v>
      </c>
      <c r="AL21" s="647">
        <v>69.348740169999985</v>
      </c>
      <c r="AM21" s="647">
        <v>65.960218440000006</v>
      </c>
      <c r="AN21" s="648">
        <v>64.97840020999999</v>
      </c>
      <c r="AO21" s="648">
        <v>65.584209119999997</v>
      </c>
      <c r="AP21" s="648">
        <v>68.513367979999998</v>
      </c>
      <c r="AQ21" s="649">
        <v>311.48284962999998</v>
      </c>
      <c r="AR21" s="649">
        <v>90.367219909999989</v>
      </c>
      <c r="AS21" s="649">
        <v>88.740492129999993</v>
      </c>
      <c r="AT21" s="649">
        <v>165.29868494999999</v>
      </c>
      <c r="AU21" s="649">
        <v>96.820067709999989</v>
      </c>
      <c r="AV21" s="649">
        <v>176.07912083000002</v>
      </c>
      <c r="AW21" s="649">
        <v>327.56298057999999</v>
      </c>
      <c r="AX21" s="649">
        <v>68.868365640000007</v>
      </c>
      <c r="AY21" s="649">
        <v>92.072264139999987</v>
      </c>
      <c r="AZ21" s="649">
        <v>87.70549441</v>
      </c>
      <c r="BA21" s="649">
        <v>85.291687549999992</v>
      </c>
      <c r="BB21" s="649">
        <v>79.022807060000005</v>
      </c>
      <c r="BC21" s="649">
        <v>286.60368328999999</v>
      </c>
    </row>
    <row r="22" spans="1:55" s="661" customFormat="1" ht="17.25" customHeight="1">
      <c r="A22" s="638"/>
      <c r="B22" s="639"/>
      <c r="C22" s="639"/>
      <c r="D22" s="639"/>
      <c r="E22" s="639"/>
      <c r="F22" s="639"/>
      <c r="G22" s="639"/>
      <c r="H22" s="639"/>
      <c r="I22" s="639"/>
      <c r="J22" s="639"/>
      <c r="K22" s="639"/>
      <c r="L22" s="639"/>
      <c r="M22" s="639"/>
      <c r="N22" s="639"/>
      <c r="O22" s="639"/>
      <c r="P22" s="639"/>
      <c r="Q22" s="639"/>
      <c r="R22" s="639"/>
      <c r="S22" s="639"/>
      <c r="T22" s="639"/>
      <c r="U22" s="639"/>
      <c r="V22" s="639"/>
      <c r="W22" s="639"/>
      <c r="X22" s="639"/>
      <c r="Y22" s="639"/>
      <c r="Z22" s="639"/>
      <c r="AA22" s="639"/>
      <c r="AB22" s="639"/>
      <c r="AC22" s="639"/>
      <c r="AD22" s="640"/>
      <c r="AE22" s="641"/>
      <c r="AF22" s="641"/>
      <c r="AG22" s="641"/>
      <c r="AH22" s="641"/>
      <c r="AI22" s="641"/>
      <c r="AJ22" s="641"/>
      <c r="AK22" s="641"/>
      <c r="AL22" s="641"/>
      <c r="AM22" s="641"/>
      <c r="AN22" s="642"/>
      <c r="AO22" s="642"/>
      <c r="AP22" s="642"/>
      <c r="AQ22" s="643"/>
      <c r="AR22" s="643"/>
      <c r="AS22" s="643"/>
      <c r="AT22" s="643"/>
      <c r="AU22" s="643"/>
      <c r="AV22" s="643"/>
      <c r="AW22" s="643"/>
      <c r="AX22" s="643"/>
      <c r="AY22" s="643"/>
      <c r="AZ22" s="643"/>
      <c r="BA22" s="643"/>
      <c r="BB22" s="643"/>
      <c r="BC22" s="643"/>
    </row>
    <row r="23" spans="1:55" s="661" customFormat="1" ht="17.25" customHeight="1">
      <c r="A23" s="638" t="s">
        <v>489</v>
      </c>
      <c r="B23" s="639">
        <v>3.2826279999999999</v>
      </c>
      <c r="C23" s="639">
        <v>3.314241</v>
      </c>
      <c r="D23" s="639">
        <v>3000.9265999999998</v>
      </c>
      <c r="E23" s="639">
        <v>1700.6814320000001</v>
      </c>
      <c r="F23" s="639">
        <v>699.75814700000001</v>
      </c>
      <c r="G23" s="639">
        <v>2000.7242080000001</v>
      </c>
      <c r="H23" s="639">
        <v>2.2690159999999997</v>
      </c>
      <c r="I23" s="639">
        <v>1341.8492100000001</v>
      </c>
      <c r="J23" s="639">
        <v>5128.4740229999998</v>
      </c>
      <c r="K23" s="639">
        <v>5128.1453949999996</v>
      </c>
      <c r="L23" s="639">
        <v>5128.4205029999994</v>
      </c>
      <c r="M23" s="639">
        <v>3601.2955139999999</v>
      </c>
      <c r="N23" s="639">
        <v>4300.9844399999993</v>
      </c>
      <c r="O23" s="639">
        <v>5521.2657589999999</v>
      </c>
      <c r="P23" s="639">
        <v>5115.5879569999997</v>
      </c>
      <c r="Q23" s="639">
        <v>5270.8159759999999</v>
      </c>
      <c r="R23" s="639">
        <v>6179.4558196098806</v>
      </c>
      <c r="S23" s="639">
        <v>7369.3783779999994</v>
      </c>
      <c r="T23" s="639">
        <v>7978.472409</v>
      </c>
      <c r="U23" s="639">
        <v>7701.2890559999996</v>
      </c>
      <c r="V23" s="639">
        <v>6808.9861029999993</v>
      </c>
      <c r="W23" s="639">
        <v>6824.6997160000001</v>
      </c>
      <c r="X23" s="639">
        <v>6832.397766</v>
      </c>
      <c r="Y23" s="639">
        <v>5539.7681860000002</v>
      </c>
      <c r="Z23" s="639">
        <v>5990.9276864899994</v>
      </c>
      <c r="AA23" s="639">
        <v>5995.4285614899991</v>
      </c>
      <c r="AB23" s="639">
        <v>5880.2209123899993</v>
      </c>
      <c r="AC23" s="639">
        <v>5617.2358228100002</v>
      </c>
      <c r="AD23" s="640">
        <v>4989.6683796699999</v>
      </c>
      <c r="AE23" s="641">
        <v>4898.3141219799991</v>
      </c>
      <c r="AF23" s="641">
        <v>4786.2925804499992</v>
      </c>
      <c r="AG23" s="641">
        <v>4084.3136649999997</v>
      </c>
      <c r="AH23" s="641">
        <v>4135.2781543399997</v>
      </c>
      <c r="AI23" s="641">
        <v>3748.6611679099997</v>
      </c>
      <c r="AJ23" s="641">
        <v>3939.5502778099994</v>
      </c>
      <c r="AK23" s="641">
        <v>3916.3288048000004</v>
      </c>
      <c r="AL23" s="641">
        <v>6237.8790290799998</v>
      </c>
      <c r="AM23" s="641">
        <v>5751.6014539199996</v>
      </c>
      <c r="AN23" s="642">
        <v>7353.9181042099999</v>
      </c>
      <c r="AO23" s="642">
        <v>8080.8819250000006</v>
      </c>
      <c r="AP23" s="642">
        <v>9281.3911049365797</v>
      </c>
      <c r="AQ23" s="643">
        <v>10206.952514282129</v>
      </c>
      <c r="AR23" s="643">
        <v>9940.5944312645825</v>
      </c>
      <c r="AS23" s="643">
        <v>11624.223345592512</v>
      </c>
      <c r="AT23" s="643">
        <v>11740.110552437664</v>
      </c>
      <c r="AU23" s="643">
        <v>11509.382800492676</v>
      </c>
      <c r="AV23" s="643">
        <v>11328.958581691428</v>
      </c>
      <c r="AW23" s="643">
        <v>10796.401029955146</v>
      </c>
      <c r="AX23" s="643">
        <v>13159.013579677081</v>
      </c>
      <c r="AY23" s="643">
        <v>13223.361749880189</v>
      </c>
      <c r="AZ23" s="643">
        <v>15184.032388133219</v>
      </c>
      <c r="BA23" s="643">
        <v>15739.714602155935</v>
      </c>
      <c r="BB23" s="643">
        <v>17279.760604020215</v>
      </c>
      <c r="BC23" s="643">
        <v>17166.046600573485</v>
      </c>
    </row>
    <row r="24" spans="1:55" s="661" customFormat="1" ht="17.25" customHeight="1">
      <c r="A24" s="638"/>
      <c r="B24" s="639"/>
      <c r="C24" s="639"/>
      <c r="D24" s="639"/>
      <c r="E24" s="639"/>
      <c r="F24" s="639"/>
      <c r="G24" s="639"/>
      <c r="H24" s="639"/>
      <c r="I24" s="639"/>
      <c r="J24" s="639"/>
      <c r="K24" s="639"/>
      <c r="L24" s="639"/>
      <c r="M24" s="639"/>
      <c r="N24" s="639"/>
      <c r="O24" s="639"/>
      <c r="P24" s="639"/>
      <c r="Q24" s="639"/>
      <c r="R24" s="639"/>
      <c r="S24" s="639"/>
      <c r="T24" s="639"/>
      <c r="U24" s="639"/>
      <c r="V24" s="639"/>
      <c r="W24" s="639"/>
      <c r="X24" s="639"/>
      <c r="Y24" s="639"/>
      <c r="Z24" s="639"/>
      <c r="AA24" s="639"/>
      <c r="AB24" s="639"/>
      <c r="AC24" s="639"/>
      <c r="AD24" s="640"/>
      <c r="AE24" s="641"/>
      <c r="AF24" s="641"/>
      <c r="AG24" s="641"/>
      <c r="AH24" s="641"/>
      <c r="AI24" s="641"/>
      <c r="AJ24" s="641"/>
      <c r="AK24" s="641"/>
      <c r="AL24" s="641"/>
      <c r="AM24" s="641"/>
      <c r="AN24" s="642"/>
      <c r="AO24" s="642"/>
      <c r="AP24" s="642"/>
      <c r="AQ24" s="643"/>
      <c r="AR24" s="643"/>
      <c r="AS24" s="643"/>
      <c r="AT24" s="643"/>
      <c r="AU24" s="643"/>
      <c r="AV24" s="643"/>
      <c r="AW24" s="643"/>
      <c r="AX24" s="643"/>
      <c r="AY24" s="643"/>
      <c r="AZ24" s="643"/>
      <c r="BA24" s="643"/>
      <c r="BB24" s="643"/>
      <c r="BC24" s="643"/>
    </row>
    <row r="25" spans="1:55" s="661" customFormat="1" ht="28.5">
      <c r="A25" s="662" t="s">
        <v>490</v>
      </c>
      <c r="B25" s="663">
        <v>62.003889999999998</v>
      </c>
      <c r="C25" s="663">
        <v>61.993389999999998</v>
      </c>
      <c r="D25" s="663">
        <v>61.99539</v>
      </c>
      <c r="E25" s="663">
        <v>61.996389999999998</v>
      </c>
      <c r="F25" s="663">
        <v>61.997389999999996</v>
      </c>
      <c r="G25" s="663">
        <v>61.998390000000001</v>
      </c>
      <c r="H25" s="663">
        <v>61.998390000000001</v>
      </c>
      <c r="I25" s="663">
        <v>365.74938999999989</v>
      </c>
      <c r="J25" s="663">
        <v>564.16185600000006</v>
      </c>
      <c r="K25" s="663">
        <v>564.16185600000006</v>
      </c>
      <c r="L25" s="663">
        <v>564.16385600000012</v>
      </c>
      <c r="M25" s="663">
        <v>539.38260600000012</v>
      </c>
      <c r="N25" s="663">
        <v>584.35972200000015</v>
      </c>
      <c r="O25" s="663">
        <v>625.02647699999989</v>
      </c>
      <c r="P25" s="663">
        <v>771.01945599999976</v>
      </c>
      <c r="Q25" s="663">
        <v>822.30668399999968</v>
      </c>
      <c r="R25" s="663">
        <v>1030.0437029999998</v>
      </c>
      <c r="S25" s="663">
        <v>1180.2707249999999</v>
      </c>
      <c r="T25" s="663">
        <v>1489.618299</v>
      </c>
      <c r="U25" s="663">
        <v>1414.4254760000001</v>
      </c>
      <c r="V25" s="663">
        <v>1165.8708319999998</v>
      </c>
      <c r="W25" s="663">
        <v>1215.9723699999997</v>
      </c>
      <c r="X25" s="663">
        <v>1142.846683</v>
      </c>
      <c r="Y25" s="663">
        <v>1042.3699159999999</v>
      </c>
      <c r="Z25" s="663">
        <v>1055.4824745000003</v>
      </c>
      <c r="AA25" s="663">
        <v>1056.08550081</v>
      </c>
      <c r="AB25" s="663">
        <v>1056.3749241800003</v>
      </c>
      <c r="AC25" s="663">
        <v>1032.7223669999998</v>
      </c>
      <c r="AD25" s="664">
        <v>883.49187033999988</v>
      </c>
      <c r="AE25" s="665">
        <v>897.48951968999984</v>
      </c>
      <c r="AF25" s="665">
        <v>948.03980369000033</v>
      </c>
      <c r="AG25" s="665">
        <v>852.04202469379311</v>
      </c>
      <c r="AH25" s="665">
        <v>796.88497510000002</v>
      </c>
      <c r="AI25" s="665">
        <v>695.16119835999996</v>
      </c>
      <c r="AJ25" s="665">
        <v>770.52139621000003</v>
      </c>
      <c r="AK25" s="665">
        <v>928.79317839999987</v>
      </c>
      <c r="AL25" s="665">
        <v>1204.50673351</v>
      </c>
      <c r="AM25" s="665">
        <v>1283.43921004</v>
      </c>
      <c r="AN25" s="666">
        <v>2368.5927790199994</v>
      </c>
      <c r="AO25" s="666">
        <v>2652.2967140000001</v>
      </c>
      <c r="AP25" s="666">
        <v>2897.2</v>
      </c>
      <c r="AQ25" s="667">
        <v>2852.3153352041854</v>
      </c>
      <c r="AR25" s="667">
        <v>2682.8354653116812</v>
      </c>
      <c r="AS25" s="667">
        <v>3063.3478014889333</v>
      </c>
      <c r="AT25" s="667">
        <v>2729.3527674435081</v>
      </c>
      <c r="AU25" s="667">
        <v>2678.7561026442336</v>
      </c>
      <c r="AV25" s="667">
        <v>2640.4448789370972</v>
      </c>
      <c r="AW25" s="667">
        <v>1887.1354017441981</v>
      </c>
      <c r="AX25" s="667">
        <v>1635.1679341341976</v>
      </c>
      <c r="AY25" s="667">
        <v>1584.4839756264835</v>
      </c>
      <c r="AZ25" s="667">
        <v>1692.5927042698993</v>
      </c>
      <c r="BA25" s="667">
        <v>1601.133600801779</v>
      </c>
      <c r="BB25" s="667">
        <v>2004.7795418424303</v>
      </c>
      <c r="BC25" s="667">
        <v>1965.2278182202012</v>
      </c>
    </row>
    <row r="26" spans="1:55" s="661" customFormat="1" ht="17.25" customHeight="1">
      <c r="A26" s="644" t="s">
        <v>491</v>
      </c>
      <c r="B26" s="645">
        <v>0</v>
      </c>
      <c r="C26" s="645">
        <v>0</v>
      </c>
      <c r="D26" s="645">
        <v>0</v>
      </c>
      <c r="E26" s="645">
        <v>0</v>
      </c>
      <c r="F26" s="645">
        <v>0</v>
      </c>
      <c r="G26" s="645">
        <v>0</v>
      </c>
      <c r="H26" s="645">
        <v>0</v>
      </c>
      <c r="I26" s="645">
        <v>0</v>
      </c>
      <c r="J26" s="645">
        <v>0</v>
      </c>
      <c r="K26" s="645">
        <v>0</v>
      </c>
      <c r="L26" s="645">
        <v>0</v>
      </c>
      <c r="M26" s="645">
        <v>0</v>
      </c>
      <c r="N26" s="645">
        <v>0</v>
      </c>
      <c r="O26" s="645">
        <v>0</v>
      </c>
      <c r="P26" s="645">
        <v>0</v>
      </c>
      <c r="Q26" s="645">
        <v>0</v>
      </c>
      <c r="R26" s="645">
        <v>0</v>
      </c>
      <c r="S26" s="645">
        <v>0</v>
      </c>
      <c r="T26" s="645">
        <v>0</v>
      </c>
      <c r="U26" s="645">
        <v>0</v>
      </c>
      <c r="V26" s="645">
        <v>0</v>
      </c>
      <c r="W26" s="645">
        <v>0</v>
      </c>
      <c r="X26" s="645">
        <v>0</v>
      </c>
      <c r="Y26" s="645">
        <v>0</v>
      </c>
      <c r="Z26" s="645">
        <v>0</v>
      </c>
      <c r="AA26" s="645">
        <v>0</v>
      </c>
      <c r="AB26" s="645">
        <v>0</v>
      </c>
      <c r="AC26" s="645">
        <v>0</v>
      </c>
      <c r="AD26" s="646">
        <v>0</v>
      </c>
      <c r="AE26" s="647">
        <v>0</v>
      </c>
      <c r="AF26" s="647">
        <v>0</v>
      </c>
      <c r="AG26" s="647">
        <v>0</v>
      </c>
      <c r="AH26" s="647">
        <v>0</v>
      </c>
      <c r="AI26" s="647">
        <v>0</v>
      </c>
      <c r="AJ26" s="647">
        <v>0</v>
      </c>
      <c r="AK26" s="647">
        <v>0</v>
      </c>
      <c r="AL26" s="647">
        <v>0</v>
      </c>
      <c r="AM26" s="647">
        <v>0</v>
      </c>
      <c r="AN26" s="648">
        <v>0</v>
      </c>
      <c r="AO26" s="648">
        <v>0</v>
      </c>
      <c r="AP26" s="648">
        <v>0</v>
      </c>
      <c r="AQ26" s="649">
        <v>0</v>
      </c>
      <c r="AR26" s="649">
        <v>0</v>
      </c>
      <c r="AS26" s="649">
        <v>0</v>
      </c>
      <c r="AT26" s="649">
        <v>0</v>
      </c>
      <c r="AU26" s="649">
        <v>0</v>
      </c>
      <c r="AV26" s="649">
        <v>0</v>
      </c>
      <c r="AW26" s="649">
        <v>0</v>
      </c>
      <c r="AX26" s="649">
        <v>0</v>
      </c>
      <c r="AY26" s="649">
        <v>0</v>
      </c>
      <c r="AZ26" s="649">
        <v>0</v>
      </c>
      <c r="BA26" s="649">
        <v>0</v>
      </c>
      <c r="BB26" s="649">
        <v>0</v>
      </c>
      <c r="BC26" s="649">
        <v>0</v>
      </c>
    </row>
    <row r="27" spans="1:55" s="661" customFormat="1" ht="17.25" customHeight="1">
      <c r="A27" s="644" t="s">
        <v>492</v>
      </c>
      <c r="B27" s="645">
        <v>0</v>
      </c>
      <c r="C27" s="645">
        <v>0</v>
      </c>
      <c r="D27" s="645">
        <v>0</v>
      </c>
      <c r="E27" s="645">
        <v>0</v>
      </c>
      <c r="F27" s="645">
        <v>0</v>
      </c>
      <c r="G27" s="645">
        <v>0</v>
      </c>
      <c r="H27" s="645">
        <v>0</v>
      </c>
      <c r="I27" s="645">
        <v>303.74899999999991</v>
      </c>
      <c r="J27" s="645">
        <v>502.16046600000004</v>
      </c>
      <c r="K27" s="645">
        <v>502.16046600000004</v>
      </c>
      <c r="L27" s="645">
        <v>502.16046600000004</v>
      </c>
      <c r="M27" s="645">
        <v>477.37821600000007</v>
      </c>
      <c r="N27" s="645">
        <v>522.35433200000011</v>
      </c>
      <c r="O27" s="645">
        <v>563.02008699999988</v>
      </c>
      <c r="P27" s="645">
        <v>709.01456599999983</v>
      </c>
      <c r="Q27" s="645">
        <v>760.30179399999975</v>
      </c>
      <c r="R27" s="645">
        <v>957.91281299999991</v>
      </c>
      <c r="S27" s="645">
        <v>1111.7664229999998</v>
      </c>
      <c r="T27" s="645">
        <v>1421.1139969999999</v>
      </c>
      <c r="U27" s="645">
        <v>1345.9546740000001</v>
      </c>
      <c r="V27" s="645">
        <v>1097.4000299999998</v>
      </c>
      <c r="W27" s="645">
        <v>1147.5015679999997</v>
      </c>
      <c r="X27" s="645">
        <v>1074.3758809999999</v>
      </c>
      <c r="Y27" s="645">
        <v>973.89911399999983</v>
      </c>
      <c r="Z27" s="645">
        <v>987.01167250000026</v>
      </c>
      <c r="AA27" s="645">
        <v>987.61469880999994</v>
      </c>
      <c r="AB27" s="645">
        <v>987.90412218000029</v>
      </c>
      <c r="AC27" s="645">
        <v>964.24856999999986</v>
      </c>
      <c r="AD27" s="646">
        <v>815.01807333999989</v>
      </c>
      <c r="AE27" s="647">
        <v>829.00589168999988</v>
      </c>
      <c r="AF27" s="647">
        <v>879.56600669000034</v>
      </c>
      <c r="AG27" s="647">
        <v>783.56822769379312</v>
      </c>
      <c r="AH27" s="647">
        <v>728.4015081</v>
      </c>
      <c r="AI27" s="647">
        <v>626.68072635999999</v>
      </c>
      <c r="AJ27" s="647">
        <v>702.04092421000007</v>
      </c>
      <c r="AK27" s="647">
        <v>860.31270639999991</v>
      </c>
      <c r="AL27" s="647">
        <v>1136.02626151</v>
      </c>
      <c r="AM27" s="647">
        <v>1214.9587380400001</v>
      </c>
      <c r="AN27" s="648">
        <v>2300.1123070199992</v>
      </c>
      <c r="AO27" s="648">
        <v>2583.8162419999999</v>
      </c>
      <c r="AP27" s="648">
        <v>2828.7816888536599</v>
      </c>
      <c r="AQ27" s="649">
        <v>2783.8348632041857</v>
      </c>
      <c r="AR27" s="649">
        <v>2614.354993311681</v>
      </c>
      <c r="AS27" s="649">
        <v>2994.8673294889336</v>
      </c>
      <c r="AT27" s="649">
        <v>2660.8722954435084</v>
      </c>
      <c r="AU27" s="649">
        <v>2610.2756306442334</v>
      </c>
      <c r="AV27" s="649">
        <v>2571.964406937097</v>
      </c>
      <c r="AW27" s="649">
        <v>1818.6549297441982</v>
      </c>
      <c r="AX27" s="649">
        <v>1566.6874621341976</v>
      </c>
      <c r="AY27" s="649">
        <v>1518.7520036264834</v>
      </c>
      <c r="AZ27" s="649">
        <v>1626.8607322698992</v>
      </c>
      <c r="BA27" s="649">
        <v>1542.129128801779</v>
      </c>
      <c r="BB27" s="649">
        <v>1945.7750698424302</v>
      </c>
      <c r="BC27" s="649">
        <v>1906.2233462202012</v>
      </c>
    </row>
    <row r="28" spans="1:55" s="661" customFormat="1" ht="17.25" customHeight="1">
      <c r="A28" s="644" t="s">
        <v>493</v>
      </c>
      <c r="B28" s="645">
        <v>61.026910999999998</v>
      </c>
      <c r="C28" s="645">
        <v>61.016410999999998</v>
      </c>
      <c r="D28" s="645">
        <v>61.018411</v>
      </c>
      <c r="E28" s="645">
        <v>61.019410999999998</v>
      </c>
      <c r="F28" s="645">
        <v>61.020410999999996</v>
      </c>
      <c r="G28" s="645">
        <v>61.021411000000001</v>
      </c>
      <c r="H28" s="645">
        <v>61.021411000000001</v>
      </c>
      <c r="I28" s="645">
        <v>61.023410999999996</v>
      </c>
      <c r="J28" s="645">
        <v>61.024411000000001</v>
      </c>
      <c r="K28" s="645">
        <v>61.024411000000001</v>
      </c>
      <c r="L28" s="645">
        <v>61.026410999999996</v>
      </c>
      <c r="M28" s="645">
        <v>61.027411000000001</v>
      </c>
      <c r="N28" s="645">
        <v>61.028410999999998</v>
      </c>
      <c r="O28" s="645">
        <v>61.029410999999996</v>
      </c>
      <c r="P28" s="645">
        <v>61.030410999999994</v>
      </c>
      <c r="Q28" s="645">
        <v>61.030410999999994</v>
      </c>
      <c r="R28" s="645">
        <v>71.156410999999991</v>
      </c>
      <c r="S28" s="645">
        <v>67.529822999999993</v>
      </c>
      <c r="T28" s="645">
        <v>67.529822999999993</v>
      </c>
      <c r="U28" s="645">
        <v>67.529822999999993</v>
      </c>
      <c r="V28" s="645">
        <v>67.529822999999993</v>
      </c>
      <c r="W28" s="645">
        <v>67.529822999999993</v>
      </c>
      <c r="X28" s="645">
        <v>67.529822999999993</v>
      </c>
      <c r="Y28" s="645">
        <v>67.529822999999993</v>
      </c>
      <c r="Z28" s="645">
        <v>67.529822999999993</v>
      </c>
      <c r="AA28" s="645">
        <v>67.529822999999993</v>
      </c>
      <c r="AB28" s="645">
        <v>67.529822999999993</v>
      </c>
      <c r="AC28" s="645">
        <v>67.532817999999992</v>
      </c>
      <c r="AD28" s="646">
        <v>67.532817999999992</v>
      </c>
      <c r="AE28" s="647">
        <v>67.542648999999997</v>
      </c>
      <c r="AF28" s="647">
        <v>67.532817999999992</v>
      </c>
      <c r="AG28" s="647">
        <v>67.532817999999992</v>
      </c>
      <c r="AH28" s="647">
        <v>67.542487999999992</v>
      </c>
      <c r="AI28" s="647">
        <v>67.539492999999993</v>
      </c>
      <c r="AJ28" s="647">
        <v>67.539492999999993</v>
      </c>
      <c r="AK28" s="647">
        <v>67.539492999999993</v>
      </c>
      <c r="AL28" s="647">
        <v>67.539492999999993</v>
      </c>
      <c r="AM28" s="647">
        <v>67.539492999999993</v>
      </c>
      <c r="AN28" s="648">
        <v>67.539492999999993</v>
      </c>
      <c r="AO28" s="648">
        <v>67.539492999999993</v>
      </c>
      <c r="AP28" s="648">
        <v>67.539492999999993</v>
      </c>
      <c r="AQ28" s="649">
        <v>67.539492999999993</v>
      </c>
      <c r="AR28" s="649">
        <v>67.539492999999993</v>
      </c>
      <c r="AS28" s="649">
        <v>67.539492999999993</v>
      </c>
      <c r="AT28" s="649">
        <v>67.539492999999993</v>
      </c>
      <c r="AU28" s="649">
        <v>67.539492999999993</v>
      </c>
      <c r="AV28" s="649">
        <v>67.539492999999993</v>
      </c>
      <c r="AW28" s="649">
        <v>67.539492999999993</v>
      </c>
      <c r="AX28" s="649">
        <v>67.539492999999993</v>
      </c>
      <c r="AY28" s="649">
        <v>64.790993</v>
      </c>
      <c r="AZ28" s="649">
        <v>64.790993</v>
      </c>
      <c r="BA28" s="649">
        <v>58.063493000000001</v>
      </c>
      <c r="BB28" s="649">
        <v>58.063493000000001</v>
      </c>
      <c r="BC28" s="649">
        <v>58.063493000000001</v>
      </c>
    </row>
    <row r="29" spans="1:55" s="661" customFormat="1" ht="17.25" customHeight="1">
      <c r="A29" s="644" t="s">
        <v>494</v>
      </c>
      <c r="B29" s="645">
        <v>0.97697899999999993</v>
      </c>
      <c r="C29" s="645">
        <v>0.97697899999999993</v>
      </c>
      <c r="D29" s="645">
        <v>0.97697899999999993</v>
      </c>
      <c r="E29" s="645">
        <v>0.97697899999999993</v>
      </c>
      <c r="F29" s="645">
        <v>0.97697899999999993</v>
      </c>
      <c r="G29" s="645">
        <v>0.97697899999999993</v>
      </c>
      <c r="H29" s="645">
        <v>0.97697899999999993</v>
      </c>
      <c r="I29" s="645">
        <v>0.97697899999999993</v>
      </c>
      <c r="J29" s="645">
        <v>0.97697899999999993</v>
      </c>
      <c r="K29" s="645">
        <v>0.97697899999999993</v>
      </c>
      <c r="L29" s="645">
        <v>0.97697899999999993</v>
      </c>
      <c r="M29" s="645">
        <v>0.97697899999999993</v>
      </c>
      <c r="N29" s="645">
        <v>0.97697899999999993</v>
      </c>
      <c r="O29" s="645">
        <v>0.97697899999999993</v>
      </c>
      <c r="P29" s="645">
        <v>0.97447899999999998</v>
      </c>
      <c r="Q29" s="645">
        <v>0.97447899999999998</v>
      </c>
      <c r="R29" s="645">
        <v>0.97447899999999998</v>
      </c>
      <c r="S29" s="645">
        <v>0.97447899999999998</v>
      </c>
      <c r="T29" s="645">
        <v>0.97447899999999998</v>
      </c>
      <c r="U29" s="645">
        <v>0.94097900000000001</v>
      </c>
      <c r="V29" s="645">
        <v>0.94097900000000001</v>
      </c>
      <c r="W29" s="645">
        <v>0.94097900000000001</v>
      </c>
      <c r="X29" s="645">
        <v>0.94097900000000001</v>
      </c>
      <c r="Y29" s="645">
        <v>0.94097900000000001</v>
      </c>
      <c r="Z29" s="645">
        <v>0.94097900000000001</v>
      </c>
      <c r="AA29" s="645">
        <v>0.94097900000000001</v>
      </c>
      <c r="AB29" s="645">
        <v>0.94097900000000001</v>
      </c>
      <c r="AC29" s="645">
        <v>0.94097900000000001</v>
      </c>
      <c r="AD29" s="646">
        <v>0.94097900000000001</v>
      </c>
      <c r="AE29" s="647">
        <v>0.94097900000000001</v>
      </c>
      <c r="AF29" s="647">
        <v>0.94097900000000001</v>
      </c>
      <c r="AG29" s="647">
        <v>0.94097900000000001</v>
      </c>
      <c r="AH29" s="647">
        <v>0.94097900000000001</v>
      </c>
      <c r="AI29" s="647">
        <v>0.94097900000000001</v>
      </c>
      <c r="AJ29" s="647">
        <v>0.94097900000000001</v>
      </c>
      <c r="AK29" s="647">
        <v>0.94097900000000001</v>
      </c>
      <c r="AL29" s="647">
        <v>0.94097900000000001</v>
      </c>
      <c r="AM29" s="647">
        <v>0.94097900000000001</v>
      </c>
      <c r="AN29" s="648">
        <v>0.94097900000000001</v>
      </c>
      <c r="AO29" s="648">
        <v>0.94097900000000001</v>
      </c>
      <c r="AP29" s="648">
        <v>0.94097900000000001</v>
      </c>
      <c r="AQ29" s="649">
        <v>0.94097900000000001</v>
      </c>
      <c r="AR29" s="649">
        <v>0.94097900000000001</v>
      </c>
      <c r="AS29" s="649">
        <v>0.94097900000000001</v>
      </c>
      <c r="AT29" s="649">
        <v>0.94097900000000001</v>
      </c>
      <c r="AU29" s="649">
        <v>0.94097900000000001</v>
      </c>
      <c r="AV29" s="649">
        <v>0.94097900000000001</v>
      </c>
      <c r="AW29" s="649">
        <v>0.94097900000000001</v>
      </c>
      <c r="AX29" s="649">
        <v>0.94097900000000001</v>
      </c>
      <c r="AY29" s="649">
        <v>0.94097900000000001</v>
      </c>
      <c r="AZ29" s="649">
        <v>0.94097900000000001</v>
      </c>
      <c r="BA29" s="649">
        <v>0.94097900000000001</v>
      </c>
      <c r="BB29" s="649">
        <v>0.94097900000000001</v>
      </c>
      <c r="BC29" s="649">
        <v>0.94097900000000001</v>
      </c>
    </row>
    <row r="30" spans="1:55" ht="17.25" customHeight="1">
      <c r="A30" s="650"/>
      <c r="B30" s="651"/>
      <c r="C30" s="651"/>
      <c r="D30" s="651"/>
      <c r="E30" s="651"/>
      <c r="F30" s="651"/>
      <c r="G30" s="651"/>
      <c r="H30" s="651"/>
      <c r="I30" s="651"/>
      <c r="J30" s="651"/>
      <c r="K30" s="651"/>
      <c r="L30" s="651"/>
      <c r="M30" s="651"/>
      <c r="N30" s="651"/>
      <c r="O30" s="651"/>
      <c r="P30" s="651"/>
      <c r="Q30" s="651"/>
      <c r="R30" s="651"/>
      <c r="S30" s="651"/>
      <c r="T30" s="651"/>
      <c r="U30" s="651"/>
      <c r="V30" s="651"/>
      <c r="W30" s="651"/>
      <c r="X30" s="651"/>
      <c r="Y30" s="651"/>
      <c r="Z30" s="651"/>
      <c r="AA30" s="651"/>
      <c r="AB30" s="651"/>
      <c r="AC30" s="651"/>
      <c r="AD30" s="652"/>
      <c r="AE30" s="653"/>
      <c r="AF30" s="653"/>
      <c r="AG30" s="653"/>
      <c r="AH30" s="653"/>
      <c r="AI30" s="653"/>
      <c r="AJ30" s="653"/>
      <c r="AK30" s="653"/>
      <c r="AL30" s="653"/>
      <c r="AM30" s="653"/>
      <c r="AN30" s="654"/>
      <c r="AO30" s="654"/>
      <c r="AP30" s="654"/>
      <c r="AQ30" s="655"/>
      <c r="AR30" s="655"/>
      <c r="AS30" s="655"/>
      <c r="AT30" s="655"/>
      <c r="AU30" s="655"/>
      <c r="AV30" s="655"/>
      <c r="AW30" s="655"/>
      <c r="AX30" s="655"/>
      <c r="AY30" s="655"/>
      <c r="AZ30" s="655"/>
      <c r="BA30" s="655"/>
      <c r="BB30" s="655"/>
      <c r="BC30" s="655"/>
    </row>
    <row r="31" spans="1:55" ht="17.25" customHeight="1">
      <c r="A31" s="638" t="s">
        <v>201</v>
      </c>
      <c r="B31" s="639">
        <v>0</v>
      </c>
      <c r="C31" s="639">
        <v>0</v>
      </c>
      <c r="D31" s="639">
        <v>0</v>
      </c>
      <c r="E31" s="639">
        <v>0</v>
      </c>
      <c r="F31" s="639">
        <v>0</v>
      </c>
      <c r="G31" s="639">
        <v>0</v>
      </c>
      <c r="H31" s="639">
        <v>0</v>
      </c>
      <c r="I31" s="639">
        <v>0</v>
      </c>
      <c r="J31" s="639">
        <v>0</v>
      </c>
      <c r="K31" s="639">
        <v>0</v>
      </c>
      <c r="L31" s="639">
        <v>0</v>
      </c>
      <c r="M31" s="639">
        <v>0</v>
      </c>
      <c r="N31" s="639">
        <v>0</v>
      </c>
      <c r="O31" s="639">
        <v>0</v>
      </c>
      <c r="P31" s="639">
        <v>0</v>
      </c>
      <c r="Q31" s="639">
        <v>0</v>
      </c>
      <c r="R31" s="639">
        <v>0</v>
      </c>
      <c r="S31" s="639">
        <v>0</v>
      </c>
      <c r="T31" s="639">
        <v>0</v>
      </c>
      <c r="U31" s="639">
        <v>0</v>
      </c>
      <c r="V31" s="639">
        <v>0</v>
      </c>
      <c r="W31" s="639">
        <v>0</v>
      </c>
      <c r="X31" s="639">
        <v>0</v>
      </c>
      <c r="Y31" s="639">
        <v>0</v>
      </c>
      <c r="Z31" s="639">
        <v>0</v>
      </c>
      <c r="AA31" s="639">
        <v>0</v>
      </c>
      <c r="AB31" s="639">
        <v>0</v>
      </c>
      <c r="AC31" s="639">
        <v>0</v>
      </c>
      <c r="AD31" s="640">
        <v>0</v>
      </c>
      <c r="AE31" s="641">
        <v>0</v>
      </c>
      <c r="AF31" s="641">
        <v>0</v>
      </c>
      <c r="AG31" s="641">
        <v>0</v>
      </c>
      <c r="AH31" s="641">
        <v>0</v>
      </c>
      <c r="AI31" s="641">
        <v>0</v>
      </c>
      <c r="AJ31" s="641">
        <v>0</v>
      </c>
      <c r="AK31" s="641">
        <v>0</v>
      </c>
      <c r="AL31" s="641">
        <v>0</v>
      </c>
      <c r="AM31" s="641">
        <v>0</v>
      </c>
      <c r="AN31" s="642">
        <v>0</v>
      </c>
      <c r="AO31" s="642">
        <v>0</v>
      </c>
      <c r="AP31" s="642">
        <v>0</v>
      </c>
      <c r="AQ31" s="643">
        <v>0</v>
      </c>
      <c r="AR31" s="643">
        <v>0</v>
      </c>
      <c r="AS31" s="643">
        <v>0</v>
      </c>
      <c r="AT31" s="643">
        <v>0</v>
      </c>
      <c r="AU31" s="643">
        <v>0</v>
      </c>
      <c r="AV31" s="643">
        <v>0</v>
      </c>
      <c r="AW31" s="643">
        <v>0</v>
      </c>
      <c r="AX31" s="643">
        <v>0</v>
      </c>
      <c r="AY31" s="643">
        <v>0</v>
      </c>
      <c r="AZ31" s="643">
        <v>0</v>
      </c>
      <c r="BA31" s="643">
        <v>0</v>
      </c>
      <c r="BB31" s="643">
        <v>0</v>
      </c>
      <c r="BC31" s="643">
        <v>0</v>
      </c>
    </row>
    <row r="32" spans="1:55" ht="17.25" customHeight="1">
      <c r="A32" s="650"/>
      <c r="B32" s="651"/>
      <c r="C32" s="651"/>
      <c r="D32" s="651"/>
      <c r="E32" s="651"/>
      <c r="F32" s="651"/>
      <c r="G32" s="651"/>
      <c r="H32" s="651"/>
      <c r="I32" s="651"/>
      <c r="J32" s="651"/>
      <c r="K32" s="651"/>
      <c r="L32" s="651"/>
      <c r="M32" s="651"/>
      <c r="N32" s="651"/>
      <c r="O32" s="651"/>
      <c r="P32" s="651"/>
      <c r="Q32" s="651"/>
      <c r="R32" s="651"/>
      <c r="S32" s="651"/>
      <c r="T32" s="651"/>
      <c r="U32" s="651"/>
      <c r="V32" s="651"/>
      <c r="W32" s="651"/>
      <c r="X32" s="651"/>
      <c r="Y32" s="651"/>
      <c r="Z32" s="651"/>
      <c r="AA32" s="651"/>
      <c r="AB32" s="651"/>
      <c r="AC32" s="651"/>
      <c r="AD32" s="652"/>
      <c r="AE32" s="653"/>
      <c r="AF32" s="653"/>
      <c r="AG32" s="653"/>
      <c r="AH32" s="653"/>
      <c r="AI32" s="653"/>
      <c r="AJ32" s="653"/>
      <c r="AK32" s="653"/>
      <c r="AL32" s="653"/>
      <c r="AM32" s="653"/>
      <c r="AN32" s="654"/>
      <c r="AO32" s="654"/>
      <c r="AP32" s="654"/>
      <c r="AQ32" s="655"/>
      <c r="AR32" s="655"/>
      <c r="AS32" s="655"/>
      <c r="AT32" s="655"/>
      <c r="AU32" s="655"/>
      <c r="AV32" s="655"/>
      <c r="AW32" s="655"/>
      <c r="AX32" s="655"/>
      <c r="AY32" s="655"/>
      <c r="AZ32" s="655"/>
      <c r="BA32" s="655"/>
      <c r="BB32" s="655"/>
      <c r="BC32" s="655"/>
    </row>
    <row r="33" spans="1:55" ht="17.25" customHeight="1">
      <c r="A33" s="638" t="s">
        <v>423</v>
      </c>
      <c r="B33" s="639">
        <v>0</v>
      </c>
      <c r="C33" s="639">
        <v>0</v>
      </c>
      <c r="D33" s="639">
        <v>0</v>
      </c>
      <c r="E33" s="639">
        <v>0</v>
      </c>
      <c r="F33" s="639">
        <v>0</v>
      </c>
      <c r="G33" s="639">
        <v>0</v>
      </c>
      <c r="H33" s="639">
        <v>0</v>
      </c>
      <c r="I33" s="639">
        <v>0</v>
      </c>
      <c r="J33" s="639">
        <v>0</v>
      </c>
      <c r="K33" s="639">
        <v>0</v>
      </c>
      <c r="L33" s="639">
        <v>0</v>
      </c>
      <c r="M33" s="639">
        <v>0</v>
      </c>
      <c r="N33" s="639">
        <v>0</v>
      </c>
      <c r="O33" s="639">
        <v>0</v>
      </c>
      <c r="P33" s="639">
        <v>0</v>
      </c>
      <c r="Q33" s="639">
        <v>0</v>
      </c>
      <c r="R33" s="639">
        <v>0</v>
      </c>
      <c r="S33" s="639">
        <v>0</v>
      </c>
      <c r="T33" s="639">
        <v>0</v>
      </c>
      <c r="U33" s="639">
        <v>0</v>
      </c>
      <c r="V33" s="639">
        <v>0</v>
      </c>
      <c r="W33" s="639">
        <v>0</v>
      </c>
      <c r="X33" s="639">
        <v>0</v>
      </c>
      <c r="Y33" s="639">
        <v>0</v>
      </c>
      <c r="Z33" s="639">
        <v>0</v>
      </c>
      <c r="AA33" s="639">
        <v>0</v>
      </c>
      <c r="AB33" s="639">
        <v>0</v>
      </c>
      <c r="AC33" s="639">
        <v>0</v>
      </c>
      <c r="AD33" s="640">
        <v>0</v>
      </c>
      <c r="AE33" s="641">
        <v>0</v>
      </c>
      <c r="AF33" s="641">
        <v>0</v>
      </c>
      <c r="AG33" s="641">
        <v>0</v>
      </c>
      <c r="AH33" s="641">
        <v>0</v>
      </c>
      <c r="AI33" s="641">
        <v>0</v>
      </c>
      <c r="AJ33" s="641">
        <v>0</v>
      </c>
      <c r="AK33" s="641">
        <v>0</v>
      </c>
      <c r="AL33" s="641">
        <v>0</v>
      </c>
      <c r="AM33" s="641">
        <v>0</v>
      </c>
      <c r="AN33" s="642">
        <v>0</v>
      </c>
      <c r="AO33" s="642">
        <v>0</v>
      </c>
      <c r="AP33" s="642">
        <v>0</v>
      </c>
      <c r="AQ33" s="643">
        <v>0</v>
      </c>
      <c r="AR33" s="643">
        <v>0</v>
      </c>
      <c r="AS33" s="643">
        <v>0</v>
      </c>
      <c r="AT33" s="643">
        <v>0</v>
      </c>
      <c r="AU33" s="643">
        <v>0</v>
      </c>
      <c r="AV33" s="643">
        <v>0</v>
      </c>
      <c r="AW33" s="643">
        <v>0</v>
      </c>
      <c r="AX33" s="643">
        <v>0</v>
      </c>
      <c r="AY33" s="643">
        <v>0</v>
      </c>
      <c r="AZ33" s="643">
        <v>0</v>
      </c>
      <c r="BA33" s="643">
        <v>0</v>
      </c>
      <c r="BB33" s="643">
        <v>0</v>
      </c>
      <c r="BC33" s="643">
        <v>0</v>
      </c>
    </row>
    <row r="34" spans="1:55" ht="17.25" customHeight="1">
      <c r="A34" s="650"/>
      <c r="B34" s="651"/>
      <c r="C34" s="651"/>
      <c r="D34" s="651"/>
      <c r="E34" s="651"/>
      <c r="F34" s="651"/>
      <c r="G34" s="651"/>
      <c r="H34" s="651"/>
      <c r="I34" s="651"/>
      <c r="J34" s="651"/>
      <c r="K34" s="651"/>
      <c r="L34" s="651"/>
      <c r="M34" s="651"/>
      <c r="N34" s="651"/>
      <c r="O34" s="651"/>
      <c r="P34" s="651"/>
      <c r="Q34" s="651"/>
      <c r="R34" s="651"/>
      <c r="S34" s="651"/>
      <c r="T34" s="651"/>
      <c r="U34" s="651"/>
      <c r="V34" s="651"/>
      <c r="W34" s="651"/>
      <c r="X34" s="651"/>
      <c r="Y34" s="651"/>
      <c r="Z34" s="651"/>
      <c r="AA34" s="651"/>
      <c r="AB34" s="651"/>
      <c r="AC34" s="651"/>
      <c r="AD34" s="652"/>
      <c r="AE34" s="653"/>
      <c r="AF34" s="653"/>
      <c r="AG34" s="653"/>
      <c r="AH34" s="653"/>
      <c r="AI34" s="653"/>
      <c r="AJ34" s="653"/>
      <c r="AK34" s="653"/>
      <c r="AL34" s="653"/>
      <c r="AM34" s="653"/>
      <c r="AN34" s="654"/>
      <c r="AO34" s="654"/>
      <c r="AP34" s="654"/>
      <c r="AQ34" s="655"/>
      <c r="AR34" s="655"/>
      <c r="AS34" s="655"/>
      <c r="AT34" s="655"/>
      <c r="AU34" s="655"/>
      <c r="AV34" s="655"/>
      <c r="AW34" s="655"/>
      <c r="AX34" s="655"/>
      <c r="AY34" s="655"/>
      <c r="AZ34" s="655"/>
      <c r="BA34" s="655"/>
      <c r="BB34" s="655"/>
      <c r="BC34" s="655"/>
    </row>
    <row r="35" spans="1:55" ht="17.25" customHeight="1">
      <c r="A35" s="638" t="s">
        <v>495</v>
      </c>
      <c r="B35" s="639"/>
      <c r="C35" s="639"/>
      <c r="D35" s="639"/>
      <c r="E35" s="639"/>
      <c r="F35" s="639"/>
      <c r="G35" s="639"/>
      <c r="H35" s="639"/>
      <c r="I35" s="639"/>
      <c r="J35" s="639"/>
      <c r="K35" s="639"/>
      <c r="L35" s="639"/>
      <c r="M35" s="639"/>
      <c r="N35" s="639"/>
      <c r="O35" s="639"/>
      <c r="P35" s="639"/>
      <c r="Q35" s="639"/>
      <c r="R35" s="639"/>
      <c r="S35" s="639"/>
      <c r="T35" s="639"/>
      <c r="U35" s="639"/>
      <c r="V35" s="639"/>
      <c r="W35" s="639"/>
      <c r="X35" s="639"/>
      <c r="Y35" s="639"/>
      <c r="Z35" s="639"/>
      <c r="AA35" s="639"/>
      <c r="AB35" s="639"/>
      <c r="AC35" s="639"/>
      <c r="AD35" s="640"/>
      <c r="AE35" s="641"/>
      <c r="AF35" s="641"/>
      <c r="AG35" s="641"/>
      <c r="AH35" s="641"/>
      <c r="AI35" s="641"/>
      <c r="AJ35" s="641"/>
      <c r="AK35" s="641"/>
      <c r="AL35" s="641"/>
      <c r="AM35" s="641"/>
      <c r="AN35" s="642"/>
      <c r="AO35" s="642"/>
      <c r="AP35" s="642"/>
      <c r="AQ35" s="643"/>
      <c r="AR35" s="643"/>
      <c r="AS35" s="643"/>
      <c r="AT35" s="643"/>
      <c r="AU35" s="643"/>
      <c r="AV35" s="643"/>
      <c r="AW35" s="643"/>
      <c r="AX35" s="643"/>
      <c r="AY35" s="643"/>
      <c r="AZ35" s="643"/>
      <c r="BA35" s="643"/>
      <c r="BB35" s="643"/>
      <c r="BC35" s="643">
        <v>0</v>
      </c>
    </row>
    <row r="36" spans="1:55" ht="17.25" customHeight="1">
      <c r="A36" s="650"/>
      <c r="B36" s="651"/>
      <c r="C36" s="651"/>
      <c r="D36" s="651"/>
      <c r="E36" s="651"/>
      <c r="F36" s="651"/>
      <c r="G36" s="651"/>
      <c r="H36" s="651"/>
      <c r="I36" s="651"/>
      <c r="J36" s="651"/>
      <c r="K36" s="651"/>
      <c r="L36" s="651"/>
      <c r="M36" s="651"/>
      <c r="N36" s="651"/>
      <c r="O36" s="651"/>
      <c r="P36" s="651"/>
      <c r="Q36" s="651"/>
      <c r="R36" s="651"/>
      <c r="S36" s="651"/>
      <c r="T36" s="651"/>
      <c r="U36" s="651"/>
      <c r="V36" s="651"/>
      <c r="W36" s="651"/>
      <c r="X36" s="651"/>
      <c r="Y36" s="651"/>
      <c r="Z36" s="651"/>
      <c r="AA36" s="651"/>
      <c r="AB36" s="651"/>
      <c r="AC36" s="651"/>
      <c r="AD36" s="652"/>
      <c r="AE36" s="653"/>
      <c r="AF36" s="653"/>
      <c r="AG36" s="653"/>
      <c r="AH36" s="653"/>
      <c r="AI36" s="653"/>
      <c r="AJ36" s="653"/>
      <c r="AK36" s="653"/>
      <c r="AL36" s="653"/>
      <c r="AM36" s="653"/>
      <c r="AN36" s="654"/>
      <c r="AO36" s="654"/>
      <c r="AP36" s="654"/>
      <c r="AQ36" s="655"/>
      <c r="AR36" s="655"/>
      <c r="AS36" s="655"/>
      <c r="AT36" s="655"/>
      <c r="AU36" s="655"/>
      <c r="AV36" s="655"/>
      <c r="AW36" s="655"/>
      <c r="AX36" s="655"/>
      <c r="AY36" s="655"/>
      <c r="AZ36" s="655"/>
      <c r="BA36" s="655"/>
      <c r="BB36" s="655"/>
      <c r="BC36" s="655"/>
    </row>
    <row r="37" spans="1:55" ht="17.25" customHeight="1">
      <c r="A37" s="638" t="s">
        <v>419</v>
      </c>
      <c r="B37" s="639">
        <v>19964.110167409999</v>
      </c>
      <c r="C37" s="639">
        <v>20456.15655851</v>
      </c>
      <c r="D37" s="639">
        <v>20656.54350453</v>
      </c>
      <c r="E37" s="639">
        <v>20976.469956159999</v>
      </c>
      <c r="F37" s="639">
        <v>23542.384742170001</v>
      </c>
      <c r="G37" s="639">
        <v>20273.87106505</v>
      </c>
      <c r="H37" s="639">
        <v>18508.569286829999</v>
      </c>
      <c r="I37" s="639">
        <v>19472.344551769998</v>
      </c>
      <c r="J37" s="639">
        <v>20495.222189169999</v>
      </c>
      <c r="K37" s="639">
        <v>20301.791217229998</v>
      </c>
      <c r="L37" s="639">
        <v>20191.020255149997</v>
      </c>
      <c r="M37" s="639">
        <v>21361.044988709997</v>
      </c>
      <c r="N37" s="639">
        <v>19413.827296809999</v>
      </c>
      <c r="O37" s="639">
        <v>19582.327154339997</v>
      </c>
      <c r="P37" s="639">
        <v>18243.485036359998</v>
      </c>
      <c r="Q37" s="639">
        <v>17904.736877859999</v>
      </c>
      <c r="R37" s="639">
        <v>18921.887750959999</v>
      </c>
      <c r="S37" s="639">
        <v>20149.1601701</v>
      </c>
      <c r="T37" s="639">
        <v>18753.241767789998</v>
      </c>
      <c r="U37" s="639">
        <v>19617.36774234</v>
      </c>
      <c r="V37" s="639">
        <v>19604.223607200001</v>
      </c>
      <c r="W37" s="639">
        <v>21354.738473539997</v>
      </c>
      <c r="X37" s="639">
        <v>20283.88373102</v>
      </c>
      <c r="Y37" s="639">
        <v>19542.970377910002</v>
      </c>
      <c r="Z37" s="639">
        <v>21291.50351029</v>
      </c>
      <c r="AA37" s="639">
        <v>21595.119234290003</v>
      </c>
      <c r="AB37" s="639">
        <v>20783.147565799998</v>
      </c>
      <c r="AC37" s="639">
        <v>21203.46923585</v>
      </c>
      <c r="AD37" s="640">
        <v>19954.35588607</v>
      </c>
      <c r="AE37" s="641">
        <v>23783.569044780001</v>
      </c>
      <c r="AF37" s="641">
        <v>23780.145553330003</v>
      </c>
      <c r="AG37" s="641">
        <v>23569.844059790001</v>
      </c>
      <c r="AH37" s="641">
        <v>25164.681625080102</v>
      </c>
      <c r="AI37" s="641">
        <v>26025.415872760001</v>
      </c>
      <c r="AJ37" s="641">
        <v>25692.210255179998</v>
      </c>
      <c r="AK37" s="641">
        <v>25383.877467489983</v>
      </c>
      <c r="AL37" s="641">
        <v>25930.891317520014</v>
      </c>
      <c r="AM37" s="641">
        <v>25189.279282339958</v>
      </c>
      <c r="AN37" s="642">
        <v>25613.860504809993</v>
      </c>
      <c r="AO37" s="642">
        <v>25224.743159949947</v>
      </c>
      <c r="AP37" s="642">
        <v>23948.197494770015</v>
      </c>
      <c r="AQ37" s="643">
        <v>21850.039449129996</v>
      </c>
      <c r="AR37" s="643">
        <v>22254.871252340021</v>
      </c>
      <c r="AS37" s="643">
        <v>21879.72865525998</v>
      </c>
      <c r="AT37" s="643">
        <v>22545.301191179984</v>
      </c>
      <c r="AU37" s="643">
        <v>22101.591468449988</v>
      </c>
      <c r="AV37" s="643">
        <v>21365.243426009969</v>
      </c>
      <c r="AW37" s="643">
        <v>20881.14524601998</v>
      </c>
      <c r="AX37" s="643">
        <v>20472.976203240014</v>
      </c>
      <c r="AY37" s="643">
        <v>21487.784692900022</v>
      </c>
      <c r="AZ37" s="643">
        <v>21928.267963229922</v>
      </c>
      <c r="BA37" s="643">
        <v>21797.014970980046</v>
      </c>
      <c r="BB37" s="643">
        <v>22086.19730513003</v>
      </c>
      <c r="BC37" s="643">
        <v>22617.393927699974</v>
      </c>
    </row>
    <row r="38" spans="1:55" ht="17.25" customHeight="1">
      <c r="A38" s="650"/>
      <c r="B38" s="651"/>
      <c r="C38" s="651"/>
      <c r="D38" s="651"/>
      <c r="E38" s="651"/>
      <c r="F38" s="651"/>
      <c r="G38" s="651"/>
      <c r="H38" s="651"/>
      <c r="I38" s="651"/>
      <c r="J38" s="651"/>
      <c r="K38" s="651"/>
      <c r="L38" s="651"/>
      <c r="M38" s="651"/>
      <c r="N38" s="651"/>
      <c r="O38" s="651"/>
      <c r="P38" s="651"/>
      <c r="Q38" s="651"/>
      <c r="R38" s="651"/>
      <c r="S38" s="651"/>
      <c r="T38" s="651"/>
      <c r="U38" s="651"/>
      <c r="V38" s="651"/>
      <c r="W38" s="651"/>
      <c r="X38" s="651"/>
      <c r="Y38" s="651"/>
      <c r="Z38" s="651"/>
      <c r="AA38" s="651"/>
      <c r="AB38" s="651"/>
      <c r="AC38" s="651"/>
      <c r="AD38" s="652"/>
      <c r="AE38" s="653"/>
      <c r="AF38" s="653"/>
      <c r="AG38" s="653"/>
      <c r="AH38" s="653"/>
      <c r="AI38" s="653"/>
      <c r="AJ38" s="653"/>
      <c r="AK38" s="653"/>
      <c r="AL38" s="653"/>
      <c r="AM38" s="653"/>
      <c r="AN38" s="654"/>
      <c r="AO38" s="654"/>
      <c r="AP38" s="654"/>
      <c r="AQ38" s="655"/>
      <c r="AR38" s="655"/>
      <c r="AS38" s="655"/>
      <c r="AT38" s="655"/>
      <c r="AU38" s="655"/>
      <c r="AV38" s="655"/>
      <c r="AW38" s="655"/>
      <c r="AX38" s="655"/>
      <c r="AY38" s="655"/>
      <c r="AZ38" s="655"/>
      <c r="BA38" s="655"/>
      <c r="BB38" s="655"/>
      <c r="BC38" s="655"/>
    </row>
    <row r="39" spans="1:55" ht="17.25" customHeight="1">
      <c r="A39" s="638" t="s">
        <v>496</v>
      </c>
      <c r="B39" s="639">
        <v>-1434.667344337124</v>
      </c>
      <c r="C39" s="639">
        <v>-1477.1395861087244</v>
      </c>
      <c r="D39" s="639">
        <v>-1358.796941880126</v>
      </c>
      <c r="E39" s="639">
        <v>-1458.96645092479</v>
      </c>
      <c r="F39" s="639">
        <v>-1381.6226738184043</v>
      </c>
      <c r="G39" s="639">
        <v>-963.28624081337387</v>
      </c>
      <c r="H39" s="639">
        <v>422.07065105018188</v>
      </c>
      <c r="I39" s="639">
        <v>-978.82857102485036</v>
      </c>
      <c r="J39" s="639">
        <v>-823.93375902726427</v>
      </c>
      <c r="K39" s="639">
        <v>-850.77931149989365</v>
      </c>
      <c r="L39" s="639">
        <v>-987.49065916572863</v>
      </c>
      <c r="M39" s="639">
        <v>-936.4391397666551</v>
      </c>
      <c r="N39" s="639">
        <v>-736.96161155021503</v>
      </c>
      <c r="O39" s="639">
        <v>-1051.1752037621868</v>
      </c>
      <c r="P39" s="639">
        <v>-1021.8921495364106</v>
      </c>
      <c r="Q39" s="639">
        <v>-832.03756500450504</v>
      </c>
      <c r="R39" s="639">
        <v>-730.79269520945854</v>
      </c>
      <c r="S39" s="639">
        <v>-759.96603815235449</v>
      </c>
      <c r="T39" s="639">
        <v>-504.77425950995183</v>
      </c>
      <c r="U39" s="639">
        <v>-508.68117633964766</v>
      </c>
      <c r="V39" s="639">
        <v>-893.80414623820752</v>
      </c>
      <c r="W39" s="639">
        <v>-763.39340329816673</v>
      </c>
      <c r="X39" s="639">
        <v>-790.29161976840771</v>
      </c>
      <c r="Y39" s="639">
        <v>-816.00497894945283</v>
      </c>
      <c r="Z39" s="639">
        <v>-832.01725442353654</v>
      </c>
      <c r="AA39" s="639">
        <v>-933.02095446765031</v>
      </c>
      <c r="AB39" s="639">
        <v>-911.91733136025948</v>
      </c>
      <c r="AC39" s="639">
        <v>-867.71302911767884</v>
      </c>
      <c r="AD39" s="640">
        <v>-745.94810927188189</v>
      </c>
      <c r="AE39" s="641">
        <v>-918.58672977184278</v>
      </c>
      <c r="AF39" s="641">
        <v>-226.3974311698656</v>
      </c>
      <c r="AG39" s="641">
        <v>-387.84265693047922</v>
      </c>
      <c r="AH39" s="641">
        <v>-365.45336159888342</v>
      </c>
      <c r="AI39" s="641">
        <v>-802.39928888553823</v>
      </c>
      <c r="AJ39" s="641">
        <v>-837.88849807393342</v>
      </c>
      <c r="AK39" s="641">
        <v>-770.03294562189137</v>
      </c>
      <c r="AL39" s="641">
        <v>-706.71763879889261</v>
      </c>
      <c r="AM39" s="641">
        <v>-789.79346798723486</v>
      </c>
      <c r="AN39" s="642">
        <v>-768.23533532531997</v>
      </c>
      <c r="AO39" s="642">
        <v>-720.28712618726922</v>
      </c>
      <c r="AP39" s="642">
        <v>-805.11434280500669</v>
      </c>
      <c r="AQ39" s="643">
        <v>-791.2372303008666</v>
      </c>
      <c r="AR39" s="643">
        <v>-528.62362887682525</v>
      </c>
      <c r="AS39" s="643">
        <v>-292.27452656486992</v>
      </c>
      <c r="AT39" s="643">
        <v>-471.44493521788257</v>
      </c>
      <c r="AU39" s="643">
        <v>-625.18479977963523</v>
      </c>
      <c r="AV39" s="643">
        <v>-591.5090061080225</v>
      </c>
      <c r="AW39" s="643">
        <v>-461.1157980625905</v>
      </c>
      <c r="AX39" s="643">
        <v>-571.83377932754422</v>
      </c>
      <c r="AY39" s="643">
        <v>-701.1908600242333</v>
      </c>
      <c r="AZ39" s="643">
        <v>-648.70551274924367</v>
      </c>
      <c r="BA39" s="643">
        <v>-771.73986722279722</v>
      </c>
      <c r="BB39" s="643">
        <v>-795.70958153309766</v>
      </c>
      <c r="BC39" s="643">
        <v>-604.46964619984396</v>
      </c>
    </row>
    <row r="40" spans="1:55" ht="17.25" customHeight="1" thickBot="1">
      <c r="A40" s="668"/>
      <c r="B40" s="669"/>
      <c r="C40" s="669"/>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69"/>
      <c r="AB40" s="669"/>
      <c r="AC40" s="669"/>
      <c r="AD40" s="670"/>
      <c r="AE40" s="671"/>
      <c r="AF40" s="671"/>
      <c r="AG40" s="671"/>
      <c r="AH40" s="671"/>
      <c r="AI40" s="671"/>
      <c r="AJ40" s="671"/>
      <c r="AK40" s="671"/>
      <c r="AL40" s="671"/>
      <c r="AM40" s="671"/>
      <c r="AN40" s="671"/>
      <c r="AO40" s="671"/>
      <c r="AP40" s="671"/>
      <c r="AQ40" s="672"/>
      <c r="AR40" s="672"/>
      <c r="AS40" s="672"/>
      <c r="AT40" s="672"/>
      <c r="AU40" s="672"/>
      <c r="AV40" s="672"/>
      <c r="AW40" s="672"/>
      <c r="AX40" s="672"/>
      <c r="AY40" s="672"/>
      <c r="AZ40" s="672"/>
      <c r="BA40" s="672"/>
      <c r="BB40" s="672"/>
      <c r="BC40" s="672"/>
    </row>
    <row r="41" spans="1:55" ht="13.5" hidden="1" thickTop="1">
      <c r="P41" s="673"/>
      <c r="Q41" s="673"/>
      <c r="R41" s="673"/>
    </row>
    <row r="42" spans="1:55" ht="13.5" hidden="1" thickTop="1">
      <c r="P42" s="673"/>
      <c r="Q42" s="673"/>
      <c r="R42" s="673"/>
    </row>
    <row r="43" spans="1:55" ht="15" thickTop="1">
      <c r="A43" s="674" t="s">
        <v>497</v>
      </c>
    </row>
    <row r="44" spans="1:55" ht="12.75" customHeight="1">
      <c r="A44" s="675" t="s">
        <v>498</v>
      </c>
    </row>
    <row r="45" spans="1:55" ht="15" customHeight="1">
      <c r="A45" s="676" t="s">
        <v>499</v>
      </c>
      <c r="B45" s="673"/>
    </row>
    <row r="46" spans="1:55">
      <c r="A46" s="401" t="s">
        <v>500</v>
      </c>
      <c r="B46" s="673"/>
    </row>
    <row r="47" spans="1:55">
      <c r="A47" s="677" t="s">
        <v>240</v>
      </c>
      <c r="B47" s="673"/>
    </row>
    <row r="48" spans="1:55">
      <c r="A48" s="675" t="s">
        <v>180</v>
      </c>
      <c r="B48" s="673"/>
    </row>
    <row r="49" spans="1:1">
      <c r="A49" s="678"/>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52"/>
  <sheetViews>
    <sheetView zoomScaleNormal="100" workbookViewId="0">
      <pane xSplit="42" ySplit="4" topLeftCell="AQ5" activePane="bottomRight" state="frozen"/>
      <selection pane="topRight" activeCell="AQ1" sqref="AQ1"/>
      <selection pane="bottomLeft" activeCell="A5" sqref="A5"/>
      <selection pane="bottomRight" activeCell="AQ5" sqref="AQ5"/>
    </sheetView>
  </sheetViews>
  <sheetFormatPr defaultRowHeight="15" customHeight="1"/>
  <cols>
    <col min="1" max="1" width="61.5703125" style="683" customWidth="1"/>
    <col min="2" max="2" width="0.140625" style="683" customWidth="1"/>
    <col min="3" max="3" width="14.7109375" style="683" hidden="1" customWidth="1"/>
    <col min="4" max="5" width="13.28515625" style="683" hidden="1" customWidth="1"/>
    <col min="6" max="6" width="13.42578125" style="683" hidden="1" customWidth="1"/>
    <col min="7" max="7" width="13.28515625" style="683" hidden="1" customWidth="1"/>
    <col min="8" max="8" width="13.42578125" style="683" hidden="1" customWidth="1"/>
    <col min="9" max="10" width="13.28515625" style="683" hidden="1" customWidth="1"/>
    <col min="11" max="11" width="13.42578125" style="683" hidden="1" customWidth="1"/>
    <col min="12" max="14" width="13.28515625" style="683" hidden="1" customWidth="1"/>
    <col min="15" max="15" width="13" style="683" hidden="1" customWidth="1"/>
    <col min="16" max="17" width="13.28515625" style="683" hidden="1" customWidth="1"/>
    <col min="18" max="40" width="10.7109375" style="683" hidden="1" customWidth="1"/>
    <col min="41" max="42" width="16.28515625" style="683" hidden="1" customWidth="1"/>
    <col min="43" max="55" width="16.28515625" style="683" customWidth="1"/>
    <col min="56" max="256" width="9.140625" style="683"/>
    <col min="257" max="257" width="53.85546875" style="683" customWidth="1"/>
    <col min="258" max="295" width="0" style="683" hidden="1" customWidth="1"/>
    <col min="296" max="308" width="10.7109375" style="683" customWidth="1"/>
    <col min="309" max="309" width="9.140625" style="683"/>
    <col min="310" max="310" width="15.5703125" style="683" customWidth="1"/>
    <col min="311" max="512" width="9.140625" style="683"/>
    <col min="513" max="513" width="53.85546875" style="683" customWidth="1"/>
    <col min="514" max="551" width="0" style="683" hidden="1" customWidth="1"/>
    <col min="552" max="564" width="10.7109375" style="683" customWidth="1"/>
    <col min="565" max="565" width="9.140625" style="683"/>
    <col min="566" max="566" width="15.5703125" style="683" customWidth="1"/>
    <col min="567" max="768" width="9.140625" style="683"/>
    <col min="769" max="769" width="53.85546875" style="683" customWidth="1"/>
    <col min="770" max="807" width="0" style="683" hidden="1" customWidth="1"/>
    <col min="808" max="820" width="10.7109375" style="683" customWidth="1"/>
    <col min="821" max="821" width="9.140625" style="683"/>
    <col min="822" max="822" width="15.5703125" style="683" customWidth="1"/>
    <col min="823" max="1024" width="9.140625" style="683"/>
    <col min="1025" max="1025" width="53.85546875" style="683" customWidth="1"/>
    <col min="1026" max="1063" width="0" style="683" hidden="1" customWidth="1"/>
    <col min="1064" max="1076" width="10.7109375" style="683" customWidth="1"/>
    <col min="1077" max="1077" width="9.140625" style="683"/>
    <col min="1078" max="1078" width="15.5703125" style="683" customWidth="1"/>
    <col min="1079" max="1280" width="9.140625" style="683"/>
    <col min="1281" max="1281" width="53.85546875" style="683" customWidth="1"/>
    <col min="1282" max="1319" width="0" style="683" hidden="1" customWidth="1"/>
    <col min="1320" max="1332" width="10.7109375" style="683" customWidth="1"/>
    <col min="1333" max="1333" width="9.140625" style="683"/>
    <col min="1334" max="1334" width="15.5703125" style="683" customWidth="1"/>
    <col min="1335" max="1536" width="9.140625" style="683"/>
    <col min="1537" max="1537" width="53.85546875" style="683" customWidth="1"/>
    <col min="1538" max="1575" width="0" style="683" hidden="1" customWidth="1"/>
    <col min="1576" max="1588" width="10.7109375" style="683" customWidth="1"/>
    <col min="1589" max="1589" width="9.140625" style="683"/>
    <col min="1590" max="1590" width="15.5703125" style="683" customWidth="1"/>
    <col min="1591" max="1792" width="9.140625" style="683"/>
    <col min="1793" max="1793" width="53.85546875" style="683" customWidth="1"/>
    <col min="1794" max="1831" width="0" style="683" hidden="1" customWidth="1"/>
    <col min="1832" max="1844" width="10.7109375" style="683" customWidth="1"/>
    <col min="1845" max="1845" width="9.140625" style="683"/>
    <col min="1846" max="1846" width="15.5703125" style="683" customWidth="1"/>
    <col min="1847" max="2048" width="9.140625" style="683"/>
    <col min="2049" max="2049" width="53.85546875" style="683" customWidth="1"/>
    <col min="2050" max="2087" width="0" style="683" hidden="1" customWidth="1"/>
    <col min="2088" max="2100" width="10.7109375" style="683" customWidth="1"/>
    <col min="2101" max="2101" width="9.140625" style="683"/>
    <col min="2102" max="2102" width="15.5703125" style="683" customWidth="1"/>
    <col min="2103" max="2304" width="9.140625" style="683"/>
    <col min="2305" max="2305" width="53.85546875" style="683" customWidth="1"/>
    <col min="2306" max="2343" width="0" style="683" hidden="1" customWidth="1"/>
    <col min="2344" max="2356" width="10.7109375" style="683" customWidth="1"/>
    <col min="2357" max="2357" width="9.140625" style="683"/>
    <col min="2358" max="2358" width="15.5703125" style="683" customWidth="1"/>
    <col min="2359" max="2560" width="9.140625" style="683"/>
    <col min="2561" max="2561" width="53.85546875" style="683" customWidth="1"/>
    <col min="2562" max="2599" width="0" style="683" hidden="1" customWidth="1"/>
    <col min="2600" max="2612" width="10.7109375" style="683" customWidth="1"/>
    <col min="2613" max="2613" width="9.140625" style="683"/>
    <col min="2614" max="2614" width="15.5703125" style="683" customWidth="1"/>
    <col min="2615" max="2816" width="9.140625" style="683"/>
    <col min="2817" max="2817" width="53.85546875" style="683" customWidth="1"/>
    <col min="2818" max="2855" width="0" style="683" hidden="1" customWidth="1"/>
    <col min="2856" max="2868" width="10.7109375" style="683" customWidth="1"/>
    <col min="2869" max="2869" width="9.140625" style="683"/>
    <col min="2870" max="2870" width="15.5703125" style="683" customWidth="1"/>
    <col min="2871" max="3072" width="9.140625" style="683"/>
    <col min="3073" max="3073" width="53.85546875" style="683" customWidth="1"/>
    <col min="3074" max="3111" width="0" style="683" hidden="1" customWidth="1"/>
    <col min="3112" max="3124" width="10.7109375" style="683" customWidth="1"/>
    <col min="3125" max="3125" width="9.140625" style="683"/>
    <col min="3126" max="3126" width="15.5703125" style="683" customWidth="1"/>
    <col min="3127" max="3328" width="9.140625" style="683"/>
    <col min="3329" max="3329" width="53.85546875" style="683" customWidth="1"/>
    <col min="3330" max="3367" width="0" style="683" hidden="1" customWidth="1"/>
    <col min="3368" max="3380" width="10.7109375" style="683" customWidth="1"/>
    <col min="3381" max="3381" width="9.140625" style="683"/>
    <col min="3382" max="3382" width="15.5703125" style="683" customWidth="1"/>
    <col min="3383" max="3584" width="9.140625" style="683"/>
    <col min="3585" max="3585" width="53.85546875" style="683" customWidth="1"/>
    <col min="3586" max="3623" width="0" style="683" hidden="1" customWidth="1"/>
    <col min="3624" max="3636" width="10.7109375" style="683" customWidth="1"/>
    <col min="3637" max="3637" width="9.140625" style="683"/>
    <col min="3638" max="3638" width="15.5703125" style="683" customWidth="1"/>
    <col min="3639" max="3840" width="9.140625" style="683"/>
    <col min="3841" max="3841" width="53.85546875" style="683" customWidth="1"/>
    <col min="3842" max="3879" width="0" style="683" hidden="1" customWidth="1"/>
    <col min="3880" max="3892" width="10.7109375" style="683" customWidth="1"/>
    <col min="3893" max="3893" width="9.140625" style="683"/>
    <col min="3894" max="3894" width="15.5703125" style="683" customWidth="1"/>
    <col min="3895" max="4096" width="9.140625" style="683"/>
    <col min="4097" max="4097" width="53.85546875" style="683" customWidth="1"/>
    <col min="4098" max="4135" width="0" style="683" hidden="1" customWidth="1"/>
    <col min="4136" max="4148" width="10.7109375" style="683" customWidth="1"/>
    <col min="4149" max="4149" width="9.140625" style="683"/>
    <col min="4150" max="4150" width="15.5703125" style="683" customWidth="1"/>
    <col min="4151" max="4352" width="9.140625" style="683"/>
    <col min="4353" max="4353" width="53.85546875" style="683" customWidth="1"/>
    <col min="4354" max="4391" width="0" style="683" hidden="1" customWidth="1"/>
    <col min="4392" max="4404" width="10.7109375" style="683" customWidth="1"/>
    <col min="4405" max="4405" width="9.140625" style="683"/>
    <col min="4406" max="4406" width="15.5703125" style="683" customWidth="1"/>
    <col min="4407" max="4608" width="9.140625" style="683"/>
    <col min="4609" max="4609" width="53.85546875" style="683" customWidth="1"/>
    <col min="4610" max="4647" width="0" style="683" hidden="1" customWidth="1"/>
    <col min="4648" max="4660" width="10.7109375" style="683" customWidth="1"/>
    <col min="4661" max="4661" width="9.140625" style="683"/>
    <col min="4662" max="4662" width="15.5703125" style="683" customWidth="1"/>
    <col min="4663" max="4864" width="9.140625" style="683"/>
    <col min="4865" max="4865" width="53.85546875" style="683" customWidth="1"/>
    <col min="4866" max="4903" width="0" style="683" hidden="1" customWidth="1"/>
    <col min="4904" max="4916" width="10.7109375" style="683" customWidth="1"/>
    <col min="4917" max="4917" width="9.140625" style="683"/>
    <col min="4918" max="4918" width="15.5703125" style="683" customWidth="1"/>
    <col min="4919" max="5120" width="9.140625" style="683"/>
    <col min="5121" max="5121" width="53.85546875" style="683" customWidth="1"/>
    <col min="5122" max="5159" width="0" style="683" hidden="1" customWidth="1"/>
    <col min="5160" max="5172" width="10.7109375" style="683" customWidth="1"/>
    <col min="5173" max="5173" width="9.140625" style="683"/>
    <col min="5174" max="5174" width="15.5703125" style="683" customWidth="1"/>
    <col min="5175" max="5376" width="9.140625" style="683"/>
    <col min="5377" max="5377" width="53.85546875" style="683" customWidth="1"/>
    <col min="5378" max="5415" width="0" style="683" hidden="1" customWidth="1"/>
    <col min="5416" max="5428" width="10.7109375" style="683" customWidth="1"/>
    <col min="5429" max="5429" width="9.140625" style="683"/>
    <col min="5430" max="5430" width="15.5703125" style="683" customWidth="1"/>
    <col min="5431" max="5632" width="9.140625" style="683"/>
    <col min="5633" max="5633" width="53.85546875" style="683" customWidth="1"/>
    <col min="5634" max="5671" width="0" style="683" hidden="1" customWidth="1"/>
    <col min="5672" max="5684" width="10.7109375" style="683" customWidth="1"/>
    <col min="5685" max="5685" width="9.140625" style="683"/>
    <col min="5686" max="5686" width="15.5703125" style="683" customWidth="1"/>
    <col min="5687" max="5888" width="9.140625" style="683"/>
    <col min="5889" max="5889" width="53.85546875" style="683" customWidth="1"/>
    <col min="5890" max="5927" width="0" style="683" hidden="1" customWidth="1"/>
    <col min="5928" max="5940" width="10.7109375" style="683" customWidth="1"/>
    <col min="5941" max="5941" width="9.140625" style="683"/>
    <col min="5942" max="5942" width="15.5703125" style="683" customWidth="1"/>
    <col min="5943" max="6144" width="9.140625" style="683"/>
    <col min="6145" max="6145" width="53.85546875" style="683" customWidth="1"/>
    <col min="6146" max="6183" width="0" style="683" hidden="1" customWidth="1"/>
    <col min="6184" max="6196" width="10.7109375" style="683" customWidth="1"/>
    <col min="6197" max="6197" width="9.140625" style="683"/>
    <col min="6198" max="6198" width="15.5703125" style="683" customWidth="1"/>
    <col min="6199" max="6400" width="9.140625" style="683"/>
    <col min="6401" max="6401" width="53.85546875" style="683" customWidth="1"/>
    <col min="6402" max="6439" width="0" style="683" hidden="1" customWidth="1"/>
    <col min="6440" max="6452" width="10.7109375" style="683" customWidth="1"/>
    <col min="6453" max="6453" width="9.140625" style="683"/>
    <col min="6454" max="6454" width="15.5703125" style="683" customWidth="1"/>
    <col min="6455" max="6656" width="9.140625" style="683"/>
    <col min="6657" max="6657" width="53.85546875" style="683" customWidth="1"/>
    <col min="6658" max="6695" width="0" style="683" hidden="1" customWidth="1"/>
    <col min="6696" max="6708" width="10.7109375" style="683" customWidth="1"/>
    <col min="6709" max="6709" width="9.140625" style="683"/>
    <col min="6710" max="6710" width="15.5703125" style="683" customWidth="1"/>
    <col min="6711" max="6912" width="9.140625" style="683"/>
    <col min="6913" max="6913" width="53.85546875" style="683" customWidth="1"/>
    <col min="6914" max="6951" width="0" style="683" hidden="1" customWidth="1"/>
    <col min="6952" max="6964" width="10.7109375" style="683" customWidth="1"/>
    <col min="6965" max="6965" width="9.140625" style="683"/>
    <col min="6966" max="6966" width="15.5703125" style="683" customWidth="1"/>
    <col min="6967" max="7168" width="9.140625" style="683"/>
    <col min="7169" max="7169" width="53.85546875" style="683" customWidth="1"/>
    <col min="7170" max="7207" width="0" style="683" hidden="1" customWidth="1"/>
    <col min="7208" max="7220" width="10.7109375" style="683" customWidth="1"/>
    <col min="7221" max="7221" width="9.140625" style="683"/>
    <col min="7222" max="7222" width="15.5703125" style="683" customWidth="1"/>
    <col min="7223" max="7424" width="9.140625" style="683"/>
    <col min="7425" max="7425" width="53.85546875" style="683" customWidth="1"/>
    <col min="7426" max="7463" width="0" style="683" hidden="1" customWidth="1"/>
    <col min="7464" max="7476" width="10.7109375" style="683" customWidth="1"/>
    <col min="7477" max="7477" width="9.140625" style="683"/>
    <col min="7478" max="7478" width="15.5703125" style="683" customWidth="1"/>
    <col min="7479" max="7680" width="9.140625" style="683"/>
    <col min="7681" max="7681" width="53.85546875" style="683" customWidth="1"/>
    <col min="7682" max="7719" width="0" style="683" hidden="1" customWidth="1"/>
    <col min="7720" max="7732" width="10.7109375" style="683" customWidth="1"/>
    <col min="7733" max="7733" width="9.140625" style="683"/>
    <col min="7734" max="7734" width="15.5703125" style="683" customWidth="1"/>
    <col min="7735" max="7936" width="9.140625" style="683"/>
    <col min="7937" max="7937" width="53.85546875" style="683" customWidth="1"/>
    <col min="7938" max="7975" width="0" style="683" hidden="1" customWidth="1"/>
    <col min="7976" max="7988" width="10.7109375" style="683" customWidth="1"/>
    <col min="7989" max="7989" width="9.140625" style="683"/>
    <col min="7990" max="7990" width="15.5703125" style="683" customWidth="1"/>
    <col min="7991" max="8192" width="9.140625" style="683"/>
    <col min="8193" max="8193" width="53.85546875" style="683" customWidth="1"/>
    <col min="8194" max="8231" width="0" style="683" hidden="1" customWidth="1"/>
    <col min="8232" max="8244" width="10.7109375" style="683" customWidth="1"/>
    <col min="8245" max="8245" width="9.140625" style="683"/>
    <col min="8246" max="8246" width="15.5703125" style="683" customWidth="1"/>
    <col min="8247" max="8448" width="9.140625" style="683"/>
    <col min="8449" max="8449" width="53.85546875" style="683" customWidth="1"/>
    <col min="8450" max="8487" width="0" style="683" hidden="1" customWidth="1"/>
    <col min="8488" max="8500" width="10.7109375" style="683" customWidth="1"/>
    <col min="8501" max="8501" width="9.140625" style="683"/>
    <col min="8502" max="8502" width="15.5703125" style="683" customWidth="1"/>
    <col min="8503" max="8704" width="9.140625" style="683"/>
    <col min="8705" max="8705" width="53.85546875" style="683" customWidth="1"/>
    <col min="8706" max="8743" width="0" style="683" hidden="1" customWidth="1"/>
    <col min="8744" max="8756" width="10.7109375" style="683" customWidth="1"/>
    <col min="8757" max="8757" width="9.140625" style="683"/>
    <col min="8758" max="8758" width="15.5703125" style="683" customWidth="1"/>
    <col min="8759" max="8960" width="9.140625" style="683"/>
    <col min="8961" max="8961" width="53.85546875" style="683" customWidth="1"/>
    <col min="8962" max="8999" width="0" style="683" hidden="1" customWidth="1"/>
    <col min="9000" max="9012" width="10.7109375" style="683" customWidth="1"/>
    <col min="9013" max="9013" width="9.140625" style="683"/>
    <col min="9014" max="9014" width="15.5703125" style="683" customWidth="1"/>
    <col min="9015" max="9216" width="9.140625" style="683"/>
    <col min="9217" max="9217" width="53.85546875" style="683" customWidth="1"/>
    <col min="9218" max="9255" width="0" style="683" hidden="1" customWidth="1"/>
    <col min="9256" max="9268" width="10.7109375" style="683" customWidth="1"/>
    <col min="9269" max="9269" width="9.140625" style="683"/>
    <col min="9270" max="9270" width="15.5703125" style="683" customWidth="1"/>
    <col min="9271" max="9472" width="9.140625" style="683"/>
    <col min="9473" max="9473" width="53.85546875" style="683" customWidth="1"/>
    <col min="9474" max="9511" width="0" style="683" hidden="1" customWidth="1"/>
    <col min="9512" max="9524" width="10.7109375" style="683" customWidth="1"/>
    <col min="9525" max="9525" width="9.140625" style="683"/>
    <col min="9526" max="9526" width="15.5703125" style="683" customWidth="1"/>
    <col min="9527" max="9728" width="9.140625" style="683"/>
    <col min="9729" max="9729" width="53.85546875" style="683" customWidth="1"/>
    <col min="9730" max="9767" width="0" style="683" hidden="1" customWidth="1"/>
    <col min="9768" max="9780" width="10.7109375" style="683" customWidth="1"/>
    <col min="9781" max="9781" width="9.140625" style="683"/>
    <col min="9782" max="9782" width="15.5703125" style="683" customWidth="1"/>
    <col min="9783" max="9984" width="9.140625" style="683"/>
    <col min="9985" max="9985" width="53.85546875" style="683" customWidth="1"/>
    <col min="9986" max="10023" width="0" style="683" hidden="1" customWidth="1"/>
    <col min="10024" max="10036" width="10.7109375" style="683" customWidth="1"/>
    <col min="10037" max="10037" width="9.140625" style="683"/>
    <col min="10038" max="10038" width="15.5703125" style="683" customWidth="1"/>
    <col min="10039" max="10240" width="9.140625" style="683"/>
    <col min="10241" max="10241" width="53.85546875" style="683" customWidth="1"/>
    <col min="10242" max="10279" width="0" style="683" hidden="1" customWidth="1"/>
    <col min="10280" max="10292" width="10.7109375" style="683" customWidth="1"/>
    <col min="10293" max="10293" width="9.140625" style="683"/>
    <col min="10294" max="10294" width="15.5703125" style="683" customWidth="1"/>
    <col min="10295" max="10496" width="9.140625" style="683"/>
    <col min="10497" max="10497" width="53.85546875" style="683" customWidth="1"/>
    <col min="10498" max="10535" width="0" style="683" hidden="1" customWidth="1"/>
    <col min="10536" max="10548" width="10.7109375" style="683" customWidth="1"/>
    <col min="10549" max="10549" width="9.140625" style="683"/>
    <col min="10550" max="10550" width="15.5703125" style="683" customWidth="1"/>
    <col min="10551" max="10752" width="9.140625" style="683"/>
    <col min="10753" max="10753" width="53.85546875" style="683" customWidth="1"/>
    <col min="10754" max="10791" width="0" style="683" hidden="1" customWidth="1"/>
    <col min="10792" max="10804" width="10.7109375" style="683" customWidth="1"/>
    <col min="10805" max="10805" width="9.140625" style="683"/>
    <col min="10806" max="10806" width="15.5703125" style="683" customWidth="1"/>
    <col min="10807" max="11008" width="9.140625" style="683"/>
    <col min="11009" max="11009" width="53.85546875" style="683" customWidth="1"/>
    <col min="11010" max="11047" width="0" style="683" hidden="1" customWidth="1"/>
    <col min="11048" max="11060" width="10.7109375" style="683" customWidth="1"/>
    <col min="11061" max="11061" width="9.140625" style="683"/>
    <col min="11062" max="11062" width="15.5703125" style="683" customWidth="1"/>
    <col min="11063" max="11264" width="9.140625" style="683"/>
    <col min="11265" max="11265" width="53.85546875" style="683" customWidth="1"/>
    <col min="11266" max="11303" width="0" style="683" hidden="1" customWidth="1"/>
    <col min="11304" max="11316" width="10.7109375" style="683" customWidth="1"/>
    <col min="11317" max="11317" width="9.140625" style="683"/>
    <col min="11318" max="11318" width="15.5703125" style="683" customWidth="1"/>
    <col min="11319" max="11520" width="9.140625" style="683"/>
    <col min="11521" max="11521" width="53.85546875" style="683" customWidth="1"/>
    <col min="11522" max="11559" width="0" style="683" hidden="1" customWidth="1"/>
    <col min="11560" max="11572" width="10.7109375" style="683" customWidth="1"/>
    <col min="11573" max="11573" width="9.140625" style="683"/>
    <col min="11574" max="11574" width="15.5703125" style="683" customWidth="1"/>
    <col min="11575" max="11776" width="9.140625" style="683"/>
    <col min="11777" max="11777" width="53.85546875" style="683" customWidth="1"/>
    <col min="11778" max="11815" width="0" style="683" hidden="1" customWidth="1"/>
    <col min="11816" max="11828" width="10.7109375" style="683" customWidth="1"/>
    <col min="11829" max="11829" width="9.140625" style="683"/>
    <col min="11830" max="11830" width="15.5703125" style="683" customWidth="1"/>
    <col min="11831" max="12032" width="9.140625" style="683"/>
    <col min="12033" max="12033" width="53.85546875" style="683" customWidth="1"/>
    <col min="12034" max="12071" width="0" style="683" hidden="1" customWidth="1"/>
    <col min="12072" max="12084" width="10.7109375" style="683" customWidth="1"/>
    <col min="12085" max="12085" width="9.140625" style="683"/>
    <col min="12086" max="12086" width="15.5703125" style="683" customWidth="1"/>
    <col min="12087" max="12288" width="9.140625" style="683"/>
    <col min="12289" max="12289" width="53.85546875" style="683" customWidth="1"/>
    <col min="12290" max="12327" width="0" style="683" hidden="1" customWidth="1"/>
    <col min="12328" max="12340" width="10.7109375" style="683" customWidth="1"/>
    <col min="12341" max="12341" width="9.140625" style="683"/>
    <col min="12342" max="12342" width="15.5703125" style="683" customWidth="1"/>
    <col min="12343" max="12544" width="9.140625" style="683"/>
    <col min="12545" max="12545" width="53.85546875" style="683" customWidth="1"/>
    <col min="12546" max="12583" width="0" style="683" hidden="1" customWidth="1"/>
    <col min="12584" max="12596" width="10.7109375" style="683" customWidth="1"/>
    <col min="12597" max="12597" width="9.140625" style="683"/>
    <col min="12598" max="12598" width="15.5703125" style="683" customWidth="1"/>
    <col min="12599" max="12800" width="9.140625" style="683"/>
    <col min="12801" max="12801" width="53.85546875" style="683" customWidth="1"/>
    <col min="12802" max="12839" width="0" style="683" hidden="1" customWidth="1"/>
    <col min="12840" max="12852" width="10.7109375" style="683" customWidth="1"/>
    <col min="12853" max="12853" width="9.140625" style="683"/>
    <col min="12854" max="12854" width="15.5703125" style="683" customWidth="1"/>
    <col min="12855" max="13056" width="9.140625" style="683"/>
    <col min="13057" max="13057" width="53.85546875" style="683" customWidth="1"/>
    <col min="13058" max="13095" width="0" style="683" hidden="1" customWidth="1"/>
    <col min="13096" max="13108" width="10.7109375" style="683" customWidth="1"/>
    <col min="13109" max="13109" width="9.140625" style="683"/>
    <col min="13110" max="13110" width="15.5703125" style="683" customWidth="1"/>
    <col min="13111" max="13312" width="9.140625" style="683"/>
    <col min="13313" max="13313" width="53.85546875" style="683" customWidth="1"/>
    <col min="13314" max="13351" width="0" style="683" hidden="1" customWidth="1"/>
    <col min="13352" max="13364" width="10.7109375" style="683" customWidth="1"/>
    <col min="13365" max="13365" width="9.140625" style="683"/>
    <col min="13366" max="13366" width="15.5703125" style="683" customWidth="1"/>
    <col min="13367" max="13568" width="9.140625" style="683"/>
    <col min="13569" max="13569" width="53.85546875" style="683" customWidth="1"/>
    <col min="13570" max="13607" width="0" style="683" hidden="1" customWidth="1"/>
    <col min="13608" max="13620" width="10.7109375" style="683" customWidth="1"/>
    <col min="13621" max="13621" width="9.140625" style="683"/>
    <col min="13622" max="13622" width="15.5703125" style="683" customWidth="1"/>
    <col min="13623" max="13824" width="9.140625" style="683"/>
    <col min="13825" max="13825" width="53.85546875" style="683" customWidth="1"/>
    <col min="13826" max="13863" width="0" style="683" hidden="1" customWidth="1"/>
    <col min="13864" max="13876" width="10.7109375" style="683" customWidth="1"/>
    <col min="13877" max="13877" width="9.140625" style="683"/>
    <col min="13878" max="13878" width="15.5703125" style="683" customWidth="1"/>
    <col min="13879" max="14080" width="9.140625" style="683"/>
    <col min="14081" max="14081" width="53.85546875" style="683" customWidth="1"/>
    <col min="14082" max="14119" width="0" style="683" hidden="1" customWidth="1"/>
    <col min="14120" max="14132" width="10.7109375" style="683" customWidth="1"/>
    <col min="14133" max="14133" width="9.140625" style="683"/>
    <col min="14134" max="14134" width="15.5703125" style="683" customWidth="1"/>
    <col min="14135" max="14336" width="9.140625" style="683"/>
    <col min="14337" max="14337" width="53.85546875" style="683" customWidth="1"/>
    <col min="14338" max="14375" width="0" style="683" hidden="1" customWidth="1"/>
    <col min="14376" max="14388" width="10.7109375" style="683" customWidth="1"/>
    <col min="14389" max="14389" width="9.140625" style="683"/>
    <col min="14390" max="14390" width="15.5703125" style="683" customWidth="1"/>
    <col min="14391" max="14592" width="9.140625" style="683"/>
    <col min="14593" max="14593" width="53.85546875" style="683" customWidth="1"/>
    <col min="14594" max="14631" width="0" style="683" hidden="1" customWidth="1"/>
    <col min="14632" max="14644" width="10.7109375" style="683" customWidth="1"/>
    <col min="14645" max="14645" width="9.140625" style="683"/>
    <col min="14646" max="14646" width="15.5703125" style="683" customWidth="1"/>
    <col min="14647" max="14848" width="9.140625" style="683"/>
    <col min="14849" max="14849" width="53.85546875" style="683" customWidth="1"/>
    <col min="14850" max="14887" width="0" style="683" hidden="1" customWidth="1"/>
    <col min="14888" max="14900" width="10.7109375" style="683" customWidth="1"/>
    <col min="14901" max="14901" width="9.140625" style="683"/>
    <col min="14902" max="14902" width="15.5703125" style="683" customWidth="1"/>
    <col min="14903" max="15104" width="9.140625" style="683"/>
    <col min="15105" max="15105" width="53.85546875" style="683" customWidth="1"/>
    <col min="15106" max="15143" width="0" style="683" hidden="1" customWidth="1"/>
    <col min="15144" max="15156" width="10.7109375" style="683" customWidth="1"/>
    <col min="15157" max="15157" width="9.140625" style="683"/>
    <col min="15158" max="15158" width="15.5703125" style="683" customWidth="1"/>
    <col min="15159" max="15360" width="9.140625" style="683"/>
    <col min="15361" max="15361" width="53.85546875" style="683" customWidth="1"/>
    <col min="15362" max="15399" width="0" style="683" hidden="1" customWidth="1"/>
    <col min="15400" max="15412" width="10.7109375" style="683" customWidth="1"/>
    <col min="15413" max="15413" width="9.140625" style="683"/>
    <col min="15414" max="15414" width="15.5703125" style="683" customWidth="1"/>
    <col min="15415" max="15616" width="9.140625" style="683"/>
    <col min="15617" max="15617" width="53.85546875" style="683" customWidth="1"/>
    <col min="15618" max="15655" width="0" style="683" hidden="1" customWidth="1"/>
    <col min="15656" max="15668" width="10.7109375" style="683" customWidth="1"/>
    <col min="15669" max="15669" width="9.140625" style="683"/>
    <col min="15670" max="15670" width="15.5703125" style="683" customWidth="1"/>
    <col min="15671" max="15872" width="9.140625" style="683"/>
    <col min="15873" max="15873" width="53.85546875" style="683" customWidth="1"/>
    <col min="15874" max="15911" width="0" style="683" hidden="1" customWidth="1"/>
    <col min="15912" max="15924" width="10.7109375" style="683" customWidth="1"/>
    <col min="15925" max="15925" width="9.140625" style="683"/>
    <col min="15926" max="15926" width="15.5703125" style="683" customWidth="1"/>
    <col min="15927" max="16128" width="9.140625" style="683"/>
    <col min="16129" max="16129" width="53.85546875" style="683" customWidth="1"/>
    <col min="16130" max="16167" width="0" style="683" hidden="1" customWidth="1"/>
    <col min="16168" max="16180" width="10.7109375" style="683" customWidth="1"/>
    <col min="16181" max="16181" width="9.140625" style="683"/>
    <col min="16182" max="16182" width="15.5703125" style="683" customWidth="1"/>
    <col min="16183" max="16384" width="9.140625" style="683"/>
  </cols>
  <sheetData>
    <row r="1" spans="1:55" ht="24">
      <c r="A1" s="679" t="s">
        <v>501</v>
      </c>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1"/>
      <c r="AB1" s="681"/>
      <c r="AC1" s="681"/>
      <c r="AD1" s="681"/>
      <c r="AE1" s="681"/>
      <c r="AF1" s="681"/>
      <c r="AG1" s="680"/>
      <c r="AH1" s="680"/>
      <c r="AI1" s="680"/>
      <c r="AJ1" s="680"/>
      <c r="AK1" s="680"/>
      <c r="AL1" s="680"/>
      <c r="AM1" s="680"/>
      <c r="AN1" s="680"/>
      <c r="AO1" s="682"/>
      <c r="AP1" s="682"/>
      <c r="AQ1" s="682"/>
    </row>
    <row r="2" spans="1:55" ht="15" customHeight="1" thickBot="1">
      <c r="A2" s="684"/>
      <c r="M2" s="3216"/>
      <c r="N2" s="3216"/>
      <c r="R2" s="685"/>
      <c r="T2" s="685"/>
      <c r="U2" s="685"/>
      <c r="V2" s="685"/>
      <c r="W2" s="685"/>
      <c r="X2" s="685"/>
      <c r="Y2" s="685"/>
      <c r="Z2" s="685"/>
      <c r="AA2" s="685"/>
      <c r="AB2" s="685"/>
      <c r="AC2" s="685"/>
      <c r="AD2" s="685"/>
      <c r="AE2" s="685"/>
      <c r="AH2" s="685"/>
      <c r="AI2" s="685"/>
      <c r="AL2" s="685"/>
      <c r="AM2" s="685"/>
      <c r="AN2" s="685"/>
      <c r="AO2" s="685"/>
      <c r="AP2" s="685"/>
      <c r="AU2" s="685"/>
      <c r="AV2" s="685"/>
      <c r="AW2" s="685"/>
      <c r="AX2" s="685"/>
      <c r="BA2" s="686"/>
      <c r="BB2" s="686"/>
      <c r="BC2" s="686" t="s">
        <v>74</v>
      </c>
    </row>
    <row r="3" spans="1:55" ht="26.25" customHeight="1" thickTop="1" thickBot="1">
      <c r="A3" s="687"/>
      <c r="B3" s="688">
        <v>40179</v>
      </c>
      <c r="C3" s="688">
        <v>40210</v>
      </c>
      <c r="D3" s="688">
        <v>40238</v>
      </c>
      <c r="E3" s="688">
        <v>40269</v>
      </c>
      <c r="F3" s="688">
        <v>40299</v>
      </c>
      <c r="G3" s="688">
        <v>40330</v>
      </c>
      <c r="H3" s="688">
        <v>40360</v>
      </c>
      <c r="I3" s="688">
        <v>40391</v>
      </c>
      <c r="J3" s="688">
        <v>40422</v>
      </c>
      <c r="K3" s="688">
        <v>40452</v>
      </c>
      <c r="L3" s="688">
        <v>40483</v>
      </c>
      <c r="M3" s="688">
        <v>40513</v>
      </c>
      <c r="N3" s="688">
        <v>40544</v>
      </c>
      <c r="O3" s="688">
        <v>40575</v>
      </c>
      <c r="P3" s="688">
        <v>40603</v>
      </c>
      <c r="Q3" s="688">
        <v>40634</v>
      </c>
      <c r="R3" s="688">
        <v>40668</v>
      </c>
      <c r="S3" s="688">
        <v>40699</v>
      </c>
      <c r="T3" s="688">
        <v>40729</v>
      </c>
      <c r="U3" s="688">
        <v>40760</v>
      </c>
      <c r="V3" s="688">
        <v>40791</v>
      </c>
      <c r="W3" s="688">
        <v>40821</v>
      </c>
      <c r="X3" s="688">
        <v>40852</v>
      </c>
      <c r="Y3" s="688">
        <v>40882</v>
      </c>
      <c r="Z3" s="688">
        <v>40913</v>
      </c>
      <c r="AA3" s="688">
        <v>40944</v>
      </c>
      <c r="AB3" s="688">
        <v>40973</v>
      </c>
      <c r="AC3" s="688">
        <v>41004</v>
      </c>
      <c r="AD3" s="688">
        <v>41034</v>
      </c>
      <c r="AE3" s="688">
        <v>41065</v>
      </c>
      <c r="AF3" s="688">
        <v>41095</v>
      </c>
      <c r="AG3" s="688">
        <v>41126</v>
      </c>
      <c r="AH3" s="689">
        <v>41157</v>
      </c>
      <c r="AI3" s="688">
        <v>41187</v>
      </c>
      <c r="AJ3" s="688">
        <v>41218</v>
      </c>
      <c r="AK3" s="688">
        <v>41248</v>
      </c>
      <c r="AL3" s="688">
        <v>41279</v>
      </c>
      <c r="AM3" s="688">
        <v>41310</v>
      </c>
      <c r="AN3" s="688">
        <v>41338</v>
      </c>
      <c r="AO3" s="688">
        <v>41369</v>
      </c>
      <c r="AP3" s="688">
        <v>41399</v>
      </c>
      <c r="AQ3" s="690">
        <v>41430</v>
      </c>
      <c r="AR3" s="688">
        <v>41460</v>
      </c>
      <c r="AS3" s="688">
        <v>41491</v>
      </c>
      <c r="AT3" s="688">
        <v>41522</v>
      </c>
      <c r="AU3" s="688">
        <v>41552</v>
      </c>
      <c r="AV3" s="688">
        <v>41583</v>
      </c>
      <c r="AW3" s="688">
        <v>41613</v>
      </c>
      <c r="AX3" s="688">
        <v>41644</v>
      </c>
      <c r="AY3" s="688">
        <v>41675</v>
      </c>
      <c r="AZ3" s="691">
        <v>41703</v>
      </c>
      <c r="BA3" s="691">
        <v>41734</v>
      </c>
      <c r="BB3" s="691">
        <v>41764</v>
      </c>
      <c r="BC3" s="691">
        <v>41795</v>
      </c>
    </row>
    <row r="4" spans="1:55" ht="18" customHeight="1" thickTop="1">
      <c r="A4" s="692"/>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4"/>
      <c r="AI4" s="695"/>
      <c r="AJ4" s="693"/>
      <c r="AK4" s="693"/>
      <c r="AL4" s="693"/>
      <c r="AM4" s="693"/>
      <c r="AN4" s="693"/>
      <c r="AO4" s="693"/>
      <c r="AP4" s="696"/>
      <c r="AQ4" s="697"/>
      <c r="AR4" s="696"/>
      <c r="AS4" s="696"/>
      <c r="AT4" s="696"/>
      <c r="AU4" s="696"/>
      <c r="AV4" s="696"/>
      <c r="AW4" s="696"/>
      <c r="AX4" s="696"/>
      <c r="AY4" s="696"/>
      <c r="AZ4" s="698"/>
      <c r="BA4" s="698"/>
      <c r="BB4" s="698"/>
      <c r="BC4" s="698"/>
    </row>
    <row r="5" spans="1:55" ht="22.5" customHeight="1">
      <c r="A5" s="699" t="s">
        <v>502</v>
      </c>
      <c r="B5" s="700">
        <v>289410.72792542854</v>
      </c>
      <c r="C5" s="700">
        <v>292791.70235634677</v>
      </c>
      <c r="D5" s="700">
        <v>297432.04491911986</v>
      </c>
      <c r="E5" s="700">
        <v>279938.10502433998</v>
      </c>
      <c r="F5" s="700">
        <v>327910.8320255389</v>
      </c>
      <c r="G5" s="700">
        <v>320171.30679858039</v>
      </c>
      <c r="H5" s="700">
        <v>280822.53492081689</v>
      </c>
      <c r="I5" s="700">
        <v>304449.98967204109</v>
      </c>
      <c r="J5" s="700">
        <v>301088.89713564055</v>
      </c>
      <c r="K5" s="700">
        <v>302930.04240626586</v>
      </c>
      <c r="L5" s="700">
        <v>312451.91898554342</v>
      </c>
      <c r="M5" s="700">
        <v>318118.48321293283</v>
      </c>
      <c r="N5" s="700">
        <v>323227.47303719167</v>
      </c>
      <c r="O5" s="700">
        <v>317121.40861257981</v>
      </c>
      <c r="P5" s="700">
        <v>286354.90462211403</v>
      </c>
      <c r="Q5" s="700">
        <v>301260.61578368506</v>
      </c>
      <c r="R5" s="700">
        <v>291716.10072829016</v>
      </c>
      <c r="S5" s="700">
        <v>318687.03130866907</v>
      </c>
      <c r="T5" s="700">
        <v>305188.07283541822</v>
      </c>
      <c r="U5" s="700">
        <v>287606.55099744862</v>
      </c>
      <c r="V5" s="700">
        <v>293475.2466610134</v>
      </c>
      <c r="W5" s="700">
        <v>292604.82713334222</v>
      </c>
      <c r="X5" s="700">
        <v>347383.24200691615</v>
      </c>
      <c r="Y5" s="700">
        <v>290654.23951224022</v>
      </c>
      <c r="Z5" s="700">
        <v>267988.61551349226</v>
      </c>
      <c r="AA5" s="700">
        <v>274768.44322053925</v>
      </c>
      <c r="AB5" s="700">
        <v>321049.06011849875</v>
      </c>
      <c r="AC5" s="700">
        <v>321847.61654908379</v>
      </c>
      <c r="AD5" s="700">
        <v>340836.36152997706</v>
      </c>
      <c r="AE5" s="700">
        <v>273456.51895855844</v>
      </c>
      <c r="AF5" s="700">
        <v>304922.60916409292</v>
      </c>
      <c r="AG5" s="700">
        <v>262526.97220607544</v>
      </c>
      <c r="AH5" s="700">
        <v>286567.44082683767</v>
      </c>
      <c r="AI5" s="701">
        <v>306184.25194562681</v>
      </c>
      <c r="AJ5" s="700">
        <v>306172.36115914932</v>
      </c>
      <c r="AK5" s="700">
        <v>309761.08105135418</v>
      </c>
      <c r="AL5" s="700">
        <v>331111.15474308265</v>
      </c>
      <c r="AM5" s="700">
        <v>278409.44842492574</v>
      </c>
      <c r="AN5" s="700">
        <v>299533.06954427459</v>
      </c>
      <c r="AO5" s="700">
        <v>310668.14065564412</v>
      </c>
      <c r="AP5" s="700">
        <v>335198.83073661407</v>
      </c>
      <c r="AQ5" s="702">
        <v>290541.90389346273</v>
      </c>
      <c r="AR5" s="700">
        <v>307493.41187806381</v>
      </c>
      <c r="AS5" s="700">
        <v>289118.00046138023</v>
      </c>
      <c r="AT5" s="700">
        <v>281064.49624281575</v>
      </c>
      <c r="AU5" s="700">
        <v>272297.13350531843</v>
      </c>
      <c r="AV5" s="700">
        <v>276661.49469331006</v>
      </c>
      <c r="AW5" s="700">
        <v>292801.9517582464</v>
      </c>
      <c r="AX5" s="700">
        <v>268497.86107759853</v>
      </c>
      <c r="AY5" s="700">
        <v>265920.13405156572</v>
      </c>
      <c r="AZ5" s="703">
        <v>261333.85246753774</v>
      </c>
      <c r="BA5" s="703">
        <v>281399.23989507044</v>
      </c>
      <c r="BB5" s="703">
        <v>266165.4506704887</v>
      </c>
      <c r="BC5" s="703">
        <v>262621.90154981613</v>
      </c>
    </row>
    <row r="6" spans="1:55" ht="22.5" customHeight="1">
      <c r="A6" s="704" t="s">
        <v>503</v>
      </c>
      <c r="B6" s="705">
        <v>554129.25189955614</v>
      </c>
      <c r="C6" s="705">
        <v>574198.55662555143</v>
      </c>
      <c r="D6" s="705">
        <v>595999.30990686174</v>
      </c>
      <c r="E6" s="705">
        <v>592325.27184835775</v>
      </c>
      <c r="F6" s="705">
        <v>690782.21328024485</v>
      </c>
      <c r="G6" s="705">
        <v>671738.656082973</v>
      </c>
      <c r="H6" s="705">
        <v>615185.20037483866</v>
      </c>
      <c r="I6" s="705">
        <v>649487.02620965545</v>
      </c>
      <c r="J6" s="705">
        <v>665659.57883432286</v>
      </c>
      <c r="K6" s="705">
        <v>683035.47805789532</v>
      </c>
      <c r="L6" s="705">
        <v>655369.07597230945</v>
      </c>
      <c r="M6" s="705">
        <v>701809.95337544847</v>
      </c>
      <c r="N6" s="705">
        <v>718145.26458332082</v>
      </c>
      <c r="O6" s="705">
        <v>724484.74699546129</v>
      </c>
      <c r="P6" s="705">
        <v>695498.74745078781</v>
      </c>
      <c r="Q6" s="705">
        <v>757252.14003806759</v>
      </c>
      <c r="R6" s="705">
        <v>683532.74611194688</v>
      </c>
      <c r="S6" s="705">
        <v>739275.68099999998</v>
      </c>
      <c r="T6" s="705">
        <v>713079.36609643954</v>
      </c>
      <c r="U6" s="705">
        <v>689923.28349499148</v>
      </c>
      <c r="V6" s="705">
        <v>770300.32276175159</v>
      </c>
      <c r="W6" s="705">
        <v>743847.0539604628</v>
      </c>
      <c r="X6" s="705">
        <v>776997.92170646996</v>
      </c>
      <c r="Y6" s="705">
        <v>783159.19996672636</v>
      </c>
      <c r="Z6" s="705">
        <v>803323.10318789806</v>
      </c>
      <c r="AA6" s="705">
        <v>844333.87104523438</v>
      </c>
      <c r="AB6" s="705">
        <v>855506.44080762076</v>
      </c>
      <c r="AC6" s="705">
        <v>829173.73109211109</v>
      </c>
      <c r="AD6" s="705">
        <v>863015.68687695405</v>
      </c>
      <c r="AE6" s="705">
        <v>839674.20833327714</v>
      </c>
      <c r="AF6" s="705">
        <v>873225.06715132389</v>
      </c>
      <c r="AG6" s="705">
        <v>824222.32142519916</v>
      </c>
      <c r="AH6" s="705">
        <v>842221.48180383351</v>
      </c>
      <c r="AI6" s="706">
        <v>839944.4604024936</v>
      </c>
      <c r="AJ6" s="705">
        <v>807682.83964783652</v>
      </c>
      <c r="AK6" s="705">
        <v>802935.72269750375</v>
      </c>
      <c r="AL6" s="705">
        <v>830727.99263529305</v>
      </c>
      <c r="AM6" s="705">
        <v>788894.7544634412</v>
      </c>
      <c r="AN6" s="705">
        <v>831590.79147575842</v>
      </c>
      <c r="AO6" s="705">
        <v>816818.14189296542</v>
      </c>
      <c r="AP6" s="705">
        <v>855003.56485537684</v>
      </c>
      <c r="AQ6" s="707">
        <v>835164.11841797386</v>
      </c>
      <c r="AR6" s="705">
        <v>876000.90766366245</v>
      </c>
      <c r="AS6" s="705">
        <v>886516.84231797955</v>
      </c>
      <c r="AT6" s="705">
        <v>867993.27974259004</v>
      </c>
      <c r="AU6" s="705">
        <v>810184.50971048442</v>
      </c>
      <c r="AV6" s="705">
        <v>793260.31807916111</v>
      </c>
      <c r="AW6" s="705">
        <v>772471.29067283787</v>
      </c>
      <c r="AX6" s="705">
        <v>741950.61904163694</v>
      </c>
      <c r="AY6" s="705">
        <v>750807.72838511539</v>
      </c>
      <c r="AZ6" s="708">
        <v>750315.003823495</v>
      </c>
      <c r="BA6" s="708">
        <v>734324.2736315073</v>
      </c>
      <c r="BB6" s="708">
        <v>717738.6893311129</v>
      </c>
      <c r="BC6" s="708">
        <v>708659.48015011754</v>
      </c>
    </row>
    <row r="7" spans="1:55" ht="22.5" customHeight="1">
      <c r="A7" s="704" t="s">
        <v>504</v>
      </c>
      <c r="B7" s="705">
        <v>-264718.5239741276</v>
      </c>
      <c r="C7" s="705">
        <v>-281406.85426920466</v>
      </c>
      <c r="D7" s="705">
        <v>-298567.26498774189</v>
      </c>
      <c r="E7" s="705">
        <v>-312387.16682401777</v>
      </c>
      <c r="F7" s="705">
        <v>-362871.38125470595</v>
      </c>
      <c r="G7" s="705">
        <v>-351567.34928439261</v>
      </c>
      <c r="H7" s="705">
        <v>-334362.66545402177</v>
      </c>
      <c r="I7" s="705">
        <v>-345037.03653761436</v>
      </c>
      <c r="J7" s="705">
        <v>-364570.68169868231</v>
      </c>
      <c r="K7" s="705">
        <v>-380105.43565162946</v>
      </c>
      <c r="L7" s="705">
        <v>-342917.15698676603</v>
      </c>
      <c r="M7" s="705">
        <v>-383691.47016251564</v>
      </c>
      <c r="N7" s="705">
        <v>-394917.79154612916</v>
      </c>
      <c r="O7" s="705">
        <v>-407363.33838288148</v>
      </c>
      <c r="P7" s="705">
        <v>-409143.84282867378</v>
      </c>
      <c r="Q7" s="705">
        <v>-455991.52425438253</v>
      </c>
      <c r="R7" s="705">
        <v>-391816.64538365672</v>
      </c>
      <c r="S7" s="705">
        <v>-420588.64969133091</v>
      </c>
      <c r="T7" s="705">
        <v>-407891.29326102132</v>
      </c>
      <c r="U7" s="705">
        <v>-402316.73249754286</v>
      </c>
      <c r="V7" s="705">
        <v>-476825.0761007382</v>
      </c>
      <c r="W7" s="705">
        <v>-451242.22682712058</v>
      </c>
      <c r="X7" s="705">
        <v>-429614.67969955382</v>
      </c>
      <c r="Y7" s="705">
        <v>-492504.96045448614</v>
      </c>
      <c r="Z7" s="705">
        <v>-535334.4876744058</v>
      </c>
      <c r="AA7" s="705">
        <v>-569565.42782469513</v>
      </c>
      <c r="AB7" s="705">
        <v>-534457.38068912202</v>
      </c>
      <c r="AC7" s="705">
        <v>-507326.1145430273</v>
      </c>
      <c r="AD7" s="705">
        <v>-522179.32534697698</v>
      </c>
      <c r="AE7" s="705">
        <v>-566217.6893747187</v>
      </c>
      <c r="AF7" s="705">
        <v>-568302.45798723097</v>
      </c>
      <c r="AG7" s="705">
        <v>-561695.34921912372</v>
      </c>
      <c r="AH7" s="705">
        <v>-555654.04097699584</v>
      </c>
      <c r="AI7" s="706">
        <v>-533760.20845686679</v>
      </c>
      <c r="AJ7" s="705">
        <v>-501510.47848868719</v>
      </c>
      <c r="AK7" s="705">
        <v>-493174.64164614957</v>
      </c>
      <c r="AL7" s="705">
        <v>-499616.8378922104</v>
      </c>
      <c r="AM7" s="705">
        <v>-510485.30603851547</v>
      </c>
      <c r="AN7" s="705">
        <v>-532057.72193148383</v>
      </c>
      <c r="AO7" s="705">
        <v>-506150.0012373213</v>
      </c>
      <c r="AP7" s="705">
        <v>-519804.73411876278</v>
      </c>
      <c r="AQ7" s="707">
        <v>-544622.21452451113</v>
      </c>
      <c r="AR7" s="705">
        <v>-568507.49578559864</v>
      </c>
      <c r="AS7" s="705">
        <v>-597398.84185659932</v>
      </c>
      <c r="AT7" s="705">
        <v>-586928.78349977429</v>
      </c>
      <c r="AU7" s="705">
        <v>-537887.37620516599</v>
      </c>
      <c r="AV7" s="705">
        <v>-516598.82338585105</v>
      </c>
      <c r="AW7" s="705">
        <v>-479669.33891459147</v>
      </c>
      <c r="AX7" s="705">
        <v>-473452.75796403841</v>
      </c>
      <c r="AY7" s="705">
        <v>-484887.59433354967</v>
      </c>
      <c r="AZ7" s="708">
        <v>-488981.15135595726</v>
      </c>
      <c r="BA7" s="708">
        <v>-452925.03373643686</v>
      </c>
      <c r="BB7" s="708">
        <v>-451573.23866062419</v>
      </c>
      <c r="BC7" s="708">
        <v>-446037.57860030141</v>
      </c>
    </row>
    <row r="8" spans="1:55" ht="22.5" customHeight="1">
      <c r="A8" s="704"/>
      <c r="B8" s="705"/>
      <c r="C8" s="705"/>
      <c r="D8" s="705"/>
      <c r="E8" s="705"/>
      <c r="F8" s="705"/>
      <c r="G8" s="705"/>
      <c r="H8" s="705"/>
      <c r="I8" s="705"/>
      <c r="J8" s="705"/>
      <c r="K8" s="705"/>
      <c r="L8" s="705"/>
      <c r="M8" s="705"/>
      <c r="N8" s="705"/>
      <c r="O8" s="705"/>
      <c r="P8" s="705"/>
      <c r="Q8" s="705"/>
      <c r="R8" s="705"/>
      <c r="S8" s="705"/>
      <c r="T8" s="705"/>
      <c r="U8" s="705"/>
      <c r="V8" s="705"/>
      <c r="W8" s="705"/>
      <c r="X8" s="705"/>
      <c r="Y8" s="705"/>
      <c r="Z8" s="705"/>
      <c r="AA8" s="705"/>
      <c r="AB8" s="705"/>
      <c r="AC8" s="705"/>
      <c r="AD8" s="705"/>
      <c r="AE8" s="705"/>
      <c r="AF8" s="705"/>
      <c r="AG8" s="705"/>
      <c r="AH8" s="705"/>
      <c r="AI8" s="706"/>
      <c r="AJ8" s="705"/>
      <c r="AK8" s="705"/>
      <c r="AL8" s="705"/>
      <c r="AM8" s="705"/>
      <c r="AN8" s="705"/>
      <c r="AO8" s="705"/>
      <c r="AP8" s="705"/>
      <c r="AQ8" s="707"/>
      <c r="AR8" s="705"/>
      <c r="AS8" s="705"/>
      <c r="AT8" s="705"/>
      <c r="AU8" s="705"/>
      <c r="AV8" s="705"/>
      <c r="AW8" s="705"/>
      <c r="AX8" s="705"/>
      <c r="AY8" s="705"/>
      <c r="AZ8" s="708"/>
      <c r="BA8" s="708"/>
      <c r="BB8" s="708"/>
      <c r="BC8" s="708"/>
    </row>
    <row r="9" spans="1:55" ht="22.5" customHeight="1">
      <c r="A9" s="699" t="s">
        <v>505</v>
      </c>
      <c r="B9" s="700">
        <v>15883.54626933713</v>
      </c>
      <c r="C9" s="700">
        <v>19204.398491121799</v>
      </c>
      <c r="D9" s="700">
        <v>22795.501324295175</v>
      </c>
      <c r="E9" s="700">
        <v>20531.286862214078</v>
      </c>
      <c r="F9" s="700">
        <v>20818.509804281664</v>
      </c>
      <c r="G9" s="700">
        <v>22185.535998862859</v>
      </c>
      <c r="H9" s="700">
        <v>23556.414353128181</v>
      </c>
      <c r="I9" s="700">
        <v>21518.199613537079</v>
      </c>
      <c r="J9" s="700">
        <v>25248.348319826946</v>
      </c>
      <c r="K9" s="700">
        <v>27381.67336833676</v>
      </c>
      <c r="L9" s="700">
        <v>28293.545060959175</v>
      </c>
      <c r="M9" s="700">
        <v>29434.82293110558</v>
      </c>
      <c r="N9" s="700">
        <v>30390.546227934283</v>
      </c>
      <c r="O9" s="700">
        <v>31076.999940529997</v>
      </c>
      <c r="P9" s="700">
        <v>30091.098269384391</v>
      </c>
      <c r="Q9" s="700">
        <v>30980.17593003501</v>
      </c>
      <c r="R9" s="700">
        <v>30034.995411972028</v>
      </c>
      <c r="S9" s="700">
        <v>31617.683999999997</v>
      </c>
      <c r="T9" s="700">
        <v>31908.506064140747</v>
      </c>
      <c r="U9" s="700">
        <v>33473.694393502381</v>
      </c>
      <c r="V9" s="700">
        <v>30969.328194597925</v>
      </c>
      <c r="W9" s="700">
        <v>30773.4028834204</v>
      </c>
      <c r="X9" s="700">
        <v>30649.208384962472</v>
      </c>
      <c r="Y9" s="700">
        <v>33371.31098330504</v>
      </c>
      <c r="Z9" s="700">
        <v>30528.812363751418</v>
      </c>
      <c r="AA9" s="700">
        <v>31819.07879519276</v>
      </c>
      <c r="AB9" s="700">
        <v>31406.353760574326</v>
      </c>
      <c r="AC9" s="700">
        <v>31033.287909103608</v>
      </c>
      <c r="AD9" s="700">
        <v>30952.833307015837</v>
      </c>
      <c r="AE9" s="700">
        <v>31581.437679148868</v>
      </c>
      <c r="AF9" s="700">
        <v>31415.124832631391</v>
      </c>
      <c r="AG9" s="700">
        <v>30875.81402145933</v>
      </c>
      <c r="AH9" s="700">
        <v>31887.315677383078</v>
      </c>
      <c r="AI9" s="701">
        <v>30820.132658355989</v>
      </c>
      <c r="AJ9" s="700">
        <v>29633.958087153787</v>
      </c>
      <c r="AK9" s="700">
        <v>34037.183666135119</v>
      </c>
      <c r="AL9" s="700">
        <v>35233.724996757279</v>
      </c>
      <c r="AM9" s="700">
        <v>37081.318759745285</v>
      </c>
      <c r="AN9" s="700">
        <v>38246.699542748305</v>
      </c>
      <c r="AO9" s="700">
        <v>36037.6615946647</v>
      </c>
      <c r="AP9" s="700">
        <v>41395.631779504234</v>
      </c>
      <c r="AQ9" s="702">
        <v>42287.360183243058</v>
      </c>
      <c r="AR9" s="700">
        <v>43225.636986448866</v>
      </c>
      <c r="AS9" s="700">
        <v>42023.616847947887</v>
      </c>
      <c r="AT9" s="700">
        <v>40823.307736586619</v>
      </c>
      <c r="AU9" s="700">
        <v>42622.338426117305</v>
      </c>
      <c r="AV9" s="700">
        <v>43925.061943251792</v>
      </c>
      <c r="AW9" s="700">
        <v>49632.33640586229</v>
      </c>
      <c r="AX9" s="700">
        <v>49473.037480839434</v>
      </c>
      <c r="AY9" s="700">
        <v>54950.875877070568</v>
      </c>
      <c r="AZ9" s="703">
        <v>55148.686053227022</v>
      </c>
      <c r="BA9" s="703">
        <v>55642.872052752253</v>
      </c>
      <c r="BB9" s="703">
        <v>57687.2608324178</v>
      </c>
      <c r="BC9" s="703">
        <v>57341.817645797317</v>
      </c>
    </row>
    <row r="10" spans="1:55" ht="22.5" customHeight="1">
      <c r="A10" s="704" t="s">
        <v>506</v>
      </c>
      <c r="B10" s="705">
        <v>2780.4818602185601</v>
      </c>
      <c r="C10" s="705">
        <v>2661.1428895894396</v>
      </c>
      <c r="D10" s="705">
        <v>2898.1288821314602</v>
      </c>
      <c r="E10" s="705">
        <v>2715.3582111474198</v>
      </c>
      <c r="F10" s="705">
        <v>2684.0971327969996</v>
      </c>
      <c r="G10" s="705">
        <v>2744.9043118847799</v>
      </c>
      <c r="H10" s="705">
        <v>2589.7509924748701</v>
      </c>
      <c r="I10" s="705">
        <v>2818.4901145357098</v>
      </c>
      <c r="J10" s="705">
        <v>2854.1944993078296</v>
      </c>
      <c r="K10" s="705">
        <v>2652.7364417868398</v>
      </c>
      <c r="L10" s="705">
        <v>2792.7197988087801</v>
      </c>
      <c r="M10" s="705">
        <v>3616.75520117109</v>
      </c>
      <c r="N10" s="705">
        <v>3226.06529056934</v>
      </c>
      <c r="O10" s="705">
        <v>2789.5613597740103</v>
      </c>
      <c r="P10" s="705">
        <v>3064.4438332881496</v>
      </c>
      <c r="Q10" s="705">
        <v>2706.3366797338899</v>
      </c>
      <c r="R10" s="705">
        <v>3000.4766235805801</v>
      </c>
      <c r="S10" s="705">
        <v>2937.2269999999999</v>
      </c>
      <c r="T10" s="705">
        <v>2860.3833820514101</v>
      </c>
      <c r="U10" s="705">
        <v>3375.9320411612498</v>
      </c>
      <c r="V10" s="705">
        <v>3198.9278438555498</v>
      </c>
      <c r="W10" s="705">
        <v>3543.8328578868195</v>
      </c>
      <c r="X10" s="705">
        <v>3523.5380632228698</v>
      </c>
      <c r="Y10" s="705">
        <v>4161.9693968672</v>
      </c>
      <c r="Z10" s="705">
        <v>3378.4848058553798</v>
      </c>
      <c r="AA10" s="705">
        <v>3248.23803906067</v>
      </c>
      <c r="AB10" s="705">
        <v>2883.3512458578198</v>
      </c>
      <c r="AC10" s="705">
        <v>2977.8079643617698</v>
      </c>
      <c r="AD10" s="705">
        <v>3403.95765762887</v>
      </c>
      <c r="AE10" s="705">
        <v>2731.8580123987799</v>
      </c>
      <c r="AF10" s="705">
        <v>2921.5261027483198</v>
      </c>
      <c r="AG10" s="705">
        <v>3285.2655863486998</v>
      </c>
      <c r="AH10" s="705">
        <v>3218.97800381967</v>
      </c>
      <c r="AI10" s="706">
        <v>3775.3428060113501</v>
      </c>
      <c r="AJ10" s="705">
        <v>3586.6000795631298</v>
      </c>
      <c r="AK10" s="705">
        <v>4791.5966149175529</v>
      </c>
      <c r="AL10" s="705">
        <v>4198.8004375281098</v>
      </c>
      <c r="AM10" s="705">
        <v>3718.4681231650479</v>
      </c>
      <c r="AN10" s="705">
        <v>3968.0071440123438</v>
      </c>
      <c r="AO10" s="705">
        <v>4263.4817446186689</v>
      </c>
      <c r="AP10" s="705">
        <v>4030.7237780018918</v>
      </c>
      <c r="AQ10" s="707">
        <v>3881.5519780801178</v>
      </c>
      <c r="AR10" s="705">
        <v>4400.6176584587956</v>
      </c>
      <c r="AS10" s="705">
        <v>4329.7500811983455</v>
      </c>
      <c r="AT10" s="705">
        <v>4242.0866869116808</v>
      </c>
      <c r="AU10" s="705">
        <v>4812.0552422003866</v>
      </c>
      <c r="AV10" s="705">
        <v>4467.8940639118146</v>
      </c>
      <c r="AW10" s="705">
        <v>6810.9656838341225</v>
      </c>
      <c r="AX10" s="705">
        <v>5069.9095430427915</v>
      </c>
      <c r="AY10" s="705">
        <v>4859.8693030329596</v>
      </c>
      <c r="AZ10" s="708">
        <v>4678.5999159676958</v>
      </c>
      <c r="BA10" s="708">
        <v>5002.6420686924439</v>
      </c>
      <c r="BB10" s="708">
        <v>4285.1118852461977</v>
      </c>
      <c r="BC10" s="708">
        <v>4659.9065244093199</v>
      </c>
    </row>
    <row r="11" spans="1:55" ht="22.5" customHeight="1">
      <c r="A11" s="704" t="s">
        <v>507</v>
      </c>
      <c r="B11" s="705">
        <v>13103.06440911857</v>
      </c>
      <c r="C11" s="705">
        <v>15440.03880347136</v>
      </c>
      <c r="D11" s="705">
        <v>19039.147348759965</v>
      </c>
      <c r="E11" s="705">
        <v>16779.205501493328</v>
      </c>
      <c r="F11" s="705">
        <v>15997.32476802577</v>
      </c>
      <c r="G11" s="705">
        <v>18820.724511978078</v>
      </c>
      <c r="H11" s="705">
        <v>19036.469558432131</v>
      </c>
      <c r="I11" s="705">
        <v>17179.597992931718</v>
      </c>
      <c r="J11" s="705">
        <v>17080.557081261119</v>
      </c>
      <c r="K11" s="705">
        <v>19591.851296260469</v>
      </c>
      <c r="L11" s="705">
        <v>20372.515139623167</v>
      </c>
      <c r="M11" s="705">
        <v>22158.698883537549</v>
      </c>
      <c r="N11" s="705">
        <v>22866.410367366283</v>
      </c>
      <c r="O11" s="705">
        <v>22793.917400515667</v>
      </c>
      <c r="P11" s="705">
        <v>21927.07894676127</v>
      </c>
      <c r="Q11" s="705">
        <v>22959.958484987659</v>
      </c>
      <c r="R11" s="705">
        <v>20852.85236387136</v>
      </c>
      <c r="S11" s="705">
        <v>21290.077999999998</v>
      </c>
      <c r="T11" s="705">
        <v>21041.356357863908</v>
      </c>
      <c r="U11" s="705">
        <v>22394.577515877951</v>
      </c>
      <c r="V11" s="705">
        <v>20955.744019507987</v>
      </c>
      <c r="W11" s="705">
        <v>20389.512999437429</v>
      </c>
      <c r="X11" s="705">
        <v>20287.807507148442</v>
      </c>
      <c r="Y11" s="705">
        <v>23667.518772783042</v>
      </c>
      <c r="Z11" s="705">
        <v>21143.898082034419</v>
      </c>
      <c r="AA11" s="705">
        <v>22595.355402345889</v>
      </c>
      <c r="AB11" s="705">
        <v>22642.908420646967</v>
      </c>
      <c r="AC11" s="705">
        <v>22438.039174189456</v>
      </c>
      <c r="AD11" s="705">
        <v>22470.955748627337</v>
      </c>
      <c r="AE11" s="705">
        <v>23952.999551973287</v>
      </c>
      <c r="AF11" s="705">
        <v>23711.907692205081</v>
      </c>
      <c r="AG11" s="705">
        <v>23526.400576950011</v>
      </c>
      <c r="AH11" s="705">
        <v>24570.12411190939</v>
      </c>
      <c r="AI11" s="706">
        <v>23309.13281240355</v>
      </c>
      <c r="AJ11" s="705">
        <v>22121.435074765439</v>
      </c>
      <c r="AK11" s="705">
        <v>25339.887051448743</v>
      </c>
      <c r="AL11" s="705">
        <v>24811.603418029583</v>
      </c>
      <c r="AM11" s="705">
        <v>27616.35811862698</v>
      </c>
      <c r="AN11" s="705">
        <v>26916.749406765295</v>
      </c>
      <c r="AO11" s="705">
        <v>23732.996889685543</v>
      </c>
      <c r="AP11" s="705">
        <v>28098.346732737707</v>
      </c>
      <c r="AQ11" s="707">
        <v>28142.382556545286</v>
      </c>
      <c r="AR11" s="705">
        <v>28846.291705289455</v>
      </c>
      <c r="AS11" s="705">
        <v>26079.808146629897</v>
      </c>
      <c r="AT11" s="705">
        <v>24891.543612324742</v>
      </c>
      <c r="AU11" s="705">
        <v>26386.191195087289</v>
      </c>
      <c r="AV11" s="705">
        <v>28215.631845464515</v>
      </c>
      <c r="AW11" s="705">
        <v>32104.807109869311</v>
      </c>
      <c r="AX11" s="705">
        <v>31278.728444616794</v>
      </c>
      <c r="AY11" s="705">
        <v>37065.082675889476</v>
      </c>
      <c r="AZ11" s="708">
        <v>35348.424453984</v>
      </c>
      <c r="BA11" s="708">
        <v>34975.964181445357</v>
      </c>
      <c r="BB11" s="708">
        <v>36294.811287839671</v>
      </c>
      <c r="BC11" s="708">
        <v>35562.721802992994</v>
      </c>
    </row>
    <row r="12" spans="1:55" ht="22.5" customHeight="1">
      <c r="A12" s="704" t="s">
        <v>508</v>
      </c>
      <c r="B12" s="705">
        <v>0</v>
      </c>
      <c r="C12" s="705">
        <v>1103.216798061</v>
      </c>
      <c r="D12" s="705">
        <v>858.22509340374995</v>
      </c>
      <c r="E12" s="705">
        <v>1036.7231495733299</v>
      </c>
      <c r="F12" s="705">
        <v>2137.0879034588929</v>
      </c>
      <c r="G12" s="705">
        <v>619.90717499999994</v>
      </c>
      <c r="H12" s="705">
        <v>1930.1938022211798</v>
      </c>
      <c r="I12" s="705">
        <v>1520.11150606965</v>
      </c>
      <c r="J12" s="705">
        <v>5313.5967392580005</v>
      </c>
      <c r="K12" s="705">
        <v>5137.0856302894499</v>
      </c>
      <c r="L12" s="705">
        <v>5128.3101225272303</v>
      </c>
      <c r="M12" s="705">
        <v>3659.3688463969402</v>
      </c>
      <c r="N12" s="705">
        <v>4298.0705699986602</v>
      </c>
      <c r="O12" s="705">
        <v>5493.5211802403201</v>
      </c>
      <c r="P12" s="705">
        <v>5099.5754893349704</v>
      </c>
      <c r="Q12" s="705">
        <v>5313.88076531346</v>
      </c>
      <c r="R12" s="705">
        <v>6181.66642452009</v>
      </c>
      <c r="S12" s="705">
        <v>7390.3789999999999</v>
      </c>
      <c r="T12" s="705">
        <v>8006.7663242254293</v>
      </c>
      <c r="U12" s="705">
        <v>7703.1848364631796</v>
      </c>
      <c r="V12" s="705">
        <v>6814.6563312343897</v>
      </c>
      <c r="W12" s="705">
        <v>6840.0570260961504</v>
      </c>
      <c r="X12" s="705">
        <v>6837.8628145911598</v>
      </c>
      <c r="Y12" s="705">
        <v>5541.8228136548005</v>
      </c>
      <c r="Z12" s="705">
        <v>6006.4294758616197</v>
      </c>
      <c r="AA12" s="705">
        <v>5975.4853537861991</v>
      </c>
      <c r="AB12" s="705">
        <v>5880.09409406954</v>
      </c>
      <c r="AC12" s="705">
        <v>5617.440770552379</v>
      </c>
      <c r="AD12" s="705">
        <v>5077.9199007596299</v>
      </c>
      <c r="AE12" s="705">
        <v>4896.5801147767997</v>
      </c>
      <c r="AF12" s="705">
        <v>4781.6910376779897</v>
      </c>
      <c r="AG12" s="705">
        <v>4064.1478581606202</v>
      </c>
      <c r="AH12" s="705">
        <v>4098.2135616540199</v>
      </c>
      <c r="AI12" s="706">
        <v>3735.6570399410898</v>
      </c>
      <c r="AJ12" s="705">
        <v>3925.92293282522</v>
      </c>
      <c r="AK12" s="705">
        <v>3905.6999997688235</v>
      </c>
      <c r="AL12" s="705">
        <v>6223.3211411995881</v>
      </c>
      <c r="AM12" s="705">
        <v>5746.4925179532611</v>
      </c>
      <c r="AN12" s="705">
        <v>7361.9429919706654</v>
      </c>
      <c r="AO12" s="705">
        <v>8041.182960360492</v>
      </c>
      <c r="AP12" s="705">
        <v>9266.5612687646371</v>
      </c>
      <c r="AQ12" s="707">
        <v>10263.425648617649</v>
      </c>
      <c r="AR12" s="705">
        <v>9978.7276227006132</v>
      </c>
      <c r="AS12" s="705">
        <v>11614.058620119647</v>
      </c>
      <c r="AT12" s="705">
        <v>11689.677437350201</v>
      </c>
      <c r="AU12" s="705">
        <v>11424.091988829627</v>
      </c>
      <c r="AV12" s="705">
        <v>11241.53603387546</v>
      </c>
      <c r="AW12" s="705">
        <v>10716.563612158852</v>
      </c>
      <c r="AX12" s="705">
        <v>13124.399493179844</v>
      </c>
      <c r="AY12" s="705">
        <v>13025.923898148132</v>
      </c>
      <c r="AZ12" s="708">
        <v>15121.66168327533</v>
      </c>
      <c r="BA12" s="708">
        <v>15664.265802614449</v>
      </c>
      <c r="BB12" s="708">
        <v>17107.337659331937</v>
      </c>
      <c r="BC12" s="708">
        <v>17119.189318394998</v>
      </c>
    </row>
    <row r="13" spans="1:55" ht="22.5" customHeight="1">
      <c r="A13" s="704"/>
      <c r="B13" s="705"/>
      <c r="C13" s="705"/>
      <c r="D13" s="705"/>
      <c r="E13" s="705"/>
      <c r="F13" s="705"/>
      <c r="G13" s="705"/>
      <c r="H13" s="705"/>
      <c r="I13" s="705"/>
      <c r="J13" s="705"/>
      <c r="K13" s="705"/>
      <c r="L13" s="705"/>
      <c r="M13" s="705"/>
      <c r="N13" s="705"/>
      <c r="O13" s="705"/>
      <c r="P13" s="705"/>
      <c r="Q13" s="705"/>
      <c r="R13" s="705"/>
      <c r="S13" s="705"/>
      <c r="T13" s="705"/>
      <c r="U13" s="705"/>
      <c r="V13" s="705"/>
      <c r="W13" s="705"/>
      <c r="X13" s="705"/>
      <c r="Y13" s="705"/>
      <c r="Z13" s="705"/>
      <c r="AA13" s="705"/>
      <c r="AB13" s="705"/>
      <c r="AC13" s="705"/>
      <c r="AD13" s="705"/>
      <c r="AE13" s="705"/>
      <c r="AF13" s="705"/>
      <c r="AG13" s="705"/>
      <c r="AH13" s="705"/>
      <c r="AI13" s="706"/>
      <c r="AJ13" s="705"/>
      <c r="AK13" s="705"/>
      <c r="AL13" s="705"/>
      <c r="AM13" s="705"/>
      <c r="AN13" s="705"/>
      <c r="AO13" s="705"/>
      <c r="AP13" s="705"/>
      <c r="AQ13" s="707"/>
      <c r="AR13" s="705"/>
      <c r="AS13" s="705"/>
      <c r="AT13" s="705"/>
      <c r="AU13" s="705"/>
      <c r="AV13" s="705"/>
      <c r="AW13" s="705"/>
      <c r="AX13" s="705"/>
      <c r="AY13" s="705"/>
      <c r="AZ13" s="708"/>
      <c r="BA13" s="708"/>
      <c r="BB13" s="708"/>
      <c r="BC13" s="708"/>
    </row>
    <row r="14" spans="1:55" ht="22.5" customHeight="1">
      <c r="A14" s="699" t="s">
        <v>509</v>
      </c>
      <c r="B14" s="700">
        <v>46202.381153037422</v>
      </c>
      <c r="C14" s="700">
        <v>46228.406055545434</v>
      </c>
      <c r="D14" s="700">
        <v>41536.992128390921</v>
      </c>
      <c r="E14" s="700">
        <v>44882.80088516805</v>
      </c>
      <c r="F14" s="700">
        <v>45475.44274596269</v>
      </c>
      <c r="G14" s="700">
        <v>44794.197115178016</v>
      </c>
      <c r="H14" s="700">
        <v>42743.634040358695</v>
      </c>
      <c r="I14" s="700">
        <v>42684.666598872558</v>
      </c>
      <c r="J14" s="700">
        <v>39512.084307652403</v>
      </c>
      <c r="K14" s="700">
        <v>37873.234926130637</v>
      </c>
      <c r="L14" s="700">
        <v>38047.671032386119</v>
      </c>
      <c r="M14" s="700">
        <v>39530.568073384442</v>
      </c>
      <c r="N14" s="700">
        <v>37970.913603621055</v>
      </c>
      <c r="O14" s="700">
        <v>37627.442935225292</v>
      </c>
      <c r="P14" s="700">
        <v>37124.316265183399</v>
      </c>
      <c r="Q14" s="700">
        <v>37498.010716390738</v>
      </c>
      <c r="R14" s="700">
        <v>39156.500657266479</v>
      </c>
      <c r="S14" s="700">
        <v>39719.398716347743</v>
      </c>
      <c r="T14" s="700">
        <v>40015.946904981633</v>
      </c>
      <c r="U14" s="700">
        <v>38104.583793049038</v>
      </c>
      <c r="V14" s="700">
        <v>38569.778049363464</v>
      </c>
      <c r="W14" s="700">
        <v>39102.256814221233</v>
      </c>
      <c r="X14" s="700">
        <v>40235.09569635136</v>
      </c>
      <c r="Y14" s="700">
        <v>38010.725821035056</v>
      </c>
      <c r="Z14" s="700">
        <v>37715.524786278307</v>
      </c>
      <c r="AA14" s="700">
        <v>37198.005824070475</v>
      </c>
      <c r="AB14" s="700">
        <v>39388.131370601855</v>
      </c>
      <c r="AC14" s="700">
        <v>37729.771750879547</v>
      </c>
      <c r="AD14" s="700">
        <v>38466.088325971257</v>
      </c>
      <c r="AE14" s="700">
        <v>38614.536427936197</v>
      </c>
      <c r="AF14" s="700">
        <v>36020.403238634601</v>
      </c>
      <c r="AG14" s="700">
        <v>38023.271401596801</v>
      </c>
      <c r="AH14" s="700">
        <v>38782.171932746089</v>
      </c>
      <c r="AI14" s="701">
        <v>40042.67679724047</v>
      </c>
      <c r="AJ14" s="700">
        <v>40388.807298398693</v>
      </c>
      <c r="AK14" s="700">
        <v>38215.234501639141</v>
      </c>
      <c r="AL14" s="700">
        <v>38620.833582376174</v>
      </c>
      <c r="AM14" s="700">
        <v>39378.909148163963</v>
      </c>
      <c r="AN14" s="700">
        <v>40525.143152874312</v>
      </c>
      <c r="AO14" s="700">
        <v>41416.619773306156</v>
      </c>
      <c r="AP14" s="700">
        <v>41078.313658385188</v>
      </c>
      <c r="AQ14" s="702">
        <v>42602.287880723379</v>
      </c>
      <c r="AR14" s="700">
        <v>43238.649830528462</v>
      </c>
      <c r="AS14" s="700">
        <v>45405.208901882943</v>
      </c>
      <c r="AT14" s="700">
        <v>46220.139047351651</v>
      </c>
      <c r="AU14" s="700">
        <v>44656.885576869994</v>
      </c>
      <c r="AV14" s="700">
        <v>45774.594745586095</v>
      </c>
      <c r="AW14" s="700">
        <v>45691.741470481815</v>
      </c>
      <c r="AX14" s="700">
        <v>47258.21111998758</v>
      </c>
      <c r="AY14" s="700">
        <v>47281.17757882041</v>
      </c>
      <c r="AZ14" s="703">
        <v>49241.285426161441</v>
      </c>
      <c r="BA14" s="703">
        <v>50718.48109885717</v>
      </c>
      <c r="BB14" s="703">
        <v>52289.78105109265</v>
      </c>
      <c r="BC14" s="703">
        <v>53416.285285469537</v>
      </c>
    </row>
    <row r="15" spans="1:55" ht="22.5" customHeight="1">
      <c r="A15" s="704" t="s">
        <v>510</v>
      </c>
      <c r="B15" s="705">
        <v>61697.699491806692</v>
      </c>
      <c r="C15" s="705">
        <v>61527.770521082202</v>
      </c>
      <c r="D15" s="705">
        <v>58144.213647966099</v>
      </c>
      <c r="E15" s="705">
        <v>60200.988352624197</v>
      </c>
      <c r="F15" s="705">
        <v>60772.32521689569</v>
      </c>
      <c r="G15" s="705">
        <v>61607.820306387795</v>
      </c>
      <c r="H15" s="705">
        <v>58363.919896878702</v>
      </c>
      <c r="I15" s="705">
        <v>57105.798453794298</v>
      </c>
      <c r="J15" s="705">
        <v>55485.379014505001</v>
      </c>
      <c r="K15" s="705">
        <v>54502.82545001019</v>
      </c>
      <c r="L15" s="705">
        <v>55811.491806131999</v>
      </c>
      <c r="M15" s="705">
        <v>57799.429730604592</v>
      </c>
      <c r="N15" s="705">
        <v>55154.155917721793</v>
      </c>
      <c r="O15" s="705">
        <v>53730.606421803001</v>
      </c>
      <c r="P15" s="705">
        <v>53584.161687032698</v>
      </c>
      <c r="Q15" s="705">
        <v>54224.1075535458</v>
      </c>
      <c r="R15" s="705">
        <v>54041.613664753</v>
      </c>
      <c r="S15" s="705">
        <v>53369.036999999997</v>
      </c>
      <c r="T15" s="705">
        <v>54168.068775473293</v>
      </c>
      <c r="U15" s="705">
        <v>52462.482641120398</v>
      </c>
      <c r="V15" s="705">
        <v>51968.032708957195</v>
      </c>
      <c r="W15" s="705">
        <v>53745.253183736495</v>
      </c>
      <c r="X15" s="705">
        <v>52340.988993587001</v>
      </c>
      <c r="Y15" s="705">
        <v>51334.594771566495</v>
      </c>
      <c r="Z15" s="705">
        <v>52042.447587275899</v>
      </c>
      <c r="AA15" s="705">
        <v>50971.725694157401</v>
      </c>
      <c r="AB15" s="705">
        <v>52771.889928957207</v>
      </c>
      <c r="AC15" s="705">
        <v>51559.155262933498</v>
      </c>
      <c r="AD15" s="705">
        <v>52664.915751283894</v>
      </c>
      <c r="AE15" s="705">
        <v>53230.1549786256</v>
      </c>
      <c r="AF15" s="705">
        <v>51457.523353041099</v>
      </c>
      <c r="AG15" s="705">
        <v>52862.332407013098</v>
      </c>
      <c r="AH15" s="705">
        <v>52766.2205435664</v>
      </c>
      <c r="AI15" s="706">
        <v>54521.632375816698</v>
      </c>
      <c r="AJ15" s="705">
        <v>56235.882947774793</v>
      </c>
      <c r="AK15" s="705">
        <v>56068.183178167761</v>
      </c>
      <c r="AL15" s="705">
        <v>55077.431588997802</v>
      </c>
      <c r="AM15" s="705">
        <v>55087.760136904428</v>
      </c>
      <c r="AN15" s="705">
        <v>56242.198198822225</v>
      </c>
      <c r="AO15" s="705">
        <v>56644.260832215325</v>
      </c>
      <c r="AP15" s="705">
        <v>56959.411963216669</v>
      </c>
      <c r="AQ15" s="707">
        <v>56570.905357101823</v>
      </c>
      <c r="AR15" s="705">
        <v>58205.509405643192</v>
      </c>
      <c r="AS15" s="705">
        <v>59402.71315994102</v>
      </c>
      <c r="AT15" s="705">
        <v>59682.560063146098</v>
      </c>
      <c r="AU15" s="705">
        <v>59017.462286455491</v>
      </c>
      <c r="AV15" s="705">
        <v>58507.486551949019</v>
      </c>
      <c r="AW15" s="705">
        <v>58807.708911047412</v>
      </c>
      <c r="AX15" s="705">
        <v>59725.402208406747</v>
      </c>
      <c r="AY15" s="705">
        <v>60950.761154975131</v>
      </c>
      <c r="AZ15" s="708">
        <v>61983.411209069614</v>
      </c>
      <c r="BA15" s="708">
        <v>64291.900730207402</v>
      </c>
      <c r="BB15" s="708">
        <v>65769.893757727157</v>
      </c>
      <c r="BC15" s="708">
        <v>68126.358653511197</v>
      </c>
    </row>
    <row r="16" spans="1:55" ht="22.5" customHeight="1">
      <c r="A16" s="704" t="s">
        <v>511</v>
      </c>
      <c r="B16" s="705">
        <v>-15495.318338769268</v>
      </c>
      <c r="C16" s="705">
        <v>-15299.364465536764</v>
      </c>
      <c r="D16" s="705">
        <v>-16607.221519575178</v>
      </c>
      <c r="E16" s="705">
        <v>-15318.187467456148</v>
      </c>
      <c r="F16" s="705">
        <v>-15296.882470933002</v>
      </c>
      <c r="G16" s="705">
        <v>-16813.623191209776</v>
      </c>
      <c r="H16" s="705">
        <v>-15620.285856520004</v>
      </c>
      <c r="I16" s="705">
        <v>-14421.131854921736</v>
      </c>
      <c r="J16" s="705">
        <v>-15973.294706852601</v>
      </c>
      <c r="K16" s="705">
        <v>-16629.590523879549</v>
      </c>
      <c r="L16" s="705">
        <v>-17763.820773745876</v>
      </c>
      <c r="M16" s="705">
        <v>-18268.86165722015</v>
      </c>
      <c r="N16" s="705">
        <v>-17183.242314100742</v>
      </c>
      <c r="O16" s="705">
        <v>-16103.163486577711</v>
      </c>
      <c r="P16" s="705">
        <v>-16459.845421849299</v>
      </c>
      <c r="Q16" s="705">
        <v>-16726.096837155063</v>
      </c>
      <c r="R16" s="705">
        <v>-14885.11300748652</v>
      </c>
      <c r="S16" s="705">
        <v>-13649.638283652252</v>
      </c>
      <c r="T16" s="705">
        <v>-14152.121870491659</v>
      </c>
      <c r="U16" s="705">
        <v>-14357.898848071361</v>
      </c>
      <c r="V16" s="705">
        <v>-13398.254659593729</v>
      </c>
      <c r="W16" s="705">
        <v>-14642.99636951526</v>
      </c>
      <c r="X16" s="705">
        <v>-12105.893297235638</v>
      </c>
      <c r="Y16" s="705">
        <v>-13323.868950531438</v>
      </c>
      <c r="Z16" s="705">
        <v>-14326.922800997592</v>
      </c>
      <c r="AA16" s="705">
        <v>-13773.719870086928</v>
      </c>
      <c r="AB16" s="705">
        <v>-13383.758558355355</v>
      </c>
      <c r="AC16" s="705">
        <v>-13829.38351205395</v>
      </c>
      <c r="AD16" s="705">
        <v>-14198.827425312636</v>
      </c>
      <c r="AE16" s="705">
        <v>-14615.618550689402</v>
      </c>
      <c r="AF16" s="705">
        <v>-15437.120114406496</v>
      </c>
      <c r="AG16" s="705">
        <v>-14839.061005416299</v>
      </c>
      <c r="AH16" s="705">
        <v>-13984.048610820311</v>
      </c>
      <c r="AI16" s="706">
        <v>-14478.955578576226</v>
      </c>
      <c r="AJ16" s="705">
        <v>-15847.075649376096</v>
      </c>
      <c r="AK16" s="705">
        <v>-17852.94867652862</v>
      </c>
      <c r="AL16" s="705">
        <v>-16456.598006621625</v>
      </c>
      <c r="AM16" s="705">
        <v>-15708.850988740465</v>
      </c>
      <c r="AN16" s="705">
        <v>-15717.055045947913</v>
      </c>
      <c r="AO16" s="705">
        <v>-15227.641058909167</v>
      </c>
      <c r="AP16" s="705">
        <v>-15881.098304831483</v>
      </c>
      <c r="AQ16" s="707">
        <v>-13968.617476378444</v>
      </c>
      <c r="AR16" s="705">
        <v>-14966.859575114733</v>
      </c>
      <c r="AS16" s="705">
        <v>-13997.504258058081</v>
      </c>
      <c r="AT16" s="705">
        <v>-13462.421015794444</v>
      </c>
      <c r="AU16" s="705">
        <v>-14360.576709585495</v>
      </c>
      <c r="AV16" s="705">
        <v>-12732.891806362924</v>
      </c>
      <c r="AW16" s="705">
        <v>-13115.967440565595</v>
      </c>
      <c r="AX16" s="705">
        <v>-12467.191088419166</v>
      </c>
      <c r="AY16" s="705">
        <v>-13669.583576154722</v>
      </c>
      <c r="AZ16" s="708">
        <v>-12742.125782908175</v>
      </c>
      <c r="BA16" s="708">
        <v>-13573.419631350231</v>
      </c>
      <c r="BB16" s="708">
        <v>-13480.112706634505</v>
      </c>
      <c r="BC16" s="708">
        <v>-14710.07336804166</v>
      </c>
    </row>
    <row r="17" spans="1:55" ht="22.5" customHeight="1">
      <c r="A17" s="699"/>
      <c r="B17" s="700"/>
      <c r="C17" s="700"/>
      <c r="D17" s="700"/>
      <c r="E17" s="700"/>
      <c r="F17" s="700"/>
      <c r="G17" s="700"/>
      <c r="H17" s="700"/>
      <c r="I17" s="700"/>
      <c r="J17" s="700"/>
      <c r="K17" s="700"/>
      <c r="L17" s="700"/>
      <c r="M17" s="700"/>
      <c r="N17" s="700"/>
      <c r="O17" s="700"/>
      <c r="P17" s="700"/>
      <c r="Q17" s="700"/>
      <c r="R17" s="700"/>
      <c r="S17" s="700"/>
      <c r="T17" s="700"/>
      <c r="U17" s="700"/>
      <c r="V17" s="700"/>
      <c r="W17" s="700"/>
      <c r="X17" s="700"/>
      <c r="Y17" s="700"/>
      <c r="Z17" s="700"/>
      <c r="AA17" s="700"/>
      <c r="AB17" s="700"/>
      <c r="AC17" s="700"/>
      <c r="AD17" s="700"/>
      <c r="AE17" s="700"/>
      <c r="AF17" s="700"/>
      <c r="AG17" s="700"/>
      <c r="AH17" s="700"/>
      <c r="AI17" s="701"/>
      <c r="AJ17" s="700"/>
      <c r="AK17" s="700"/>
      <c r="AL17" s="700"/>
      <c r="AM17" s="700"/>
      <c r="AN17" s="700"/>
      <c r="AO17" s="700"/>
      <c r="AP17" s="700"/>
      <c r="AQ17" s="702"/>
      <c r="AR17" s="700"/>
      <c r="AS17" s="700"/>
      <c r="AT17" s="700"/>
      <c r="AU17" s="700"/>
      <c r="AV17" s="700"/>
      <c r="AW17" s="700"/>
      <c r="AX17" s="700"/>
      <c r="AY17" s="700"/>
      <c r="AZ17" s="703"/>
      <c r="BA17" s="703"/>
      <c r="BB17" s="703"/>
      <c r="BC17" s="703"/>
    </row>
    <row r="18" spans="1:55" ht="22.5" customHeight="1">
      <c r="A18" s="699" t="s">
        <v>484</v>
      </c>
      <c r="B18" s="700">
        <v>248896.44796015669</v>
      </c>
      <c r="C18" s="700">
        <v>248653.45619608354</v>
      </c>
      <c r="D18" s="700">
        <v>251077.63427885834</v>
      </c>
      <c r="E18" s="700">
        <v>252425.94624199052</v>
      </c>
      <c r="F18" s="700">
        <v>263632.61535834562</v>
      </c>
      <c r="G18" s="700">
        <v>267429.23357882927</v>
      </c>
      <c r="H18" s="700">
        <v>266409.72737461125</v>
      </c>
      <c r="I18" s="700">
        <v>271789.49549483845</v>
      </c>
      <c r="J18" s="700">
        <v>272438.92333583586</v>
      </c>
      <c r="K18" s="700">
        <v>274786.27410636976</v>
      </c>
      <c r="L18" s="700">
        <v>276758.11127369711</v>
      </c>
      <c r="M18" s="700">
        <v>278722.79442939977</v>
      </c>
      <c r="N18" s="700">
        <v>278600.24378589995</v>
      </c>
      <c r="O18" s="700">
        <v>281528.0408852456</v>
      </c>
      <c r="P18" s="700">
        <v>282270.29557447811</v>
      </c>
      <c r="Q18" s="700">
        <v>286205.00782829389</v>
      </c>
      <c r="R18" s="700">
        <v>288062.89631386375</v>
      </c>
      <c r="S18" s="700">
        <v>291979.36699999997</v>
      </c>
      <c r="T18" s="700">
        <v>295765.24081791023</v>
      </c>
      <c r="U18" s="700">
        <v>298723.10082013893</v>
      </c>
      <c r="V18" s="700">
        <v>304169.75661760999</v>
      </c>
      <c r="W18" s="700">
        <v>312829.84980890236</v>
      </c>
      <c r="X18" s="700">
        <v>311259.87505072553</v>
      </c>
      <c r="Y18" s="700">
        <v>310940.94408568816</v>
      </c>
      <c r="Z18" s="700">
        <v>311430.19972326333</v>
      </c>
      <c r="AA18" s="700">
        <v>311817.78021051805</v>
      </c>
      <c r="AB18" s="700">
        <v>316023.83094058069</v>
      </c>
      <c r="AC18" s="700">
        <v>322035.05858234013</v>
      </c>
      <c r="AD18" s="700">
        <v>328217.72178075509</v>
      </c>
      <c r="AE18" s="700">
        <v>339849.9028008671</v>
      </c>
      <c r="AF18" s="700">
        <v>344055.84470338566</v>
      </c>
      <c r="AG18" s="700">
        <v>346600.31551877788</v>
      </c>
      <c r="AH18" s="700">
        <v>349150.76667742536</v>
      </c>
      <c r="AI18" s="701">
        <v>353662.92069438443</v>
      </c>
      <c r="AJ18" s="700">
        <v>357257.64889147726</v>
      </c>
      <c r="AK18" s="700">
        <v>364089.16545909585</v>
      </c>
      <c r="AL18" s="700">
        <v>365541.50957684341</v>
      </c>
      <c r="AM18" s="700">
        <v>371871.74131732079</v>
      </c>
      <c r="AN18" s="700">
        <v>369618.51315964782</v>
      </c>
      <c r="AO18" s="700">
        <v>373394.63948564482</v>
      </c>
      <c r="AP18" s="700">
        <v>371730.50697090762</v>
      </c>
      <c r="AQ18" s="702">
        <v>371254.15903107461</v>
      </c>
      <c r="AR18" s="700">
        <v>381390.04929219646</v>
      </c>
      <c r="AS18" s="700">
        <v>403063.78199327271</v>
      </c>
      <c r="AT18" s="700">
        <v>409690.2555806723</v>
      </c>
      <c r="AU18" s="700">
        <v>403167.60833401035</v>
      </c>
      <c r="AV18" s="700">
        <v>406264.59212819877</v>
      </c>
      <c r="AW18" s="700">
        <v>413242.84634938056</v>
      </c>
      <c r="AX18" s="700">
        <v>398464.06317138515</v>
      </c>
      <c r="AY18" s="700">
        <v>400908.30294153123</v>
      </c>
      <c r="AZ18" s="703">
        <v>402785.96424363606</v>
      </c>
      <c r="BA18" s="703">
        <v>403811.99425607623</v>
      </c>
      <c r="BB18" s="703">
        <v>397925.2993697779</v>
      </c>
      <c r="BC18" s="703">
        <v>391817.662834491</v>
      </c>
    </row>
    <row r="19" spans="1:55" ht="22.5" customHeight="1">
      <c r="A19" s="709"/>
      <c r="B19" s="705"/>
      <c r="C19" s="705"/>
      <c r="D19" s="705"/>
      <c r="E19" s="705"/>
      <c r="F19" s="705"/>
      <c r="G19" s="705"/>
      <c r="H19" s="705"/>
      <c r="I19" s="705"/>
      <c r="J19" s="705"/>
      <c r="K19" s="705"/>
      <c r="L19" s="705"/>
      <c r="M19" s="705"/>
      <c r="N19" s="705"/>
      <c r="O19" s="705"/>
      <c r="P19" s="705"/>
      <c r="Q19" s="705"/>
      <c r="R19" s="705"/>
      <c r="S19" s="705"/>
      <c r="T19" s="705"/>
      <c r="U19" s="705"/>
      <c r="V19" s="705"/>
      <c r="W19" s="705"/>
      <c r="X19" s="705"/>
      <c r="Y19" s="705"/>
      <c r="Z19" s="705"/>
      <c r="AA19" s="705"/>
      <c r="AB19" s="705"/>
      <c r="AC19" s="705"/>
      <c r="AD19" s="705"/>
      <c r="AE19" s="705"/>
      <c r="AF19" s="705"/>
      <c r="AG19" s="705"/>
      <c r="AH19" s="705"/>
      <c r="AI19" s="706"/>
      <c r="AJ19" s="705"/>
      <c r="AK19" s="705"/>
      <c r="AL19" s="705"/>
      <c r="AM19" s="705"/>
      <c r="AN19" s="705"/>
      <c r="AO19" s="705"/>
      <c r="AP19" s="705"/>
      <c r="AQ19" s="707"/>
      <c r="AR19" s="705"/>
      <c r="AS19" s="705"/>
      <c r="AT19" s="705"/>
      <c r="AU19" s="705"/>
      <c r="AV19" s="705"/>
      <c r="AW19" s="705"/>
      <c r="AX19" s="705"/>
      <c r="AY19" s="705"/>
      <c r="AZ19" s="708"/>
      <c r="BA19" s="708"/>
      <c r="BB19" s="708"/>
      <c r="BC19" s="708"/>
    </row>
    <row r="20" spans="1:55" ht="22.5" customHeight="1">
      <c r="A20" s="699" t="s">
        <v>512</v>
      </c>
      <c r="B20" s="700">
        <v>354.97145637</v>
      </c>
      <c r="C20" s="700">
        <v>1458.0634336810001</v>
      </c>
      <c r="D20" s="700">
        <v>1234.8880738037499</v>
      </c>
      <c r="E20" s="700">
        <v>1426.9580185933298</v>
      </c>
      <c r="F20" s="700">
        <v>1799.6625738501998</v>
      </c>
      <c r="G20" s="700">
        <v>1018.8706620099999</v>
      </c>
      <c r="H20" s="700">
        <v>934.56167797000001</v>
      </c>
      <c r="I20" s="700">
        <v>570.37408744000004</v>
      </c>
      <c r="J20" s="700">
        <v>753.09918457000003</v>
      </c>
      <c r="K20" s="700">
        <v>624.16111209999997</v>
      </c>
      <c r="L20" s="700">
        <v>1020.68219698</v>
      </c>
      <c r="M20" s="700">
        <v>1003.2277356599999</v>
      </c>
      <c r="N20" s="700">
        <v>994.98082905999991</v>
      </c>
      <c r="O20" s="700">
        <v>994.86971218999997</v>
      </c>
      <c r="P20" s="700">
        <v>233.12811006999999</v>
      </c>
      <c r="Q20" s="700">
        <v>222.31467438999996</v>
      </c>
      <c r="R20" s="700">
        <v>623.47827548999999</v>
      </c>
      <c r="S20" s="700">
        <v>208.369</v>
      </c>
      <c r="T20" s="700">
        <v>1780.2658135799998</v>
      </c>
      <c r="U20" s="700">
        <v>1060.8937028600001</v>
      </c>
      <c r="V20" s="700">
        <v>753.35824074999994</v>
      </c>
      <c r="W20" s="700">
        <v>939.68474980999986</v>
      </c>
      <c r="X20" s="700">
        <v>1096.7768037200001</v>
      </c>
      <c r="Y20" s="700">
        <v>1145.3559687899999</v>
      </c>
      <c r="Z20" s="700">
        <v>1123.0559826400001</v>
      </c>
      <c r="AA20" s="700">
        <v>1132.92843081</v>
      </c>
      <c r="AB20" s="700">
        <v>1132.9984324300001</v>
      </c>
      <c r="AC20" s="700">
        <v>1114.9996515999999</v>
      </c>
      <c r="AD20" s="700">
        <v>82.772141879999992</v>
      </c>
      <c r="AE20" s="700">
        <v>447.20645667000002</v>
      </c>
      <c r="AF20" s="700">
        <v>181.53818857999997</v>
      </c>
      <c r="AG20" s="700">
        <v>429.82487684</v>
      </c>
      <c r="AH20" s="700">
        <v>771.05274240999995</v>
      </c>
      <c r="AI20" s="701">
        <v>1174.1884462799999</v>
      </c>
      <c r="AJ20" s="700">
        <v>1345.1627521099999</v>
      </c>
      <c r="AK20" s="700">
        <v>1721.84122639</v>
      </c>
      <c r="AL20" s="700">
        <v>2044.3475266400001</v>
      </c>
      <c r="AM20" s="700">
        <v>2134.24912275</v>
      </c>
      <c r="AN20" s="700">
        <v>2124.9154918429999</v>
      </c>
      <c r="AO20" s="700">
        <v>2296.7695687609998</v>
      </c>
      <c r="AP20" s="700">
        <v>1259.733286289</v>
      </c>
      <c r="AQ20" s="702">
        <v>1518.3219098943753</v>
      </c>
      <c r="AR20" s="700">
        <v>1694.6787664978499</v>
      </c>
      <c r="AS20" s="700">
        <v>1973.2142783755003</v>
      </c>
      <c r="AT20" s="700">
        <v>2988.8611264908004</v>
      </c>
      <c r="AU20" s="700">
        <v>2494.2524502342753</v>
      </c>
      <c r="AV20" s="700">
        <v>2635.7734011398752</v>
      </c>
      <c r="AW20" s="700">
        <v>2626.8451721566498</v>
      </c>
      <c r="AX20" s="700">
        <v>3645.3085861486002</v>
      </c>
      <c r="AY20" s="700">
        <v>3500.2813603073996</v>
      </c>
      <c r="AZ20" s="703">
        <v>3493.4737958735996</v>
      </c>
      <c r="BA20" s="703">
        <v>3496.5289533664004</v>
      </c>
      <c r="BB20" s="703">
        <v>2534.7028019690201</v>
      </c>
      <c r="BC20" s="703">
        <v>2335.3993855694903</v>
      </c>
    </row>
    <row r="21" spans="1:55" ht="22.5" customHeight="1">
      <c r="A21" s="699"/>
      <c r="B21" s="705"/>
      <c r="C21" s="705"/>
      <c r="D21" s="705"/>
      <c r="E21" s="705"/>
      <c r="F21" s="705"/>
      <c r="G21" s="705"/>
      <c r="H21" s="705"/>
      <c r="I21" s="705"/>
      <c r="J21" s="705"/>
      <c r="K21" s="705"/>
      <c r="L21" s="705"/>
      <c r="M21" s="705"/>
      <c r="N21" s="705"/>
      <c r="O21" s="705"/>
      <c r="P21" s="705"/>
      <c r="Q21" s="705"/>
      <c r="R21" s="705"/>
      <c r="S21" s="705"/>
      <c r="T21" s="705"/>
      <c r="U21" s="705"/>
      <c r="V21" s="705"/>
      <c r="W21" s="705"/>
      <c r="X21" s="705"/>
      <c r="Y21" s="705"/>
      <c r="Z21" s="705"/>
      <c r="AA21" s="705"/>
      <c r="AB21" s="705"/>
      <c r="AC21" s="705"/>
      <c r="AD21" s="705"/>
      <c r="AE21" s="705"/>
      <c r="AF21" s="705"/>
      <c r="AG21" s="705"/>
      <c r="AH21" s="705"/>
      <c r="AI21" s="706"/>
      <c r="AJ21" s="705"/>
      <c r="AK21" s="705"/>
      <c r="AL21" s="705"/>
      <c r="AM21" s="705"/>
      <c r="AN21" s="705"/>
      <c r="AO21" s="705"/>
      <c r="AP21" s="705"/>
      <c r="AQ21" s="707"/>
      <c r="AR21" s="705"/>
      <c r="AS21" s="705"/>
      <c r="AT21" s="705"/>
      <c r="AU21" s="705"/>
      <c r="AV21" s="705"/>
      <c r="AW21" s="705"/>
      <c r="AX21" s="705"/>
      <c r="AY21" s="705"/>
      <c r="AZ21" s="708"/>
      <c r="BA21" s="708"/>
      <c r="BB21" s="708"/>
      <c r="BC21" s="708"/>
    </row>
    <row r="22" spans="1:55" ht="22.5" customHeight="1">
      <c r="A22" s="699" t="s">
        <v>513</v>
      </c>
      <c r="B22" s="700">
        <v>68417.576114417345</v>
      </c>
      <c r="C22" s="700">
        <v>69653.631969699985</v>
      </c>
      <c r="D22" s="700">
        <v>70215.348591119095</v>
      </c>
      <c r="E22" s="700">
        <v>68338.963920090217</v>
      </c>
      <c r="F22" s="700">
        <v>70215.250846567549</v>
      </c>
      <c r="G22" s="700">
        <v>71274.171742057268</v>
      </c>
      <c r="H22" s="700">
        <v>64471.853299839051</v>
      </c>
      <c r="I22" s="700">
        <v>60661.93993289076</v>
      </c>
      <c r="J22" s="700">
        <v>62154.188763703103</v>
      </c>
      <c r="K22" s="700">
        <v>64297.935015412811</v>
      </c>
      <c r="L22" s="700">
        <v>62964.396630661162</v>
      </c>
      <c r="M22" s="700">
        <v>66798.141782746941</v>
      </c>
      <c r="N22" s="700">
        <v>66843.4212763182</v>
      </c>
      <c r="O22" s="700">
        <v>64714.829885364074</v>
      </c>
      <c r="P22" s="700">
        <v>64923.221281450686</v>
      </c>
      <c r="Q22" s="700">
        <v>64083.54788373335</v>
      </c>
      <c r="R22" s="700">
        <v>64808.801830606011</v>
      </c>
      <c r="S22" s="700">
        <v>67724.779263747987</v>
      </c>
      <c r="T22" s="700">
        <v>65041.300731756433</v>
      </c>
      <c r="U22" s="700">
        <v>67309.642340643681</v>
      </c>
      <c r="V22" s="700">
        <v>67613.559138661833</v>
      </c>
      <c r="W22" s="700">
        <v>66007.450705723328</v>
      </c>
      <c r="X22" s="700">
        <v>69174.68774187642</v>
      </c>
      <c r="Y22" s="700">
        <v>69409.104881614985</v>
      </c>
      <c r="Z22" s="700">
        <v>70398.977756641951</v>
      </c>
      <c r="AA22" s="700">
        <v>68945.312493441015</v>
      </c>
      <c r="AB22" s="700">
        <v>68951.221762668312</v>
      </c>
      <c r="AC22" s="700">
        <v>69926.762835496062</v>
      </c>
      <c r="AD22" s="700">
        <v>71122.489226837395</v>
      </c>
      <c r="AE22" s="700">
        <v>72242.56115368141</v>
      </c>
      <c r="AF22" s="700">
        <v>71290.812961026197</v>
      </c>
      <c r="AG22" s="700">
        <v>70857.429743249348</v>
      </c>
      <c r="AH22" s="700">
        <v>71447.475539043153</v>
      </c>
      <c r="AI22" s="701">
        <v>72952.083069411558</v>
      </c>
      <c r="AJ22" s="700">
        <v>74578.349415192075</v>
      </c>
      <c r="AK22" s="700">
        <v>74618.532625004475</v>
      </c>
      <c r="AL22" s="700">
        <v>71871.101379207234</v>
      </c>
      <c r="AM22" s="700">
        <v>72479.192117654864</v>
      </c>
      <c r="AN22" s="700">
        <v>73943.808174877224</v>
      </c>
      <c r="AO22" s="700">
        <v>73234.279247781014</v>
      </c>
      <c r="AP22" s="700">
        <v>72947.399607409403</v>
      </c>
      <c r="AQ22" s="702">
        <v>74107.709862834367</v>
      </c>
      <c r="AR22" s="700">
        <v>76824.334770920614</v>
      </c>
      <c r="AS22" s="700">
        <v>76247.366230465879</v>
      </c>
      <c r="AT22" s="700">
        <v>76056.609471451098</v>
      </c>
      <c r="AU22" s="700">
        <v>74268.542712026101</v>
      </c>
      <c r="AV22" s="700">
        <v>75843.457167872461</v>
      </c>
      <c r="AW22" s="700">
        <v>80380.278819563566</v>
      </c>
      <c r="AX22" s="700">
        <v>80986.327513685974</v>
      </c>
      <c r="AY22" s="700">
        <v>83205.206720997492</v>
      </c>
      <c r="AZ22" s="703">
        <v>80740.817193901355</v>
      </c>
      <c r="BA22" s="703">
        <v>83532.929309591753</v>
      </c>
      <c r="BB22" s="703">
        <v>84377.573074406901</v>
      </c>
      <c r="BC22" s="703">
        <v>84977.208322015504</v>
      </c>
    </row>
    <row r="23" spans="1:55" ht="22.5" customHeight="1">
      <c r="A23" s="699"/>
      <c r="B23" s="700"/>
      <c r="C23" s="700"/>
      <c r="D23" s="700"/>
      <c r="E23" s="700"/>
      <c r="F23" s="700"/>
      <c r="G23" s="700"/>
      <c r="H23" s="700"/>
      <c r="I23" s="700"/>
      <c r="J23" s="700"/>
      <c r="K23" s="700"/>
      <c r="L23" s="700"/>
      <c r="M23" s="700"/>
      <c r="N23" s="700"/>
      <c r="O23" s="700"/>
      <c r="P23" s="700"/>
      <c r="Q23" s="700"/>
      <c r="R23" s="700"/>
      <c r="S23" s="700"/>
      <c r="T23" s="700"/>
      <c r="U23" s="700"/>
      <c r="V23" s="700"/>
      <c r="W23" s="700"/>
      <c r="X23" s="700"/>
      <c r="Y23" s="700"/>
      <c r="Z23" s="700"/>
      <c r="AA23" s="700"/>
      <c r="AB23" s="700"/>
      <c r="AC23" s="700"/>
      <c r="AD23" s="700"/>
      <c r="AE23" s="700"/>
      <c r="AF23" s="700"/>
      <c r="AG23" s="700"/>
      <c r="AH23" s="700"/>
      <c r="AI23" s="701"/>
      <c r="AJ23" s="700"/>
      <c r="AK23" s="700"/>
      <c r="AL23" s="700"/>
      <c r="AM23" s="700"/>
      <c r="AN23" s="700"/>
      <c r="AO23" s="700"/>
      <c r="AP23" s="700"/>
      <c r="AQ23" s="702"/>
      <c r="AR23" s="700"/>
      <c r="AS23" s="700"/>
      <c r="AT23" s="700"/>
      <c r="AU23" s="700"/>
      <c r="AV23" s="700"/>
      <c r="AW23" s="700"/>
      <c r="AX23" s="700"/>
      <c r="AY23" s="700"/>
      <c r="AZ23" s="703"/>
      <c r="BA23" s="703"/>
      <c r="BB23" s="703"/>
      <c r="BC23" s="703"/>
    </row>
    <row r="24" spans="1:55" ht="22.5" customHeight="1">
      <c r="A24" s="699" t="s">
        <v>514</v>
      </c>
      <c r="B24" s="700">
        <v>86002.005008486682</v>
      </c>
      <c r="C24" s="700">
        <v>86430.334994463396</v>
      </c>
      <c r="D24" s="700">
        <v>87980.657385565777</v>
      </c>
      <c r="E24" s="700">
        <v>88701.149805639681</v>
      </c>
      <c r="F24" s="700">
        <v>89270.248456882007</v>
      </c>
      <c r="G24" s="700">
        <v>89154.323627973514</v>
      </c>
      <c r="H24" s="700">
        <v>90701.193436550544</v>
      </c>
      <c r="I24" s="700">
        <v>94966.115896958989</v>
      </c>
      <c r="J24" s="700">
        <v>96640.404973560464</v>
      </c>
      <c r="K24" s="700">
        <v>98032.756931829164</v>
      </c>
      <c r="L24" s="700">
        <v>97861.717844145649</v>
      </c>
      <c r="M24" s="700">
        <v>103724.85564967337</v>
      </c>
      <c r="N24" s="700">
        <v>104389.22207054911</v>
      </c>
      <c r="O24" s="700">
        <v>106664.57534290411</v>
      </c>
      <c r="P24" s="700">
        <v>107206.88138370164</v>
      </c>
      <c r="Q24" s="700">
        <v>108620.08748099591</v>
      </c>
      <c r="R24" s="700">
        <v>107655.14280378608</v>
      </c>
      <c r="S24" s="700">
        <v>108184.74986758425</v>
      </c>
      <c r="T24" s="700">
        <v>108733.92540058088</v>
      </c>
      <c r="U24" s="700">
        <v>109085.11095657838</v>
      </c>
      <c r="V24" s="700">
        <v>108846.39305074242</v>
      </c>
      <c r="W24" s="700">
        <v>109719.8377185056</v>
      </c>
      <c r="X24" s="700">
        <v>109948.1827041051</v>
      </c>
      <c r="Y24" s="700">
        <v>114277.70110134366</v>
      </c>
      <c r="Z24" s="700">
        <v>113985.53990418378</v>
      </c>
      <c r="AA24" s="700">
        <v>116610.20363369156</v>
      </c>
      <c r="AB24" s="700">
        <v>117693.25363014425</v>
      </c>
      <c r="AC24" s="700">
        <v>116060.31403665496</v>
      </c>
      <c r="AD24" s="700">
        <v>116163.6332307518</v>
      </c>
      <c r="AE24" s="700">
        <v>118175.51892211345</v>
      </c>
      <c r="AF24" s="700">
        <v>117894.59109897181</v>
      </c>
      <c r="AG24" s="700">
        <v>117293.51383782346</v>
      </c>
      <c r="AH24" s="700">
        <v>118335.53065373108</v>
      </c>
      <c r="AI24" s="701">
        <v>118419.04652726192</v>
      </c>
      <c r="AJ24" s="700">
        <v>120267.96107586552</v>
      </c>
      <c r="AK24" s="700">
        <v>123940.24706978291</v>
      </c>
      <c r="AL24" s="700">
        <v>125927.59113183178</v>
      </c>
      <c r="AM24" s="700">
        <v>127700.67489801101</v>
      </c>
      <c r="AN24" s="700">
        <v>130221.61249399875</v>
      </c>
      <c r="AO24" s="700">
        <v>129555.58381315233</v>
      </c>
      <c r="AP24" s="700">
        <v>130874.52793089766</v>
      </c>
      <c r="AQ24" s="702">
        <v>132412.54231621322</v>
      </c>
      <c r="AR24" s="700">
        <v>134150.43078186901</v>
      </c>
      <c r="AS24" s="700">
        <v>132965.69728082433</v>
      </c>
      <c r="AT24" s="700">
        <v>132891.3405092886</v>
      </c>
      <c r="AU24" s="700">
        <v>131916.76361065177</v>
      </c>
      <c r="AV24" s="700">
        <v>132916.41188870533</v>
      </c>
      <c r="AW24" s="700">
        <v>137028.58257943401</v>
      </c>
      <c r="AX24" s="700">
        <v>139536.17451725059</v>
      </c>
      <c r="AY24" s="700">
        <v>141374.11037787879</v>
      </c>
      <c r="AZ24" s="703">
        <v>143389.44134980321</v>
      </c>
      <c r="BA24" s="703">
        <v>143137.20575972123</v>
      </c>
      <c r="BB24" s="703">
        <v>143112.36780075575</v>
      </c>
      <c r="BC24" s="703">
        <v>145274.23009115169</v>
      </c>
    </row>
    <row r="25" spans="1:55" ht="22.5" customHeight="1">
      <c r="A25" s="699"/>
      <c r="B25" s="700"/>
      <c r="C25" s="700"/>
      <c r="D25" s="700"/>
      <c r="E25" s="700"/>
      <c r="F25" s="700"/>
      <c r="G25" s="700"/>
      <c r="H25" s="700"/>
      <c r="I25" s="700"/>
      <c r="J25" s="700"/>
      <c r="K25" s="700"/>
      <c r="L25" s="700"/>
      <c r="M25" s="700"/>
      <c r="N25" s="700"/>
      <c r="O25" s="700"/>
      <c r="P25" s="700"/>
      <c r="Q25" s="700"/>
      <c r="R25" s="700"/>
      <c r="S25" s="700"/>
      <c r="T25" s="700"/>
      <c r="U25" s="700"/>
      <c r="V25" s="700"/>
      <c r="W25" s="700"/>
      <c r="X25" s="700"/>
      <c r="Y25" s="700"/>
      <c r="Z25" s="700"/>
      <c r="AA25" s="700"/>
      <c r="AB25" s="700"/>
      <c r="AC25" s="700"/>
      <c r="AD25" s="700"/>
      <c r="AE25" s="700"/>
      <c r="AF25" s="700"/>
      <c r="AG25" s="700"/>
      <c r="AH25" s="700"/>
      <c r="AI25" s="701"/>
      <c r="AJ25" s="700"/>
      <c r="AK25" s="700"/>
      <c r="AL25" s="700"/>
      <c r="AM25" s="700"/>
      <c r="AN25" s="700"/>
      <c r="AO25" s="700"/>
      <c r="AP25" s="700"/>
      <c r="AQ25" s="702"/>
      <c r="AR25" s="700"/>
      <c r="AS25" s="700"/>
      <c r="AT25" s="700"/>
      <c r="AU25" s="700"/>
      <c r="AV25" s="700"/>
      <c r="AW25" s="700"/>
      <c r="AX25" s="700"/>
      <c r="AY25" s="700"/>
      <c r="AZ25" s="703"/>
      <c r="BA25" s="703"/>
      <c r="BB25" s="703"/>
      <c r="BC25" s="703"/>
    </row>
    <row r="26" spans="1:55" ht="22.5" customHeight="1">
      <c r="A26" s="699" t="s">
        <v>515</v>
      </c>
      <c r="B26" s="700">
        <v>108186.14460182063</v>
      </c>
      <c r="C26" s="700">
        <v>107871.64613230935</v>
      </c>
      <c r="D26" s="700">
        <v>106472.46624005419</v>
      </c>
      <c r="E26" s="700">
        <v>108063.35612843526</v>
      </c>
      <c r="F26" s="700">
        <v>109526.84877539893</v>
      </c>
      <c r="G26" s="700">
        <v>109237.11205135696</v>
      </c>
      <c r="H26" s="700">
        <v>109451.94414594011</v>
      </c>
      <c r="I26" s="700">
        <v>108901.9461516438</v>
      </c>
      <c r="J26" s="700">
        <v>106914.66391770453</v>
      </c>
      <c r="K26" s="700">
        <v>107100.24215791043</v>
      </c>
      <c r="L26" s="700">
        <v>109055.36053895146</v>
      </c>
      <c r="M26" s="700">
        <v>109207.81382407888</v>
      </c>
      <c r="N26" s="700">
        <v>107745.74287748217</v>
      </c>
      <c r="O26" s="700">
        <v>107599.41045783951</v>
      </c>
      <c r="P26" s="700">
        <v>106746.66606577481</v>
      </c>
      <c r="Q26" s="700">
        <v>106849.11315212832</v>
      </c>
      <c r="R26" s="700">
        <v>107417.14382677035</v>
      </c>
      <c r="S26" s="700">
        <v>110511.24299510724</v>
      </c>
      <c r="T26" s="700">
        <v>111052.85472120719</v>
      </c>
      <c r="U26" s="700">
        <v>111654.30310460235</v>
      </c>
      <c r="V26" s="700">
        <v>112467.72002936109</v>
      </c>
      <c r="W26" s="700">
        <v>113219.37896141577</v>
      </c>
      <c r="X26" s="700">
        <v>113547.22391566647</v>
      </c>
      <c r="Y26" s="700">
        <v>113435.48782537348</v>
      </c>
      <c r="Z26" s="700">
        <v>112461.82849679363</v>
      </c>
      <c r="AA26" s="700">
        <v>111714.22892767936</v>
      </c>
      <c r="AB26" s="700">
        <v>113270.70949100395</v>
      </c>
      <c r="AC26" s="700">
        <v>114177.36675103454</v>
      </c>
      <c r="AD26" s="700">
        <v>116075.87533956936</v>
      </c>
      <c r="AE26" s="700">
        <v>116355.8678889685</v>
      </c>
      <c r="AF26" s="700">
        <v>118325.33974725219</v>
      </c>
      <c r="AG26" s="700">
        <v>119849.00138286772</v>
      </c>
      <c r="AH26" s="700">
        <v>120208.58510439517</v>
      </c>
      <c r="AI26" s="701">
        <v>121769.56355380318</v>
      </c>
      <c r="AJ26" s="700">
        <v>120139.4397799687</v>
      </c>
      <c r="AK26" s="700">
        <v>122767.9044164784</v>
      </c>
      <c r="AL26" s="700">
        <v>119814.13086053214</v>
      </c>
      <c r="AM26" s="700">
        <v>121449.11197988532</v>
      </c>
      <c r="AN26" s="700">
        <v>119579.54509858412</v>
      </c>
      <c r="AO26" s="700">
        <v>119309.98499980234</v>
      </c>
      <c r="AP26" s="700">
        <v>118265.05726933386</v>
      </c>
      <c r="AQ26" s="702">
        <v>120054.85814749781</v>
      </c>
      <c r="AR26" s="700">
        <v>117254.17791251148</v>
      </c>
      <c r="AS26" s="700">
        <v>116932.01019127456</v>
      </c>
      <c r="AT26" s="700">
        <v>116847.83673386324</v>
      </c>
      <c r="AU26" s="700">
        <v>118991.40012527069</v>
      </c>
      <c r="AV26" s="700">
        <v>121061.1048357854</v>
      </c>
      <c r="AW26" s="700">
        <v>121486.63215333641</v>
      </c>
      <c r="AX26" s="700">
        <v>119293.63868033765</v>
      </c>
      <c r="AY26" s="700">
        <v>119523.34795476634</v>
      </c>
      <c r="AZ26" s="703">
        <v>122556.57036738006</v>
      </c>
      <c r="BA26" s="703">
        <v>121362.37180555731</v>
      </c>
      <c r="BB26" s="703">
        <v>121886.73219142022</v>
      </c>
      <c r="BC26" s="703">
        <v>123005.80985975852</v>
      </c>
    </row>
    <row r="27" spans="1:55" ht="22.5" customHeight="1">
      <c r="A27" s="710"/>
      <c r="B27" s="705"/>
      <c r="C27" s="705"/>
      <c r="D27" s="705"/>
      <c r="E27" s="705"/>
      <c r="F27" s="705"/>
      <c r="G27" s="705"/>
      <c r="H27" s="705"/>
      <c r="I27" s="705"/>
      <c r="J27" s="705"/>
      <c r="K27" s="705"/>
      <c r="L27" s="705"/>
      <c r="M27" s="705"/>
      <c r="N27" s="705"/>
      <c r="O27" s="705"/>
      <c r="P27" s="705"/>
      <c r="Q27" s="705"/>
      <c r="R27" s="705"/>
      <c r="S27" s="705"/>
      <c r="T27" s="705"/>
      <c r="U27" s="705"/>
      <c r="V27" s="705"/>
      <c r="W27" s="705"/>
      <c r="X27" s="705"/>
      <c r="Y27" s="705"/>
      <c r="Z27" s="705"/>
      <c r="AA27" s="705"/>
      <c r="AB27" s="705"/>
      <c r="AC27" s="705"/>
      <c r="AD27" s="705"/>
      <c r="AE27" s="705"/>
      <c r="AF27" s="705"/>
      <c r="AG27" s="705"/>
      <c r="AH27" s="705"/>
      <c r="AI27" s="706"/>
      <c r="AJ27" s="705"/>
      <c r="AK27" s="705"/>
      <c r="AL27" s="705"/>
      <c r="AM27" s="705"/>
      <c r="AN27" s="705"/>
      <c r="AO27" s="705"/>
      <c r="AP27" s="705"/>
      <c r="AQ27" s="707"/>
      <c r="AR27" s="705"/>
      <c r="AS27" s="705"/>
      <c r="AT27" s="705"/>
      <c r="AU27" s="705"/>
      <c r="AV27" s="705"/>
      <c r="AW27" s="705"/>
      <c r="AX27" s="705"/>
      <c r="AY27" s="705"/>
      <c r="AZ27" s="708"/>
      <c r="BA27" s="708"/>
      <c r="BB27" s="708"/>
      <c r="BC27" s="708"/>
    </row>
    <row r="28" spans="1:55" ht="22.5" customHeight="1">
      <c r="A28" s="699" t="s">
        <v>516</v>
      </c>
      <c r="B28" s="700">
        <v>783.64372534999995</v>
      </c>
      <c r="C28" s="700">
        <v>795.03426162999995</v>
      </c>
      <c r="D28" s="700">
        <v>806.36142286999996</v>
      </c>
      <c r="E28" s="700">
        <v>817.11920386999998</v>
      </c>
      <c r="F28" s="700">
        <v>829.69099342999993</v>
      </c>
      <c r="G28" s="700">
        <v>841.75958768999999</v>
      </c>
      <c r="H28" s="700">
        <v>841.34192214999996</v>
      </c>
      <c r="I28" s="700">
        <v>850.71337003999997</v>
      </c>
      <c r="J28" s="700">
        <v>860.90493549999997</v>
      </c>
      <c r="K28" s="700">
        <v>871.46817457999998</v>
      </c>
      <c r="L28" s="700">
        <v>882.04527718999998</v>
      </c>
      <c r="M28" s="700">
        <v>892.00809129999993</v>
      </c>
      <c r="N28" s="700">
        <v>903.91998392999994</v>
      </c>
      <c r="O28" s="700">
        <v>913.01940185000001</v>
      </c>
      <c r="P28" s="700">
        <v>921.02394779999986</v>
      </c>
      <c r="Q28" s="700">
        <v>929.69761501999994</v>
      </c>
      <c r="R28" s="700">
        <v>941.94318426999996</v>
      </c>
      <c r="S28" s="700">
        <v>951.54399999999998</v>
      </c>
      <c r="T28" s="700">
        <v>951.26087802999996</v>
      </c>
      <c r="U28" s="700">
        <v>960.51654224999993</v>
      </c>
      <c r="V28" s="700">
        <v>959.27091483000004</v>
      </c>
      <c r="W28" s="700">
        <v>968.69937096000001</v>
      </c>
      <c r="X28" s="700">
        <v>976.84763184999997</v>
      </c>
      <c r="Y28" s="700">
        <v>987.94876219000002</v>
      </c>
      <c r="Z28" s="700">
        <v>997.67433128999994</v>
      </c>
      <c r="AA28" s="700">
        <v>1008.33392694</v>
      </c>
      <c r="AB28" s="700">
        <v>1018.04001825</v>
      </c>
      <c r="AC28" s="700">
        <v>1027.9046779099999</v>
      </c>
      <c r="AD28" s="700">
        <v>1034.54105153</v>
      </c>
      <c r="AE28" s="700">
        <v>1046.3292143399999</v>
      </c>
      <c r="AF28" s="700">
        <v>1056.93696527</v>
      </c>
      <c r="AG28" s="700">
        <v>1068.1048831099999</v>
      </c>
      <c r="AH28" s="700">
        <v>1086.2447271099998</v>
      </c>
      <c r="AI28" s="701">
        <v>1094.8958103199998</v>
      </c>
      <c r="AJ28" s="700">
        <v>1103.7077119</v>
      </c>
      <c r="AK28" s="700">
        <v>1114.0039380399999</v>
      </c>
      <c r="AL28" s="700">
        <v>1126.4172563299999</v>
      </c>
      <c r="AM28" s="700">
        <v>1136.3494650599998</v>
      </c>
      <c r="AN28" s="700">
        <v>1148.6181616200001</v>
      </c>
      <c r="AO28" s="700">
        <v>1159.7702537600001</v>
      </c>
      <c r="AP28" s="700">
        <v>1170.5591787599999</v>
      </c>
      <c r="AQ28" s="702">
        <v>1181.90419982</v>
      </c>
      <c r="AR28" s="700">
        <v>1190.8741275899999</v>
      </c>
      <c r="AS28" s="700">
        <v>1201.6446606699999</v>
      </c>
      <c r="AT28" s="700">
        <v>1213.0932805299999</v>
      </c>
      <c r="AU28" s="700">
        <v>1224.16639169</v>
      </c>
      <c r="AV28" s="700">
        <v>1235.9602562800001</v>
      </c>
      <c r="AW28" s="700">
        <v>1250.3412743499998</v>
      </c>
      <c r="AX28" s="700">
        <v>1263.11193826</v>
      </c>
      <c r="AY28" s="700">
        <v>1275.6406891000001</v>
      </c>
      <c r="AZ28" s="703">
        <v>1286.59783924</v>
      </c>
      <c r="BA28" s="703">
        <v>1297.00956477</v>
      </c>
      <c r="BB28" s="703">
        <v>1309.7397866099998</v>
      </c>
      <c r="BC28" s="703">
        <v>1321.1902400800002</v>
      </c>
    </row>
    <row r="29" spans="1:55" ht="22.5" customHeight="1">
      <c r="A29" s="704"/>
      <c r="B29" s="705"/>
      <c r="C29" s="705"/>
      <c r="D29" s="705"/>
      <c r="E29" s="705"/>
      <c r="F29" s="705"/>
      <c r="G29" s="705"/>
      <c r="H29" s="705"/>
      <c r="I29" s="705"/>
      <c r="J29" s="705"/>
      <c r="K29" s="705"/>
      <c r="L29" s="705"/>
      <c r="M29" s="705"/>
      <c r="N29" s="705"/>
      <c r="O29" s="705"/>
      <c r="P29" s="705"/>
      <c r="Q29" s="705"/>
      <c r="R29" s="705"/>
      <c r="S29" s="705"/>
      <c r="T29" s="705"/>
      <c r="U29" s="705"/>
      <c r="V29" s="705"/>
      <c r="W29" s="705"/>
      <c r="X29" s="705"/>
      <c r="Y29" s="705"/>
      <c r="Z29" s="705"/>
      <c r="AA29" s="705"/>
      <c r="AB29" s="705"/>
      <c r="AC29" s="705"/>
      <c r="AD29" s="705"/>
      <c r="AE29" s="705"/>
      <c r="AF29" s="705"/>
      <c r="AG29" s="705"/>
      <c r="AH29" s="705"/>
      <c r="AI29" s="706"/>
      <c r="AJ29" s="705"/>
      <c r="AK29" s="705"/>
      <c r="AL29" s="705"/>
      <c r="AM29" s="705"/>
      <c r="AN29" s="705"/>
      <c r="AO29" s="705"/>
      <c r="AP29" s="705"/>
      <c r="AQ29" s="707"/>
      <c r="AR29" s="705"/>
      <c r="AS29" s="705"/>
      <c r="AT29" s="705"/>
      <c r="AU29" s="705"/>
      <c r="AV29" s="705"/>
      <c r="AW29" s="705"/>
      <c r="AX29" s="705"/>
      <c r="AY29" s="705"/>
      <c r="AZ29" s="708"/>
      <c r="BA29" s="708"/>
      <c r="BB29" s="708"/>
      <c r="BC29" s="708"/>
    </row>
    <row r="30" spans="1:55" ht="22.5" customHeight="1">
      <c r="A30" s="699" t="s">
        <v>517</v>
      </c>
      <c r="B30" s="700"/>
      <c r="C30" s="700"/>
      <c r="D30" s="700"/>
      <c r="E30" s="700"/>
      <c r="F30" s="700"/>
      <c r="G30" s="700"/>
      <c r="H30" s="700"/>
      <c r="I30" s="700"/>
      <c r="J30" s="700"/>
      <c r="K30" s="700"/>
      <c r="L30" s="700"/>
      <c r="M30" s="700"/>
      <c r="N30" s="700"/>
      <c r="O30" s="700"/>
      <c r="P30" s="700"/>
      <c r="Q30" s="700"/>
      <c r="R30" s="700"/>
      <c r="S30" s="700"/>
      <c r="T30" s="700"/>
      <c r="U30" s="700"/>
      <c r="V30" s="700"/>
      <c r="W30" s="700"/>
      <c r="X30" s="700"/>
      <c r="Y30" s="700"/>
      <c r="Z30" s="700"/>
      <c r="AA30" s="700"/>
      <c r="AB30" s="700"/>
      <c r="AC30" s="700"/>
      <c r="AD30" s="700"/>
      <c r="AE30" s="700"/>
      <c r="AF30" s="700"/>
      <c r="AG30" s="700"/>
      <c r="AH30" s="700"/>
      <c r="AI30" s="701"/>
      <c r="AJ30" s="700"/>
      <c r="AK30" s="700"/>
      <c r="AL30" s="700"/>
      <c r="AM30" s="700"/>
      <c r="AN30" s="700"/>
      <c r="AO30" s="700"/>
      <c r="AP30" s="700"/>
      <c r="AQ30" s="702"/>
      <c r="AR30" s="700"/>
      <c r="AS30" s="700"/>
      <c r="AT30" s="700"/>
      <c r="AU30" s="700"/>
      <c r="AV30" s="700"/>
      <c r="AW30" s="700"/>
      <c r="AX30" s="700"/>
      <c r="AY30" s="700"/>
      <c r="AZ30" s="703"/>
      <c r="BA30" s="703"/>
      <c r="BB30" s="703"/>
      <c r="BC30" s="703"/>
    </row>
    <row r="31" spans="1:55" ht="22.5" customHeight="1">
      <c r="A31" s="711" t="s">
        <v>518</v>
      </c>
      <c r="B31" s="700">
        <v>249360.69651986239</v>
      </c>
      <c r="C31" s="700">
        <v>251622.7170243435</v>
      </c>
      <c r="D31" s="700">
        <v>257215.39942037046</v>
      </c>
      <c r="E31" s="700">
        <v>240972.03568809986</v>
      </c>
      <c r="F31" s="700">
        <v>288254.52867823391</v>
      </c>
      <c r="G31" s="700">
        <v>283442.52268889075</v>
      </c>
      <c r="H31" s="700">
        <v>249839.02988721139</v>
      </c>
      <c r="I31" s="700">
        <v>274342.31773691805</v>
      </c>
      <c r="J31" s="700">
        <v>273779.93564134021</v>
      </c>
      <c r="K31" s="700">
        <v>272801.95000061835</v>
      </c>
      <c r="L31" s="700">
        <v>280387.78172803833</v>
      </c>
      <c r="M31" s="700">
        <v>285066.20083127124</v>
      </c>
      <c r="N31" s="700">
        <v>285888.7361757406</v>
      </c>
      <c r="O31" s="700">
        <v>282314.17421844183</v>
      </c>
      <c r="P31" s="700">
        <v>252067.54477551434</v>
      </c>
      <c r="Q31" s="700">
        <v>269744.23065324407</v>
      </c>
      <c r="R31" s="700">
        <v>262472.03593615501</v>
      </c>
      <c r="S31" s="700">
        <v>288101.32264357829</v>
      </c>
      <c r="T31" s="700">
        <v>276970.62324911181</v>
      </c>
      <c r="U31" s="700">
        <v>259096.97982526961</v>
      </c>
      <c r="V31" s="700">
        <v>263239.52009323618</v>
      </c>
      <c r="W31" s="700">
        <v>265845.06246742804</v>
      </c>
      <c r="X31" s="700">
        <v>316404.36635368416</v>
      </c>
      <c r="Y31" s="700">
        <v>258918.40932451026</v>
      </c>
      <c r="Z31" s="700">
        <v>232975.13791190481</v>
      </c>
      <c r="AA31" s="700">
        <v>237937.95141806465</v>
      </c>
      <c r="AB31" s="700">
        <v>285684.36288633069</v>
      </c>
      <c r="AC31" s="700">
        <v>285988.67051305622</v>
      </c>
      <c r="AD31" s="700">
        <v>302666.35092124564</v>
      </c>
      <c r="AE31" s="700">
        <v>237796.98005223632</v>
      </c>
      <c r="AF31" s="700">
        <v>265847.36200055724</v>
      </c>
      <c r="AG31" s="700">
        <v>226859.55689751479</v>
      </c>
      <c r="AH31" s="700">
        <v>250067.2693901007</v>
      </c>
      <c r="AI31" s="701">
        <v>267852.03612333984</v>
      </c>
      <c r="AJ31" s="700">
        <v>268085.52613238478</v>
      </c>
      <c r="AK31" s="700">
        <v>269984.1691173499</v>
      </c>
      <c r="AL31" s="700">
        <v>293403.84355044481</v>
      </c>
      <c r="AM31" s="700">
        <v>238330.56300423178</v>
      </c>
      <c r="AN31" s="700">
        <v>260311.57647663605</v>
      </c>
      <c r="AO31" s="700">
        <v>270455.5412878762</v>
      </c>
      <c r="AP31" s="700">
        <v>301423.00157699449</v>
      </c>
      <c r="AQ31" s="702">
        <v>257204.06170884101</v>
      </c>
      <c r="AR31" s="700">
        <v>276078.62263399689</v>
      </c>
      <c r="AS31" s="700">
        <v>260816.24722917966</v>
      </c>
      <c r="AT31" s="700">
        <v>252659.8037139785</v>
      </c>
      <c r="AU31" s="700">
        <v>249140.86970997555</v>
      </c>
      <c r="AV31" s="700">
        <v>253128.59896445659</v>
      </c>
      <c r="AW31" s="700">
        <v>273154.71810106433</v>
      </c>
      <c r="AX31" s="700">
        <v>241847.93123396079</v>
      </c>
      <c r="AY31" s="700">
        <v>243072.41931690247</v>
      </c>
      <c r="AZ31" s="703">
        <v>235637.38906148812</v>
      </c>
      <c r="BA31" s="703">
        <v>254346.87418876984</v>
      </c>
      <c r="BB31" s="703">
        <v>240795.00739479513</v>
      </c>
      <c r="BC31" s="703">
        <v>232605.36464353438</v>
      </c>
    </row>
    <row r="32" spans="1:55" ht="22.5" customHeight="1">
      <c r="A32" s="699"/>
      <c r="B32" s="700"/>
      <c r="C32" s="700"/>
      <c r="D32" s="700"/>
      <c r="E32" s="700"/>
      <c r="F32" s="700"/>
      <c r="G32" s="700"/>
      <c r="H32" s="700"/>
      <c r="I32" s="700"/>
      <c r="J32" s="700"/>
      <c r="K32" s="700"/>
      <c r="L32" s="700"/>
      <c r="M32" s="700"/>
      <c r="N32" s="700"/>
      <c r="O32" s="700"/>
      <c r="P32" s="700"/>
      <c r="Q32" s="700"/>
      <c r="R32" s="700"/>
      <c r="S32" s="700"/>
      <c r="T32" s="700"/>
      <c r="U32" s="700"/>
      <c r="V32" s="700"/>
      <c r="W32" s="700"/>
      <c r="X32" s="700"/>
      <c r="Y32" s="700"/>
      <c r="Z32" s="700"/>
      <c r="AA32" s="700"/>
      <c r="AB32" s="700"/>
      <c r="AC32" s="700"/>
      <c r="AD32" s="700"/>
      <c r="AE32" s="700"/>
      <c r="AF32" s="700"/>
      <c r="AG32" s="700"/>
      <c r="AH32" s="700"/>
      <c r="AI32" s="701"/>
      <c r="AJ32" s="700"/>
      <c r="AK32" s="700"/>
      <c r="AL32" s="700"/>
      <c r="AM32" s="700"/>
      <c r="AN32" s="700"/>
      <c r="AO32" s="700"/>
      <c r="AP32" s="700"/>
      <c r="AQ32" s="702"/>
      <c r="AR32" s="700"/>
      <c r="AS32" s="700"/>
      <c r="AT32" s="700"/>
      <c r="AU32" s="700"/>
      <c r="AV32" s="700"/>
      <c r="AW32" s="700"/>
      <c r="AX32" s="700"/>
      <c r="AY32" s="700"/>
      <c r="AZ32" s="703"/>
      <c r="BA32" s="703"/>
      <c r="BB32" s="703"/>
      <c r="BC32" s="703"/>
    </row>
    <row r="33" spans="1:55" ht="22.5" customHeight="1">
      <c r="A33" s="712"/>
      <c r="B33" s="705"/>
      <c r="C33" s="705"/>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5"/>
      <c r="AF33" s="705"/>
      <c r="AG33" s="705"/>
      <c r="AH33" s="705"/>
      <c r="AI33" s="706"/>
      <c r="AJ33" s="705"/>
      <c r="AK33" s="705"/>
      <c r="AL33" s="705"/>
      <c r="AM33" s="705"/>
      <c r="AN33" s="705"/>
      <c r="AO33" s="705"/>
      <c r="AP33" s="705"/>
      <c r="AQ33" s="707"/>
      <c r="AR33" s="705"/>
      <c r="AS33" s="705"/>
      <c r="AT33" s="705"/>
      <c r="AU33" s="705"/>
      <c r="AV33" s="705"/>
      <c r="AW33" s="705"/>
      <c r="AX33" s="705"/>
      <c r="AY33" s="705"/>
      <c r="AZ33" s="708"/>
      <c r="BA33" s="708"/>
      <c r="BB33" s="708"/>
      <c r="BC33" s="708"/>
    </row>
    <row r="34" spans="1:55" ht="22.5" customHeight="1">
      <c r="A34" s="699" t="s">
        <v>519</v>
      </c>
      <c r="B34" s="700">
        <v>779.8563754780231</v>
      </c>
      <c r="C34" s="700">
        <v>1306.3706472020708</v>
      </c>
      <c r="D34" s="700">
        <v>869.81856441823697</v>
      </c>
      <c r="E34" s="700">
        <v>905.77134001740285</v>
      </c>
      <c r="F34" s="700">
        <v>953.61912509870194</v>
      </c>
      <c r="G34" s="700">
        <v>905.59047324829282</v>
      </c>
      <c r="H34" s="700">
        <v>893.14782032191704</v>
      </c>
      <c r="I34" s="700">
        <v>886.28017686064481</v>
      </c>
      <c r="J34" s="700">
        <v>918.87860321704704</v>
      </c>
      <c r="K34" s="700">
        <v>960.71175483604384</v>
      </c>
      <c r="L34" s="700">
        <v>1029.7745460104779</v>
      </c>
      <c r="M34" s="700">
        <v>975.48743325026498</v>
      </c>
      <c r="N34" s="700">
        <v>1031.204026959666</v>
      </c>
      <c r="O34" s="700">
        <v>978.166643874898</v>
      </c>
      <c r="P34" s="700">
        <v>965.73138316948803</v>
      </c>
      <c r="Q34" s="700">
        <v>1075.015738483263</v>
      </c>
      <c r="R34" s="700">
        <v>922.63988792454199</v>
      </c>
      <c r="S34" s="700">
        <v>850.86400000000003</v>
      </c>
      <c r="T34" s="700">
        <v>788.9558609616289</v>
      </c>
      <c r="U34" s="700">
        <v>790.719423331896</v>
      </c>
      <c r="V34" s="700">
        <v>793.71809299350195</v>
      </c>
      <c r="W34" s="700">
        <v>954.91120817975002</v>
      </c>
      <c r="X34" s="700">
        <v>1214.5715763658072</v>
      </c>
      <c r="Y34" s="700">
        <v>1019.2733192047189</v>
      </c>
      <c r="Z34" s="700">
        <v>1086.111822120298</v>
      </c>
      <c r="AA34" s="700">
        <v>1082.1906095791599</v>
      </c>
      <c r="AB34" s="700">
        <v>1127.0450183855298</v>
      </c>
      <c r="AC34" s="700">
        <v>1032.7614692868167</v>
      </c>
      <c r="AD34" s="700">
        <v>989.92551787866694</v>
      </c>
      <c r="AE34" s="700">
        <v>1120.38707868651</v>
      </c>
      <c r="AF34" s="700">
        <v>979.2667800134459</v>
      </c>
      <c r="AG34" s="700">
        <v>1063.945033827616</v>
      </c>
      <c r="AH34" s="700">
        <v>1203.5788762601721</v>
      </c>
      <c r="AI34" s="701">
        <v>1240.2975364657088</v>
      </c>
      <c r="AJ34" s="700">
        <v>1027.1574170188649</v>
      </c>
      <c r="AK34" s="700">
        <v>878.796846807836</v>
      </c>
      <c r="AL34" s="700">
        <v>1192.2947044366099</v>
      </c>
      <c r="AM34" s="700">
        <v>1328.794689429548</v>
      </c>
      <c r="AN34" s="700">
        <v>987.77430103862844</v>
      </c>
      <c r="AO34" s="700">
        <v>963.23997870440735</v>
      </c>
      <c r="AP34" s="700">
        <v>1095.9881694846295</v>
      </c>
      <c r="AQ34" s="702">
        <v>1083.4216265967143</v>
      </c>
      <c r="AR34" s="700">
        <v>1134.9238888761838</v>
      </c>
      <c r="AS34" s="700">
        <v>4887.6047848808576</v>
      </c>
      <c r="AT34" s="700">
        <v>4867.060514409859</v>
      </c>
      <c r="AU34" s="700">
        <v>4805.9840402648806</v>
      </c>
      <c r="AV34" s="700">
        <v>4815.6010543365264</v>
      </c>
      <c r="AW34" s="700">
        <v>4573.4654754329376</v>
      </c>
      <c r="AX34" s="700">
        <v>4726.2561336399431</v>
      </c>
      <c r="AY34" s="700">
        <v>4635.9334007893376</v>
      </c>
      <c r="AZ34" s="703">
        <v>6152.3381018723958</v>
      </c>
      <c r="BA34" s="703">
        <v>6316.0841679209325</v>
      </c>
      <c r="BB34" s="703">
        <v>6774.3354044690504</v>
      </c>
      <c r="BC34" s="703">
        <v>7220.3972456638403</v>
      </c>
    </row>
    <row r="35" spans="1:55" ht="22.5" customHeight="1">
      <c r="A35" s="712"/>
      <c r="B35" s="705"/>
      <c r="C35" s="705"/>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5"/>
      <c r="AF35" s="705"/>
      <c r="AG35" s="705"/>
      <c r="AH35" s="705"/>
      <c r="AI35" s="706"/>
      <c r="AJ35" s="705"/>
      <c r="AK35" s="705"/>
      <c r="AL35" s="705"/>
      <c r="AM35" s="705"/>
      <c r="AN35" s="705"/>
      <c r="AO35" s="705"/>
      <c r="AP35" s="705"/>
      <c r="AQ35" s="707"/>
      <c r="AR35" s="705"/>
      <c r="AS35" s="705"/>
      <c r="AT35" s="705"/>
      <c r="AU35" s="705"/>
      <c r="AV35" s="705"/>
      <c r="AW35" s="705"/>
      <c r="AX35" s="705"/>
      <c r="AY35" s="705"/>
      <c r="AZ35" s="708"/>
      <c r="BA35" s="708"/>
      <c r="BB35" s="708"/>
      <c r="BC35" s="708"/>
    </row>
    <row r="36" spans="1:55" ht="22.5" customHeight="1">
      <c r="A36" s="699" t="s">
        <v>201</v>
      </c>
      <c r="B36" s="700">
        <v>954.40139647000001</v>
      </c>
      <c r="C36" s="700">
        <v>773.83237627999995</v>
      </c>
      <c r="D36" s="700">
        <v>832.74037261000001</v>
      </c>
      <c r="E36" s="700">
        <v>877.0711045999999</v>
      </c>
      <c r="F36" s="700">
        <v>912.78641126999992</v>
      </c>
      <c r="G36" s="700">
        <v>990.83616271999995</v>
      </c>
      <c r="H36" s="700">
        <v>1178.8645466399998</v>
      </c>
      <c r="I36" s="700">
        <v>1144.15429767</v>
      </c>
      <c r="J36" s="700">
        <v>935.40036557999997</v>
      </c>
      <c r="K36" s="700">
        <v>736.85754703999999</v>
      </c>
      <c r="L36" s="700">
        <v>890.49728249999998</v>
      </c>
      <c r="M36" s="700">
        <v>1197.75504847</v>
      </c>
      <c r="N36" s="700">
        <v>1098.23310578</v>
      </c>
      <c r="O36" s="700">
        <v>1073.3048325499999</v>
      </c>
      <c r="P36" s="700">
        <v>1154.3039894599997</v>
      </c>
      <c r="Q36" s="700">
        <v>1163.7714331699999</v>
      </c>
      <c r="R36" s="700">
        <v>1462.8666796499999</v>
      </c>
      <c r="S36" s="700">
        <v>1434.5940000000001</v>
      </c>
      <c r="T36" s="700">
        <v>1579.19917358</v>
      </c>
      <c r="U36" s="700">
        <v>1497.92577121</v>
      </c>
      <c r="V36" s="700">
        <v>1707.9922760499999</v>
      </c>
      <c r="W36" s="700">
        <v>1700.3897597799998</v>
      </c>
      <c r="X36" s="700">
        <v>1729.7772085899996</v>
      </c>
      <c r="Y36" s="700">
        <v>1762.5908422200002</v>
      </c>
      <c r="Z36" s="700">
        <v>1682.78710776</v>
      </c>
      <c r="AA36" s="700">
        <v>1713.32924157</v>
      </c>
      <c r="AB36" s="700">
        <v>1656.5536764200001</v>
      </c>
      <c r="AC36" s="700">
        <v>1632.2673410399998</v>
      </c>
      <c r="AD36" s="700">
        <v>1685.5414563100001</v>
      </c>
      <c r="AE36" s="700">
        <v>1851.5900833599997</v>
      </c>
      <c r="AF36" s="700">
        <v>1868.84614268</v>
      </c>
      <c r="AG36" s="700">
        <v>1748.8815379</v>
      </c>
      <c r="AH36" s="700">
        <v>1722.18598217</v>
      </c>
      <c r="AI36" s="701">
        <v>1714.25887257</v>
      </c>
      <c r="AJ36" s="700">
        <v>2049.9443790199998</v>
      </c>
      <c r="AK36" s="700">
        <v>2023.3571086500001</v>
      </c>
      <c r="AL36" s="700">
        <v>2043.31956182</v>
      </c>
      <c r="AM36" s="700">
        <v>2002.55015974</v>
      </c>
      <c r="AN36" s="700">
        <v>2078.8768424</v>
      </c>
      <c r="AO36" s="700">
        <v>2122.2261027499999</v>
      </c>
      <c r="AP36" s="700">
        <v>2003.80352659</v>
      </c>
      <c r="AQ36" s="702">
        <v>2339.1142400200001</v>
      </c>
      <c r="AR36" s="700">
        <v>2357.4444714199999</v>
      </c>
      <c r="AS36" s="700">
        <v>2598.09075153</v>
      </c>
      <c r="AT36" s="700">
        <v>3525.4559250552802</v>
      </c>
      <c r="AU36" s="700">
        <v>3753.9238259589997</v>
      </c>
      <c r="AV36" s="700">
        <v>3807.8426272781999</v>
      </c>
      <c r="AW36" s="700">
        <v>4047.3651736438596</v>
      </c>
      <c r="AX36" s="700">
        <v>4084.9571735700001</v>
      </c>
      <c r="AY36" s="700">
        <v>4097.551853063861</v>
      </c>
      <c r="AZ36" s="703">
        <v>4224.5270528158399</v>
      </c>
      <c r="BA36" s="703">
        <v>4476.8457098246809</v>
      </c>
      <c r="BB36" s="703">
        <v>4638.9772561358905</v>
      </c>
      <c r="BC36" s="703">
        <v>4251.5199626081203</v>
      </c>
    </row>
    <row r="37" spans="1:55" ht="22.5" customHeight="1">
      <c r="A37" s="712"/>
      <c r="B37" s="705"/>
      <c r="C37" s="705"/>
      <c r="D37" s="705"/>
      <c r="E37" s="705"/>
      <c r="F37" s="705"/>
      <c r="G37" s="705"/>
      <c r="H37" s="705"/>
      <c r="I37" s="705"/>
      <c r="J37" s="705"/>
      <c r="K37" s="705"/>
      <c r="L37" s="705"/>
      <c r="M37" s="705"/>
      <c r="N37" s="705"/>
      <c r="O37" s="705"/>
      <c r="P37" s="705"/>
      <c r="Q37" s="705"/>
      <c r="R37" s="705"/>
      <c r="S37" s="705"/>
      <c r="T37" s="705"/>
      <c r="U37" s="705"/>
      <c r="V37" s="705"/>
      <c r="W37" s="705"/>
      <c r="X37" s="705"/>
      <c r="Y37" s="705"/>
      <c r="Z37" s="705"/>
      <c r="AA37" s="705"/>
      <c r="AB37" s="705"/>
      <c r="AC37" s="705"/>
      <c r="AD37" s="705"/>
      <c r="AE37" s="705"/>
      <c r="AF37" s="705"/>
      <c r="AG37" s="705"/>
      <c r="AH37" s="705"/>
      <c r="AI37" s="706"/>
      <c r="AJ37" s="705"/>
      <c r="AK37" s="705"/>
      <c r="AL37" s="705"/>
      <c r="AM37" s="705"/>
      <c r="AN37" s="705"/>
      <c r="AO37" s="705"/>
      <c r="AP37" s="705"/>
      <c r="AQ37" s="707"/>
      <c r="AR37" s="705"/>
      <c r="AS37" s="705"/>
      <c r="AT37" s="705"/>
      <c r="AU37" s="705"/>
      <c r="AV37" s="705"/>
      <c r="AW37" s="705"/>
      <c r="AX37" s="705"/>
      <c r="AY37" s="705"/>
      <c r="AZ37" s="708"/>
      <c r="BA37" s="708"/>
      <c r="BB37" s="708"/>
      <c r="BC37" s="708"/>
    </row>
    <row r="38" spans="1:55" ht="22.5" customHeight="1">
      <c r="A38" s="699" t="s">
        <v>423</v>
      </c>
      <c r="B38" s="700">
        <v>8004.9418573799994</v>
      </c>
      <c r="C38" s="700">
        <v>6345.2660890399993</v>
      </c>
      <c r="D38" s="700">
        <v>7274.3973694999995</v>
      </c>
      <c r="E38" s="700">
        <v>7471.1022488100007</v>
      </c>
      <c r="F38" s="700">
        <v>12450.12102138</v>
      </c>
      <c r="G38" s="700">
        <v>13043.306204839999</v>
      </c>
      <c r="H38" s="700">
        <v>13172.8547151776</v>
      </c>
      <c r="I38" s="700">
        <v>14515.80547266</v>
      </c>
      <c r="J38" s="700">
        <v>13240.189651499</v>
      </c>
      <c r="K38" s="700">
        <v>13236.251026315998</v>
      </c>
      <c r="L38" s="700">
        <v>13317.192274773599</v>
      </c>
      <c r="M38" s="700">
        <v>9501.1873320228879</v>
      </c>
      <c r="N38" s="700">
        <v>10357.0032780292</v>
      </c>
      <c r="O38" s="700">
        <v>11055.461459829201</v>
      </c>
      <c r="P38" s="700">
        <v>11127.2517693058</v>
      </c>
      <c r="Q38" s="700">
        <v>12865.488681405699</v>
      </c>
      <c r="R38" s="700">
        <v>12319.008321619429</v>
      </c>
      <c r="S38" s="700">
        <v>12482.525</v>
      </c>
      <c r="T38" s="700">
        <v>14247.6379276189</v>
      </c>
      <c r="U38" s="700">
        <v>14089.231251202</v>
      </c>
      <c r="V38" s="700">
        <v>16530.263901124497</v>
      </c>
      <c r="W38" s="700">
        <v>20328.644211066796</v>
      </c>
      <c r="X38" s="700">
        <v>17594.954029616001</v>
      </c>
      <c r="Y38" s="700">
        <v>17280.523779515599</v>
      </c>
      <c r="Z38" s="700">
        <v>17821.451958536396</v>
      </c>
      <c r="AA38" s="700">
        <v>18147.069136084898</v>
      </c>
      <c r="AB38" s="700">
        <v>17882.999953672599</v>
      </c>
      <c r="AC38" s="700">
        <v>20587.424013521402</v>
      </c>
      <c r="AD38" s="700">
        <v>24441.2549489757</v>
      </c>
      <c r="AE38" s="700">
        <v>27500.8282418255</v>
      </c>
      <c r="AF38" s="700">
        <v>31205.986672913001</v>
      </c>
      <c r="AG38" s="700">
        <v>29918.687292360497</v>
      </c>
      <c r="AH38" s="700">
        <v>30731.6072824232</v>
      </c>
      <c r="AI38" s="701">
        <v>31935.307121929403</v>
      </c>
      <c r="AJ38" s="700">
        <v>31548.632029781798</v>
      </c>
      <c r="AK38" s="700">
        <v>33922.982514620904</v>
      </c>
      <c r="AL38" s="700">
        <v>37130.725390234526</v>
      </c>
      <c r="AM38" s="700">
        <v>40196.987263964569</v>
      </c>
      <c r="AN38" s="700">
        <v>36119.447936337179</v>
      </c>
      <c r="AO38" s="700">
        <v>39442.185711229904</v>
      </c>
      <c r="AP38" s="700">
        <v>37721.251117337226</v>
      </c>
      <c r="AQ38" s="702">
        <v>31613.741695206623</v>
      </c>
      <c r="AR38" s="700">
        <v>37412.899783422552</v>
      </c>
      <c r="AS38" s="700">
        <v>54416.710918332916</v>
      </c>
      <c r="AT38" s="700">
        <v>56432.192213846894</v>
      </c>
      <c r="AU38" s="700">
        <v>50440.246592234478</v>
      </c>
      <c r="AV38" s="700">
        <v>48881.789015601302</v>
      </c>
      <c r="AW38" s="700">
        <v>48880.560964746386</v>
      </c>
      <c r="AX38" s="700">
        <v>39948.766296267277</v>
      </c>
      <c r="AY38" s="700">
        <v>38593.980605309778</v>
      </c>
      <c r="AZ38" s="703">
        <v>40498.299068308806</v>
      </c>
      <c r="BA38" s="703">
        <v>41178.206022089078</v>
      </c>
      <c r="BB38" s="703">
        <v>33805.521873733574</v>
      </c>
      <c r="BC38" s="703">
        <v>29398.686670884017</v>
      </c>
    </row>
    <row r="39" spans="1:55" ht="22.5" customHeight="1">
      <c r="A39" s="699"/>
      <c r="B39" s="700"/>
      <c r="C39" s="700"/>
      <c r="D39" s="700"/>
      <c r="E39" s="700"/>
      <c r="F39" s="700"/>
      <c r="G39" s="700"/>
      <c r="H39" s="700"/>
      <c r="I39" s="700"/>
      <c r="J39" s="700"/>
      <c r="K39" s="700"/>
      <c r="L39" s="700"/>
      <c r="M39" s="700"/>
      <c r="N39" s="700"/>
      <c r="O39" s="700"/>
      <c r="P39" s="700"/>
      <c r="Q39" s="700"/>
      <c r="R39" s="700"/>
      <c r="S39" s="700"/>
      <c r="T39" s="700"/>
      <c r="U39" s="700"/>
      <c r="V39" s="700"/>
      <c r="W39" s="700"/>
      <c r="X39" s="700"/>
      <c r="Y39" s="700"/>
      <c r="Z39" s="700"/>
      <c r="AA39" s="700"/>
      <c r="AB39" s="700"/>
      <c r="AC39" s="700"/>
      <c r="AD39" s="700"/>
      <c r="AE39" s="700"/>
      <c r="AF39" s="700"/>
      <c r="AG39" s="700"/>
      <c r="AH39" s="700"/>
      <c r="AI39" s="701"/>
      <c r="AJ39" s="700"/>
      <c r="AK39" s="700"/>
      <c r="AL39" s="700"/>
      <c r="AM39" s="700"/>
      <c r="AN39" s="700"/>
      <c r="AO39" s="700"/>
      <c r="AP39" s="700"/>
      <c r="AQ39" s="702"/>
      <c r="AR39" s="700"/>
      <c r="AS39" s="700"/>
      <c r="AT39" s="700"/>
      <c r="AU39" s="700"/>
      <c r="AV39" s="700"/>
      <c r="AW39" s="700"/>
      <c r="AX39" s="700"/>
      <c r="AY39" s="700"/>
      <c r="AZ39" s="703"/>
      <c r="BA39" s="703"/>
      <c r="BB39" s="703"/>
      <c r="BC39" s="703"/>
    </row>
    <row r="40" spans="1:55" ht="22.5" customHeight="1">
      <c r="A40" s="699" t="s">
        <v>421</v>
      </c>
      <c r="B40" s="700">
        <v>0</v>
      </c>
      <c r="C40" s="700">
        <v>0</v>
      </c>
      <c r="D40" s="700">
        <v>0</v>
      </c>
      <c r="E40" s="700">
        <v>0</v>
      </c>
      <c r="F40" s="700">
        <v>0</v>
      </c>
      <c r="G40" s="700">
        <v>0</v>
      </c>
      <c r="H40" s="700">
        <v>0</v>
      </c>
      <c r="I40" s="700">
        <v>0</v>
      </c>
      <c r="J40" s="700">
        <v>0</v>
      </c>
      <c r="K40" s="700">
        <v>0</v>
      </c>
      <c r="L40" s="700">
        <v>0</v>
      </c>
      <c r="M40" s="700">
        <v>0</v>
      </c>
      <c r="N40" s="700">
        <v>0</v>
      </c>
      <c r="O40" s="700">
        <v>0</v>
      </c>
      <c r="P40" s="700">
        <v>0</v>
      </c>
      <c r="Q40" s="700">
        <v>0</v>
      </c>
      <c r="R40" s="700">
        <v>0</v>
      </c>
      <c r="S40" s="700">
        <v>0</v>
      </c>
      <c r="T40" s="700">
        <v>0</v>
      </c>
      <c r="U40" s="700">
        <v>0</v>
      </c>
      <c r="V40" s="700">
        <v>0</v>
      </c>
      <c r="W40" s="700">
        <v>0</v>
      </c>
      <c r="X40" s="700">
        <v>0</v>
      </c>
      <c r="Y40" s="700">
        <v>0</v>
      </c>
      <c r="Z40" s="700">
        <v>0</v>
      </c>
      <c r="AA40" s="700">
        <v>0</v>
      </c>
      <c r="AB40" s="700">
        <v>0</v>
      </c>
      <c r="AC40" s="700">
        <v>0</v>
      </c>
      <c r="AD40" s="700">
        <v>0</v>
      </c>
      <c r="AE40" s="700">
        <v>0</v>
      </c>
      <c r="AF40" s="700">
        <v>0</v>
      </c>
      <c r="AG40" s="700">
        <v>0</v>
      </c>
      <c r="AH40" s="700">
        <v>0</v>
      </c>
      <c r="AI40" s="701">
        <v>0</v>
      </c>
      <c r="AJ40" s="700">
        <v>0</v>
      </c>
      <c r="AK40" s="700">
        <v>0</v>
      </c>
      <c r="AL40" s="700">
        <v>0</v>
      </c>
      <c r="AM40" s="700">
        <v>0</v>
      </c>
      <c r="AN40" s="700">
        <v>0</v>
      </c>
      <c r="AO40" s="700">
        <v>0</v>
      </c>
      <c r="AP40" s="700">
        <v>0</v>
      </c>
      <c r="AQ40" s="702">
        <v>0</v>
      </c>
      <c r="AR40" s="700">
        <v>0</v>
      </c>
      <c r="AS40" s="700">
        <v>0</v>
      </c>
      <c r="AT40" s="700">
        <v>0</v>
      </c>
      <c r="AU40" s="700">
        <v>0</v>
      </c>
      <c r="AV40" s="700">
        <v>0</v>
      </c>
      <c r="AW40" s="700">
        <v>0</v>
      </c>
      <c r="AX40" s="700">
        <v>0</v>
      </c>
      <c r="AY40" s="700">
        <v>0</v>
      </c>
      <c r="AZ40" s="703">
        <v>0</v>
      </c>
      <c r="BA40" s="703">
        <v>0</v>
      </c>
      <c r="BB40" s="703">
        <v>0</v>
      </c>
      <c r="BC40" s="703">
        <v>0</v>
      </c>
    </row>
    <row r="41" spans="1:55" ht="22.5" customHeight="1">
      <c r="A41" s="712"/>
      <c r="B41" s="705"/>
      <c r="C41" s="705"/>
      <c r="D41" s="705"/>
      <c r="E41" s="705"/>
      <c r="F41" s="705"/>
      <c r="G41" s="705"/>
      <c r="H41" s="705"/>
      <c r="I41" s="705"/>
      <c r="J41" s="705"/>
      <c r="K41" s="705"/>
      <c r="L41" s="705"/>
      <c r="M41" s="705"/>
      <c r="N41" s="705"/>
      <c r="O41" s="705"/>
      <c r="P41" s="705"/>
      <c r="Q41" s="705"/>
      <c r="R41" s="705"/>
      <c r="S41" s="705"/>
      <c r="T41" s="705"/>
      <c r="U41" s="705"/>
      <c r="V41" s="705"/>
      <c r="W41" s="705"/>
      <c r="X41" s="705"/>
      <c r="Y41" s="705"/>
      <c r="Z41" s="705"/>
      <c r="AA41" s="705"/>
      <c r="AB41" s="705"/>
      <c r="AC41" s="705"/>
      <c r="AD41" s="705"/>
      <c r="AE41" s="705"/>
      <c r="AF41" s="705"/>
      <c r="AG41" s="705"/>
      <c r="AH41" s="705"/>
      <c r="AI41" s="706"/>
      <c r="AJ41" s="705"/>
      <c r="AK41" s="705"/>
      <c r="AL41" s="705"/>
      <c r="AM41" s="705"/>
      <c r="AN41" s="705"/>
      <c r="AO41" s="705"/>
      <c r="AP41" s="705"/>
      <c r="AQ41" s="707"/>
      <c r="AR41" s="705"/>
      <c r="AS41" s="705"/>
      <c r="AT41" s="705"/>
      <c r="AU41" s="705"/>
      <c r="AV41" s="705"/>
      <c r="AW41" s="705"/>
      <c r="AX41" s="705"/>
      <c r="AY41" s="705"/>
      <c r="AZ41" s="708"/>
      <c r="BA41" s="708"/>
      <c r="BB41" s="708"/>
      <c r="BC41" s="708"/>
    </row>
    <row r="42" spans="1:55" ht="22.5" customHeight="1">
      <c r="A42" s="699" t="s">
        <v>419</v>
      </c>
      <c r="B42" s="700">
        <v>71967.09499391506</v>
      </c>
      <c r="C42" s="700">
        <v>73271.353804589889</v>
      </c>
      <c r="D42" s="700">
        <v>73849.64023806437</v>
      </c>
      <c r="E42" s="700">
        <v>73862.058317793577</v>
      </c>
      <c r="F42" s="700">
        <v>77052.783139840336</v>
      </c>
      <c r="G42" s="700">
        <v>79057.57761715159</v>
      </c>
      <c r="H42" s="700">
        <v>77330.420374281079</v>
      </c>
      <c r="I42" s="700">
        <v>78550.015576745995</v>
      </c>
      <c r="J42" s="700">
        <v>78280.792370200536</v>
      </c>
      <c r="K42" s="700">
        <v>79300.37753948255</v>
      </c>
      <c r="L42" s="700">
        <v>84473.648619102561</v>
      </c>
      <c r="M42" s="700">
        <v>85038.856916136458</v>
      </c>
      <c r="N42" s="700">
        <v>85694.832314834028</v>
      </c>
      <c r="O42" s="700">
        <v>86701.463298792325</v>
      </c>
      <c r="P42" s="700">
        <v>87084.157034179283</v>
      </c>
      <c r="Q42" s="700">
        <v>87096.461957007064</v>
      </c>
      <c r="R42" s="700">
        <v>87336.869322237821</v>
      </c>
      <c r="S42" s="700">
        <v>89036.786999999982</v>
      </c>
      <c r="T42" s="700">
        <v>89235.765023424581</v>
      </c>
      <c r="U42" s="700">
        <v>89112.41465844195</v>
      </c>
      <c r="V42" s="700">
        <v>92001.030889734771</v>
      </c>
      <c r="W42" s="700">
        <v>92823.985168123545</v>
      </c>
      <c r="X42" s="700">
        <v>94911.198696198597</v>
      </c>
      <c r="Y42" s="700">
        <v>92655.583889346017</v>
      </c>
      <c r="Z42" s="700">
        <v>93387.414470685457</v>
      </c>
      <c r="AA42" s="700">
        <v>94311.266267564599</v>
      </c>
      <c r="AB42" s="700">
        <v>96065.613651277527</v>
      </c>
      <c r="AC42" s="700">
        <v>96868.179552567439</v>
      </c>
      <c r="AD42" s="700">
        <v>99970.689341133475</v>
      </c>
      <c r="AE42" s="700">
        <v>102143.89963464859</v>
      </c>
      <c r="AF42" s="700">
        <v>102986.73584132361</v>
      </c>
      <c r="AG42" s="700">
        <v>103873.18199425921</v>
      </c>
      <c r="AH42" s="700">
        <v>104115.39616690503</v>
      </c>
      <c r="AI42" s="701">
        <v>105223.37593117298</v>
      </c>
      <c r="AJ42" s="700">
        <v>106183.29106794487</v>
      </c>
      <c r="AK42" s="700">
        <v>109157.30970641968</v>
      </c>
      <c r="AL42" s="700">
        <v>110133.521328831</v>
      </c>
      <c r="AM42" s="700">
        <v>112697.26542386686</v>
      </c>
      <c r="AN42" s="700">
        <v>114456.85917704881</v>
      </c>
      <c r="AO42" s="700">
        <v>115438.38624675125</v>
      </c>
      <c r="AP42" s="700">
        <v>114636.22307468321</v>
      </c>
      <c r="AQ42" s="702">
        <v>115780.45646126536</v>
      </c>
      <c r="AR42" s="700">
        <v>116798.62575181547</v>
      </c>
      <c r="AS42" s="700">
        <v>116718.37460353736</v>
      </c>
      <c r="AT42" s="700">
        <v>115290.87593457245</v>
      </c>
      <c r="AU42" s="700">
        <v>115816.73350059977</v>
      </c>
      <c r="AV42" s="700">
        <v>116900.34417156519</v>
      </c>
      <c r="AW42" s="700">
        <v>116443.72988501664</v>
      </c>
      <c r="AX42" s="700">
        <v>117713.06556413938</v>
      </c>
      <c r="AY42" s="700">
        <v>119477.91572915741</v>
      </c>
      <c r="AZ42" s="703">
        <v>120389.23542704701</v>
      </c>
      <c r="BA42" s="703">
        <v>121335.877731753</v>
      </c>
      <c r="BB42" s="703">
        <v>122443.84253953373</v>
      </c>
      <c r="BC42" s="703">
        <v>122754.56765158189</v>
      </c>
    </row>
    <row r="43" spans="1:55" ht="22.5" customHeight="1">
      <c r="A43" s="704"/>
      <c r="B43" s="705"/>
      <c r="C43" s="705"/>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5"/>
      <c r="AF43" s="705"/>
      <c r="AG43" s="705"/>
      <c r="AH43" s="705"/>
      <c r="AI43" s="706"/>
      <c r="AJ43" s="705"/>
      <c r="AK43" s="705"/>
      <c r="AL43" s="705"/>
      <c r="AM43" s="705"/>
      <c r="AN43" s="705"/>
      <c r="AO43" s="705"/>
      <c r="AP43" s="705"/>
      <c r="AQ43" s="707"/>
      <c r="AR43" s="705"/>
      <c r="AS43" s="705"/>
      <c r="AT43" s="705"/>
      <c r="AU43" s="705"/>
      <c r="AV43" s="705"/>
      <c r="AW43" s="705"/>
      <c r="AX43" s="705"/>
      <c r="AY43" s="705"/>
      <c r="AZ43" s="708"/>
      <c r="BA43" s="708"/>
      <c r="BB43" s="708"/>
      <c r="BC43" s="708"/>
    </row>
    <row r="44" spans="1:55" ht="22.5" customHeight="1">
      <c r="A44" s="699" t="s">
        <v>496</v>
      </c>
      <c r="B44" s="700">
        <v>5581.7712577664606</v>
      </c>
      <c r="C44" s="700">
        <v>7349.7123653095168</v>
      </c>
      <c r="D44" s="700">
        <v>6090.4550390823679</v>
      </c>
      <c r="E44" s="700">
        <v>6342.5532362396898</v>
      </c>
      <c r="F44" s="700">
        <v>6571.8599122411506</v>
      </c>
      <c r="G44" s="700">
        <v>5614.203526141453</v>
      </c>
      <c r="H44" s="700">
        <v>4717.0988415455067</v>
      </c>
      <c r="I44" s="700">
        <v>5052.6886590529721</v>
      </c>
      <c r="J44" s="700">
        <v>3809.7946721767003</v>
      </c>
      <c r="K44" s="700">
        <v>5008.5135263069751</v>
      </c>
      <c r="L44" s="700">
        <v>3668.1493908827251</v>
      </c>
      <c r="M44" s="700">
        <v>2401.1339812109291</v>
      </c>
      <c r="N44" s="700">
        <v>5241.8806941717303</v>
      </c>
      <c r="O44" s="700">
        <v>4344.6170981780451</v>
      </c>
      <c r="P44" s="700">
        <v>3410.7049704305682</v>
      </c>
      <c r="Q44" s="700">
        <v>3294.0737302186244</v>
      </c>
      <c r="R44" s="700">
        <v>3010.5630233639567</v>
      </c>
      <c r="S44" s="700">
        <v>2516.7033064554053</v>
      </c>
      <c r="T44" s="700">
        <v>2495.977819549611</v>
      </c>
      <c r="U44" s="700">
        <v>3250.1924065643507</v>
      </c>
      <c r="V44" s="700">
        <v>2271.2828734367395</v>
      </c>
      <c r="W44" s="700">
        <v>2802.2922956597322</v>
      </c>
      <c r="X44" s="700">
        <v>2928.8344544064785</v>
      </c>
      <c r="Y44" s="700">
        <v>2085.2406866995916</v>
      </c>
      <c r="Z44" s="700">
        <v>1743.1726232611036</v>
      </c>
      <c r="AA44" s="700">
        <v>3000.4939441840688</v>
      </c>
      <c r="AB44" s="700">
        <v>3384.5776468462318</v>
      </c>
      <c r="AC44" s="700">
        <v>4229.0839280067703</v>
      </c>
      <c r="AD44" s="700">
        <v>4239.932745127011</v>
      </c>
      <c r="AE44" s="700">
        <v>4821.2281403044799</v>
      </c>
      <c r="AF44" s="700">
        <v>4776.5675367843505</v>
      </c>
      <c r="AG44" s="700">
        <v>5064.2456663633056</v>
      </c>
      <c r="AH44" s="700">
        <v>6698.7686477010793</v>
      </c>
      <c r="AI44" s="701">
        <v>7334.9291003506769</v>
      </c>
      <c r="AJ44" s="700">
        <v>7123.602673258807</v>
      </c>
      <c r="AK44" s="700">
        <v>5973.5201074144206</v>
      </c>
      <c r="AL44" s="700">
        <v>5819.9302087925425</v>
      </c>
      <c r="AM44" s="700">
        <v>7285.6795270723705</v>
      </c>
      <c r="AN44" s="700">
        <v>6950.3912453140183</v>
      </c>
      <c r="AO44" s="700">
        <v>7539.0942966114817</v>
      </c>
      <c r="AP44" s="700">
        <v>8005.7384057500822</v>
      </c>
      <c r="AQ44" s="702">
        <v>9389.5788192721811</v>
      </c>
      <c r="AR44" s="700">
        <v>10450.735097531222</v>
      </c>
      <c r="AS44" s="700">
        <v>10853.647274648676</v>
      </c>
      <c r="AT44" s="700">
        <v>15025.069182617273</v>
      </c>
      <c r="AU44" s="700">
        <v>9891.0828833623236</v>
      </c>
      <c r="AV44" s="700">
        <v>11398.860126135882</v>
      </c>
      <c r="AW44" s="700">
        <v>11496.356383038172</v>
      </c>
      <c r="AX44" s="700">
        <v>10647.635209540691</v>
      </c>
      <c r="AY44" s="700">
        <v>10304.102440491606</v>
      </c>
      <c r="AZ44" s="703">
        <v>10141.098932393797</v>
      </c>
      <c r="BA44" s="703">
        <v>11092.654088857191</v>
      </c>
      <c r="BB44" s="703">
        <v>12388.991799637617</v>
      </c>
      <c r="BC44" s="703">
        <v>12053.293241865951</v>
      </c>
    </row>
    <row r="45" spans="1:55" ht="18.600000000000001" customHeight="1" thickBot="1">
      <c r="A45" s="713"/>
      <c r="B45" s="714"/>
      <c r="C45" s="714"/>
      <c r="D45" s="714"/>
      <c r="E45" s="714"/>
      <c r="F45" s="714"/>
      <c r="G45" s="714"/>
      <c r="H45" s="714"/>
      <c r="I45" s="714"/>
      <c r="J45" s="714"/>
      <c r="K45" s="714"/>
      <c r="L45" s="714"/>
      <c r="M45" s="714"/>
      <c r="N45" s="714"/>
      <c r="O45" s="714"/>
      <c r="P45" s="714"/>
      <c r="Q45" s="714"/>
      <c r="R45" s="714"/>
      <c r="S45" s="714"/>
      <c r="T45" s="714"/>
      <c r="U45" s="714"/>
      <c r="V45" s="714"/>
      <c r="W45" s="714"/>
      <c r="X45" s="714"/>
      <c r="Y45" s="714"/>
      <c r="Z45" s="714"/>
      <c r="AA45" s="714"/>
      <c r="AB45" s="714"/>
      <c r="AC45" s="714"/>
      <c r="AD45" s="714"/>
      <c r="AE45" s="714"/>
      <c r="AF45" s="714"/>
      <c r="AG45" s="714"/>
      <c r="AH45" s="714"/>
      <c r="AI45" s="715"/>
      <c r="AJ45" s="714"/>
      <c r="AK45" s="714"/>
      <c r="AL45" s="714"/>
      <c r="AM45" s="714"/>
      <c r="AN45" s="714"/>
      <c r="AO45" s="714"/>
      <c r="AP45" s="714"/>
      <c r="AQ45" s="716"/>
      <c r="AR45" s="714"/>
      <c r="AS45" s="714"/>
      <c r="AT45" s="714"/>
      <c r="AU45" s="714"/>
      <c r="AV45" s="714"/>
      <c r="AW45" s="714"/>
      <c r="AX45" s="714"/>
      <c r="AY45" s="714"/>
      <c r="AZ45" s="717"/>
      <c r="BA45" s="717"/>
      <c r="BB45" s="717"/>
      <c r="BC45" s="717"/>
    </row>
    <row r="46" spans="1:55" ht="15" hidden="1" customHeight="1">
      <c r="A46" s="718" t="s">
        <v>520</v>
      </c>
    </row>
    <row r="47" spans="1:55" ht="15" customHeight="1" thickTop="1">
      <c r="A47" s="719" t="s">
        <v>521</v>
      </c>
      <c r="B47" s="697"/>
      <c r="C47" s="697"/>
      <c r="D47" s="697"/>
      <c r="E47" s="697"/>
      <c r="F47" s="697"/>
      <c r="G47" s="697"/>
      <c r="H47" s="697"/>
      <c r="I47" s="697"/>
      <c r="J47" s="697"/>
      <c r="K47" s="697"/>
      <c r="L47" s="697"/>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697"/>
      <c r="AP47" s="697"/>
      <c r="AQ47" s="697"/>
      <c r="AR47" s="697"/>
      <c r="AS47" s="697"/>
      <c r="AT47" s="697"/>
      <c r="AU47" s="697"/>
      <c r="AV47" s="697"/>
      <c r="AW47" s="697"/>
      <c r="AX47" s="697"/>
      <c r="AY47" s="697"/>
      <c r="AZ47" s="697"/>
      <c r="BA47" s="697"/>
      <c r="BB47" s="697"/>
      <c r="BC47" s="697"/>
    </row>
    <row r="48" spans="1:55" ht="15" customHeight="1">
      <c r="A48" s="720" t="s">
        <v>522</v>
      </c>
      <c r="B48" s="697"/>
      <c r="C48" s="697"/>
      <c r="D48" s="697"/>
      <c r="E48" s="697"/>
      <c r="F48" s="697"/>
      <c r="G48" s="697"/>
      <c r="H48" s="697"/>
      <c r="I48" s="697"/>
      <c r="J48" s="697"/>
      <c r="K48" s="697"/>
      <c r="L48" s="697"/>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697"/>
      <c r="AP48" s="697"/>
      <c r="AQ48" s="697"/>
      <c r="AR48" s="697"/>
      <c r="AS48" s="697"/>
      <c r="AT48" s="697"/>
      <c r="AU48" s="697"/>
      <c r="AV48" s="697"/>
      <c r="AW48" s="697"/>
      <c r="AX48" s="697"/>
      <c r="AY48" s="697"/>
      <c r="AZ48" s="697"/>
      <c r="BA48" s="697"/>
      <c r="BB48" s="697"/>
      <c r="BC48" s="697"/>
    </row>
    <row r="49" spans="1:55" s="723" customFormat="1" ht="24" customHeight="1">
      <c r="A49" s="721" t="s">
        <v>523</v>
      </c>
      <c r="B49" s="403"/>
      <c r="C49" s="403"/>
      <c r="D49" s="403"/>
      <c r="E49" s="403"/>
      <c r="F49" s="483"/>
      <c r="G49" s="403"/>
      <c r="H49" s="403"/>
      <c r="I49" s="403"/>
      <c r="J49" s="722"/>
      <c r="K49" s="722"/>
      <c r="L49" s="722"/>
      <c r="M49" s="722"/>
      <c r="N49" s="722"/>
      <c r="O49" s="722"/>
      <c r="P49" s="722"/>
      <c r="Q49" s="722"/>
      <c r="R49" s="722"/>
      <c r="S49" s="722"/>
      <c r="T49" s="722"/>
      <c r="U49" s="722"/>
      <c r="V49" s="722"/>
      <c r="W49" s="722"/>
      <c r="X49" s="722"/>
      <c r="Y49" s="722"/>
      <c r="Z49" s="722"/>
      <c r="AA49" s="722"/>
      <c r="AB49" s="722"/>
      <c r="AC49" s="722"/>
      <c r="AD49" s="722"/>
      <c r="AE49" s="722"/>
      <c r="AF49" s="722"/>
      <c r="AG49" s="722"/>
      <c r="AH49" s="722"/>
      <c r="AI49" s="722"/>
      <c r="AJ49" s="722"/>
      <c r="AK49" s="722"/>
      <c r="AL49" s="722"/>
      <c r="AM49" s="722"/>
      <c r="AN49" s="722"/>
      <c r="AO49" s="722"/>
      <c r="AP49" s="722"/>
      <c r="AQ49" s="722"/>
      <c r="AR49" s="722"/>
      <c r="AS49" s="722"/>
      <c r="AT49" s="722"/>
      <c r="AU49" s="722"/>
      <c r="AV49" s="722"/>
      <c r="AW49" s="722"/>
      <c r="AX49" s="722"/>
      <c r="AY49" s="722"/>
      <c r="AZ49" s="722"/>
      <c r="BA49" s="722"/>
      <c r="BB49" s="722"/>
      <c r="BC49" s="722"/>
    </row>
    <row r="50" spans="1:55" ht="15" customHeight="1">
      <c r="A50" s="482" t="s">
        <v>240</v>
      </c>
      <c r="B50" s="724"/>
    </row>
    <row r="51" spans="1:55" ht="15" customHeight="1">
      <c r="A51" s="725" t="s">
        <v>180</v>
      </c>
      <c r="B51" s="724"/>
    </row>
    <row r="52" spans="1:55" ht="15" customHeight="1">
      <c r="B52" s="724"/>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71"/>
  <sheetViews>
    <sheetView zoomScaleNormal="100" workbookViewId="0">
      <pane xSplit="42" ySplit="6" topLeftCell="AQ7" activePane="bottomRight" state="frozen"/>
      <selection pane="topRight" activeCell="AQ1" sqref="AQ1"/>
      <selection pane="bottomLeft" activeCell="A7" sqref="A7"/>
      <selection pane="bottomRight" activeCell="AQ7" sqref="AQ7"/>
    </sheetView>
  </sheetViews>
  <sheetFormatPr defaultRowHeight="15.75" customHeight="1"/>
  <cols>
    <col min="1" max="1" width="65.5703125" style="727" customWidth="1"/>
    <col min="2" max="14" width="9.7109375" style="727" hidden="1" customWidth="1"/>
    <col min="15" max="15" width="12" style="727" hidden="1" customWidth="1"/>
    <col min="16" max="40" width="9.7109375" style="727" hidden="1" customWidth="1"/>
    <col min="41" max="42" width="13.42578125" style="727" hidden="1" customWidth="1"/>
    <col min="43" max="55" width="13.42578125" style="727" customWidth="1"/>
    <col min="56" max="256" width="9.140625" style="727"/>
    <col min="257" max="257" width="57.28515625" style="727" customWidth="1"/>
    <col min="258" max="295" width="0" style="727" hidden="1" customWidth="1"/>
    <col min="296" max="308" width="9.7109375" style="727" customWidth="1"/>
    <col min="309" max="512" width="9.140625" style="727"/>
    <col min="513" max="513" width="57.28515625" style="727" customWidth="1"/>
    <col min="514" max="551" width="0" style="727" hidden="1" customWidth="1"/>
    <col min="552" max="564" width="9.7109375" style="727" customWidth="1"/>
    <col min="565" max="768" width="9.140625" style="727"/>
    <col min="769" max="769" width="57.28515625" style="727" customWidth="1"/>
    <col min="770" max="807" width="0" style="727" hidden="1" customWidth="1"/>
    <col min="808" max="820" width="9.7109375" style="727" customWidth="1"/>
    <col min="821" max="1024" width="9.140625" style="727"/>
    <col min="1025" max="1025" width="57.28515625" style="727" customWidth="1"/>
    <col min="1026" max="1063" width="0" style="727" hidden="1" customWidth="1"/>
    <col min="1064" max="1076" width="9.7109375" style="727" customWidth="1"/>
    <col min="1077" max="1280" width="9.140625" style="727"/>
    <col min="1281" max="1281" width="57.28515625" style="727" customWidth="1"/>
    <col min="1282" max="1319" width="0" style="727" hidden="1" customWidth="1"/>
    <col min="1320" max="1332" width="9.7109375" style="727" customWidth="1"/>
    <col min="1333" max="1536" width="9.140625" style="727"/>
    <col min="1537" max="1537" width="57.28515625" style="727" customWidth="1"/>
    <col min="1538" max="1575" width="0" style="727" hidden="1" customWidth="1"/>
    <col min="1576" max="1588" width="9.7109375" style="727" customWidth="1"/>
    <col min="1589" max="1792" width="9.140625" style="727"/>
    <col min="1793" max="1793" width="57.28515625" style="727" customWidth="1"/>
    <col min="1794" max="1831" width="0" style="727" hidden="1" customWidth="1"/>
    <col min="1832" max="1844" width="9.7109375" style="727" customWidth="1"/>
    <col min="1845" max="2048" width="9.140625" style="727"/>
    <col min="2049" max="2049" width="57.28515625" style="727" customWidth="1"/>
    <col min="2050" max="2087" width="0" style="727" hidden="1" customWidth="1"/>
    <col min="2088" max="2100" width="9.7109375" style="727" customWidth="1"/>
    <col min="2101" max="2304" width="9.140625" style="727"/>
    <col min="2305" max="2305" width="57.28515625" style="727" customWidth="1"/>
    <col min="2306" max="2343" width="0" style="727" hidden="1" customWidth="1"/>
    <col min="2344" max="2356" width="9.7109375" style="727" customWidth="1"/>
    <col min="2357" max="2560" width="9.140625" style="727"/>
    <col min="2561" max="2561" width="57.28515625" style="727" customWidth="1"/>
    <col min="2562" max="2599" width="0" style="727" hidden="1" customWidth="1"/>
    <col min="2600" max="2612" width="9.7109375" style="727" customWidth="1"/>
    <col min="2613" max="2816" width="9.140625" style="727"/>
    <col min="2817" max="2817" width="57.28515625" style="727" customWidth="1"/>
    <col min="2818" max="2855" width="0" style="727" hidden="1" customWidth="1"/>
    <col min="2856" max="2868" width="9.7109375" style="727" customWidth="1"/>
    <col min="2869" max="3072" width="9.140625" style="727"/>
    <col min="3073" max="3073" width="57.28515625" style="727" customWidth="1"/>
    <col min="3074" max="3111" width="0" style="727" hidden="1" customWidth="1"/>
    <col min="3112" max="3124" width="9.7109375" style="727" customWidth="1"/>
    <col min="3125" max="3328" width="9.140625" style="727"/>
    <col min="3329" max="3329" width="57.28515625" style="727" customWidth="1"/>
    <col min="3330" max="3367" width="0" style="727" hidden="1" customWidth="1"/>
    <col min="3368" max="3380" width="9.7109375" style="727" customWidth="1"/>
    <col min="3381" max="3584" width="9.140625" style="727"/>
    <col min="3585" max="3585" width="57.28515625" style="727" customWidth="1"/>
    <col min="3586" max="3623" width="0" style="727" hidden="1" customWidth="1"/>
    <col min="3624" max="3636" width="9.7109375" style="727" customWidth="1"/>
    <col min="3637" max="3840" width="9.140625" style="727"/>
    <col min="3841" max="3841" width="57.28515625" style="727" customWidth="1"/>
    <col min="3842" max="3879" width="0" style="727" hidden="1" customWidth="1"/>
    <col min="3880" max="3892" width="9.7109375" style="727" customWidth="1"/>
    <col min="3893" max="4096" width="9.140625" style="727"/>
    <col min="4097" max="4097" width="57.28515625" style="727" customWidth="1"/>
    <col min="4098" max="4135" width="0" style="727" hidden="1" customWidth="1"/>
    <col min="4136" max="4148" width="9.7109375" style="727" customWidth="1"/>
    <col min="4149" max="4352" width="9.140625" style="727"/>
    <col min="4353" max="4353" width="57.28515625" style="727" customWidth="1"/>
    <col min="4354" max="4391" width="0" style="727" hidden="1" customWidth="1"/>
    <col min="4392" max="4404" width="9.7109375" style="727" customWidth="1"/>
    <col min="4405" max="4608" width="9.140625" style="727"/>
    <col min="4609" max="4609" width="57.28515625" style="727" customWidth="1"/>
    <col min="4610" max="4647" width="0" style="727" hidden="1" customWidth="1"/>
    <col min="4648" max="4660" width="9.7109375" style="727" customWidth="1"/>
    <col min="4661" max="4864" width="9.140625" style="727"/>
    <col min="4865" max="4865" width="57.28515625" style="727" customWidth="1"/>
    <col min="4866" max="4903" width="0" style="727" hidden="1" customWidth="1"/>
    <col min="4904" max="4916" width="9.7109375" style="727" customWidth="1"/>
    <col min="4917" max="5120" width="9.140625" style="727"/>
    <col min="5121" max="5121" width="57.28515625" style="727" customWidth="1"/>
    <col min="5122" max="5159" width="0" style="727" hidden="1" customWidth="1"/>
    <col min="5160" max="5172" width="9.7109375" style="727" customWidth="1"/>
    <col min="5173" max="5376" width="9.140625" style="727"/>
    <col min="5377" max="5377" width="57.28515625" style="727" customWidth="1"/>
    <col min="5378" max="5415" width="0" style="727" hidden="1" customWidth="1"/>
    <col min="5416" max="5428" width="9.7109375" style="727" customWidth="1"/>
    <col min="5429" max="5632" width="9.140625" style="727"/>
    <col min="5633" max="5633" width="57.28515625" style="727" customWidth="1"/>
    <col min="5634" max="5671" width="0" style="727" hidden="1" customWidth="1"/>
    <col min="5672" max="5684" width="9.7109375" style="727" customWidth="1"/>
    <col min="5685" max="5888" width="9.140625" style="727"/>
    <col min="5889" max="5889" width="57.28515625" style="727" customWidth="1"/>
    <col min="5890" max="5927" width="0" style="727" hidden="1" customWidth="1"/>
    <col min="5928" max="5940" width="9.7109375" style="727" customWidth="1"/>
    <col min="5941" max="6144" width="9.140625" style="727"/>
    <col min="6145" max="6145" width="57.28515625" style="727" customWidth="1"/>
    <col min="6146" max="6183" width="0" style="727" hidden="1" customWidth="1"/>
    <col min="6184" max="6196" width="9.7109375" style="727" customWidth="1"/>
    <col min="6197" max="6400" width="9.140625" style="727"/>
    <col min="6401" max="6401" width="57.28515625" style="727" customWidth="1"/>
    <col min="6402" max="6439" width="0" style="727" hidden="1" customWidth="1"/>
    <col min="6440" max="6452" width="9.7109375" style="727" customWidth="1"/>
    <col min="6453" max="6656" width="9.140625" style="727"/>
    <col min="6657" max="6657" width="57.28515625" style="727" customWidth="1"/>
    <col min="6658" max="6695" width="0" style="727" hidden="1" customWidth="1"/>
    <col min="6696" max="6708" width="9.7109375" style="727" customWidth="1"/>
    <col min="6709" max="6912" width="9.140625" style="727"/>
    <col min="6913" max="6913" width="57.28515625" style="727" customWidth="1"/>
    <col min="6914" max="6951" width="0" style="727" hidden="1" customWidth="1"/>
    <col min="6952" max="6964" width="9.7109375" style="727" customWidth="1"/>
    <col min="6965" max="7168" width="9.140625" style="727"/>
    <col min="7169" max="7169" width="57.28515625" style="727" customWidth="1"/>
    <col min="7170" max="7207" width="0" style="727" hidden="1" customWidth="1"/>
    <col min="7208" max="7220" width="9.7109375" style="727" customWidth="1"/>
    <col min="7221" max="7424" width="9.140625" style="727"/>
    <col min="7425" max="7425" width="57.28515625" style="727" customWidth="1"/>
    <col min="7426" max="7463" width="0" style="727" hidden="1" customWidth="1"/>
    <col min="7464" max="7476" width="9.7109375" style="727" customWidth="1"/>
    <col min="7477" max="7680" width="9.140625" style="727"/>
    <col min="7681" max="7681" width="57.28515625" style="727" customWidth="1"/>
    <col min="7682" max="7719" width="0" style="727" hidden="1" customWidth="1"/>
    <col min="7720" max="7732" width="9.7109375" style="727" customWidth="1"/>
    <col min="7733" max="7936" width="9.140625" style="727"/>
    <col min="7937" max="7937" width="57.28515625" style="727" customWidth="1"/>
    <col min="7938" max="7975" width="0" style="727" hidden="1" customWidth="1"/>
    <col min="7976" max="7988" width="9.7109375" style="727" customWidth="1"/>
    <col min="7989" max="8192" width="9.140625" style="727"/>
    <col min="8193" max="8193" width="57.28515625" style="727" customWidth="1"/>
    <col min="8194" max="8231" width="0" style="727" hidden="1" customWidth="1"/>
    <col min="8232" max="8244" width="9.7109375" style="727" customWidth="1"/>
    <col min="8245" max="8448" width="9.140625" style="727"/>
    <col min="8449" max="8449" width="57.28515625" style="727" customWidth="1"/>
    <col min="8450" max="8487" width="0" style="727" hidden="1" customWidth="1"/>
    <col min="8488" max="8500" width="9.7109375" style="727" customWidth="1"/>
    <col min="8501" max="8704" width="9.140625" style="727"/>
    <col min="8705" max="8705" width="57.28515625" style="727" customWidth="1"/>
    <col min="8706" max="8743" width="0" style="727" hidden="1" customWidth="1"/>
    <col min="8744" max="8756" width="9.7109375" style="727" customWidth="1"/>
    <col min="8757" max="8960" width="9.140625" style="727"/>
    <col min="8961" max="8961" width="57.28515625" style="727" customWidth="1"/>
    <col min="8962" max="8999" width="0" style="727" hidden="1" customWidth="1"/>
    <col min="9000" max="9012" width="9.7109375" style="727" customWidth="1"/>
    <col min="9013" max="9216" width="9.140625" style="727"/>
    <col min="9217" max="9217" width="57.28515625" style="727" customWidth="1"/>
    <col min="9218" max="9255" width="0" style="727" hidden="1" customWidth="1"/>
    <col min="9256" max="9268" width="9.7109375" style="727" customWidth="1"/>
    <col min="9269" max="9472" width="9.140625" style="727"/>
    <col min="9473" max="9473" width="57.28515625" style="727" customWidth="1"/>
    <col min="9474" max="9511" width="0" style="727" hidden="1" customWidth="1"/>
    <col min="9512" max="9524" width="9.7109375" style="727" customWidth="1"/>
    <col min="9525" max="9728" width="9.140625" style="727"/>
    <col min="9729" max="9729" width="57.28515625" style="727" customWidth="1"/>
    <col min="9730" max="9767" width="0" style="727" hidden="1" customWidth="1"/>
    <col min="9768" max="9780" width="9.7109375" style="727" customWidth="1"/>
    <col min="9781" max="9984" width="9.140625" style="727"/>
    <col min="9985" max="9985" width="57.28515625" style="727" customWidth="1"/>
    <col min="9986" max="10023" width="0" style="727" hidden="1" customWidth="1"/>
    <col min="10024" max="10036" width="9.7109375" style="727" customWidth="1"/>
    <col min="10037" max="10240" width="9.140625" style="727"/>
    <col min="10241" max="10241" width="57.28515625" style="727" customWidth="1"/>
    <col min="10242" max="10279" width="0" style="727" hidden="1" customWidth="1"/>
    <col min="10280" max="10292" width="9.7109375" style="727" customWidth="1"/>
    <col min="10293" max="10496" width="9.140625" style="727"/>
    <col min="10497" max="10497" width="57.28515625" style="727" customWidth="1"/>
    <col min="10498" max="10535" width="0" style="727" hidden="1" customWidth="1"/>
    <col min="10536" max="10548" width="9.7109375" style="727" customWidth="1"/>
    <col min="10549" max="10752" width="9.140625" style="727"/>
    <col min="10753" max="10753" width="57.28515625" style="727" customWidth="1"/>
    <col min="10754" max="10791" width="0" style="727" hidden="1" customWidth="1"/>
    <col min="10792" max="10804" width="9.7109375" style="727" customWidth="1"/>
    <col min="10805" max="11008" width="9.140625" style="727"/>
    <col min="11009" max="11009" width="57.28515625" style="727" customWidth="1"/>
    <col min="11010" max="11047" width="0" style="727" hidden="1" customWidth="1"/>
    <col min="11048" max="11060" width="9.7109375" style="727" customWidth="1"/>
    <col min="11061" max="11264" width="9.140625" style="727"/>
    <col min="11265" max="11265" width="57.28515625" style="727" customWidth="1"/>
    <col min="11266" max="11303" width="0" style="727" hidden="1" customWidth="1"/>
    <col min="11304" max="11316" width="9.7109375" style="727" customWidth="1"/>
    <col min="11317" max="11520" width="9.140625" style="727"/>
    <col min="11521" max="11521" width="57.28515625" style="727" customWidth="1"/>
    <col min="11522" max="11559" width="0" style="727" hidden="1" customWidth="1"/>
    <col min="11560" max="11572" width="9.7109375" style="727" customWidth="1"/>
    <col min="11573" max="11776" width="9.140625" style="727"/>
    <col min="11777" max="11777" width="57.28515625" style="727" customWidth="1"/>
    <col min="11778" max="11815" width="0" style="727" hidden="1" customWidth="1"/>
    <col min="11816" max="11828" width="9.7109375" style="727" customWidth="1"/>
    <col min="11829" max="12032" width="9.140625" style="727"/>
    <col min="12033" max="12033" width="57.28515625" style="727" customWidth="1"/>
    <col min="12034" max="12071" width="0" style="727" hidden="1" customWidth="1"/>
    <col min="12072" max="12084" width="9.7109375" style="727" customWidth="1"/>
    <col min="12085" max="12288" width="9.140625" style="727"/>
    <col min="12289" max="12289" width="57.28515625" style="727" customWidth="1"/>
    <col min="12290" max="12327" width="0" style="727" hidden="1" customWidth="1"/>
    <col min="12328" max="12340" width="9.7109375" style="727" customWidth="1"/>
    <col min="12341" max="12544" width="9.140625" style="727"/>
    <col min="12545" max="12545" width="57.28515625" style="727" customWidth="1"/>
    <col min="12546" max="12583" width="0" style="727" hidden="1" customWidth="1"/>
    <col min="12584" max="12596" width="9.7109375" style="727" customWidth="1"/>
    <col min="12597" max="12800" width="9.140625" style="727"/>
    <col min="12801" max="12801" width="57.28515625" style="727" customWidth="1"/>
    <col min="12802" max="12839" width="0" style="727" hidden="1" customWidth="1"/>
    <col min="12840" max="12852" width="9.7109375" style="727" customWidth="1"/>
    <col min="12853" max="13056" width="9.140625" style="727"/>
    <col min="13057" max="13057" width="57.28515625" style="727" customWidth="1"/>
    <col min="13058" max="13095" width="0" style="727" hidden="1" customWidth="1"/>
    <col min="13096" max="13108" width="9.7109375" style="727" customWidth="1"/>
    <col min="13109" max="13312" width="9.140625" style="727"/>
    <col min="13313" max="13313" width="57.28515625" style="727" customWidth="1"/>
    <col min="13314" max="13351" width="0" style="727" hidden="1" customWidth="1"/>
    <col min="13352" max="13364" width="9.7109375" style="727" customWidth="1"/>
    <col min="13365" max="13568" width="9.140625" style="727"/>
    <col min="13569" max="13569" width="57.28515625" style="727" customWidth="1"/>
    <col min="13570" max="13607" width="0" style="727" hidden="1" customWidth="1"/>
    <col min="13608" max="13620" width="9.7109375" style="727" customWidth="1"/>
    <col min="13621" max="13824" width="9.140625" style="727"/>
    <col min="13825" max="13825" width="57.28515625" style="727" customWidth="1"/>
    <col min="13826" max="13863" width="0" style="727" hidden="1" customWidth="1"/>
    <col min="13864" max="13876" width="9.7109375" style="727" customWidth="1"/>
    <col min="13877" max="14080" width="9.140625" style="727"/>
    <col min="14081" max="14081" width="57.28515625" style="727" customWidth="1"/>
    <col min="14082" max="14119" width="0" style="727" hidden="1" customWidth="1"/>
    <col min="14120" max="14132" width="9.7109375" style="727" customWidth="1"/>
    <col min="14133" max="14336" width="9.140625" style="727"/>
    <col min="14337" max="14337" width="57.28515625" style="727" customWidth="1"/>
    <col min="14338" max="14375" width="0" style="727" hidden="1" customWidth="1"/>
    <col min="14376" max="14388" width="9.7109375" style="727" customWidth="1"/>
    <col min="14389" max="14592" width="9.140625" style="727"/>
    <col min="14593" max="14593" width="57.28515625" style="727" customWidth="1"/>
    <col min="14594" max="14631" width="0" style="727" hidden="1" customWidth="1"/>
    <col min="14632" max="14644" width="9.7109375" style="727" customWidth="1"/>
    <col min="14645" max="14848" width="9.140625" style="727"/>
    <col min="14849" max="14849" width="57.28515625" style="727" customWidth="1"/>
    <col min="14850" max="14887" width="0" style="727" hidden="1" customWidth="1"/>
    <col min="14888" max="14900" width="9.7109375" style="727" customWidth="1"/>
    <col min="14901" max="15104" width="9.140625" style="727"/>
    <col min="15105" max="15105" width="57.28515625" style="727" customWidth="1"/>
    <col min="15106" max="15143" width="0" style="727" hidden="1" customWidth="1"/>
    <col min="15144" max="15156" width="9.7109375" style="727" customWidth="1"/>
    <col min="15157" max="15360" width="9.140625" style="727"/>
    <col min="15361" max="15361" width="57.28515625" style="727" customWidth="1"/>
    <col min="15362" max="15399" width="0" style="727" hidden="1" customWidth="1"/>
    <col min="15400" max="15412" width="9.7109375" style="727" customWidth="1"/>
    <col min="15413" max="15616" width="9.140625" style="727"/>
    <col min="15617" max="15617" width="57.28515625" style="727" customWidth="1"/>
    <col min="15618" max="15655" width="0" style="727" hidden="1" customWidth="1"/>
    <col min="15656" max="15668" width="9.7109375" style="727" customWidth="1"/>
    <col min="15669" max="15872" width="9.140625" style="727"/>
    <col min="15873" max="15873" width="57.28515625" style="727" customWidth="1"/>
    <col min="15874" max="15911" width="0" style="727" hidden="1" customWidth="1"/>
    <col min="15912" max="15924" width="9.7109375" style="727" customWidth="1"/>
    <col min="15925" max="16128" width="9.140625" style="727"/>
    <col min="16129" max="16129" width="57.28515625" style="727" customWidth="1"/>
    <col min="16130" max="16167" width="0" style="727" hidden="1" customWidth="1"/>
    <col min="16168" max="16180" width="9.7109375" style="727" customWidth="1"/>
    <col min="16181" max="16384" width="9.140625" style="727"/>
  </cols>
  <sheetData>
    <row r="1" spans="1:55" ht="27" customHeight="1">
      <c r="A1" s="726" t="s">
        <v>524</v>
      </c>
      <c r="AA1" s="728"/>
      <c r="AB1" s="728"/>
      <c r="AC1" s="728"/>
      <c r="AD1" s="728"/>
      <c r="AE1" s="728"/>
      <c r="AF1" s="728"/>
      <c r="AG1" s="728"/>
      <c r="AH1" s="728"/>
      <c r="AI1" s="728"/>
      <c r="AJ1" s="728"/>
      <c r="AK1" s="728"/>
      <c r="AL1" s="728"/>
      <c r="AM1" s="728"/>
      <c r="AN1" s="728"/>
      <c r="AO1" s="728"/>
      <c r="AP1" s="728"/>
      <c r="AQ1" s="728"/>
      <c r="AR1" s="728"/>
      <c r="AS1" s="728"/>
      <c r="AT1" s="728"/>
      <c r="AU1" s="728"/>
      <c r="AV1" s="728"/>
      <c r="AW1" s="728"/>
      <c r="AX1" s="728"/>
      <c r="AY1" s="728"/>
      <c r="AZ1" s="728"/>
    </row>
    <row r="2" spans="1:55" ht="0.75" customHeight="1">
      <c r="A2" s="729"/>
    </row>
    <row r="3" spans="1:55" ht="15" customHeight="1">
      <c r="A3" s="729"/>
      <c r="B3" s="730"/>
      <c r="C3" s="730"/>
      <c r="D3" s="730"/>
      <c r="E3" s="730"/>
      <c r="F3" s="730"/>
      <c r="G3" s="730"/>
      <c r="H3" s="730"/>
      <c r="I3" s="730"/>
      <c r="J3" s="730"/>
      <c r="K3" s="730"/>
      <c r="L3" s="730"/>
      <c r="M3" s="730"/>
      <c r="N3" s="730"/>
      <c r="O3" s="730"/>
      <c r="P3" s="730"/>
      <c r="Q3" s="730"/>
      <c r="R3" s="730"/>
      <c r="S3" s="730"/>
      <c r="T3" s="730"/>
      <c r="U3" s="730"/>
      <c r="V3" s="730"/>
      <c r="W3" s="730"/>
      <c r="X3" s="730"/>
      <c r="Y3" s="730"/>
      <c r="Z3" s="730"/>
      <c r="AA3" s="730"/>
      <c r="AB3" s="730"/>
      <c r="AC3" s="730"/>
      <c r="AD3" s="730"/>
      <c r="AE3" s="730"/>
    </row>
    <row r="4" spans="1:55" ht="15" thickBot="1">
      <c r="A4" s="731"/>
      <c r="R4" s="732"/>
      <c r="S4" s="733"/>
      <c r="T4" s="734"/>
      <c r="U4" s="734"/>
      <c r="V4" s="734"/>
      <c r="W4" s="734"/>
      <c r="X4" s="734"/>
      <c r="Y4" s="734"/>
      <c r="Z4" s="734"/>
      <c r="AB4" s="734"/>
      <c r="AC4" s="734"/>
      <c r="AD4" s="734"/>
      <c r="AH4" s="734"/>
      <c r="AI4" s="734"/>
      <c r="AL4" s="734"/>
      <c r="AM4" s="734"/>
      <c r="AN4" s="734"/>
      <c r="AO4" s="734"/>
      <c r="AP4" s="734"/>
      <c r="AQ4" s="734"/>
      <c r="AR4" s="734"/>
      <c r="AU4" s="734"/>
      <c r="AV4" s="734"/>
      <c r="AW4" s="734"/>
      <c r="AX4" s="734"/>
      <c r="BA4" s="686"/>
      <c r="BB4" s="686"/>
      <c r="BC4" s="686" t="s">
        <v>74</v>
      </c>
    </row>
    <row r="5" spans="1:55" ht="27" customHeight="1" thickTop="1" thickBot="1">
      <c r="A5" s="735"/>
      <c r="B5" s="736">
        <v>40179</v>
      </c>
      <c r="C5" s="736">
        <v>40210</v>
      </c>
      <c r="D5" s="736">
        <v>40238</v>
      </c>
      <c r="E5" s="736">
        <v>40269</v>
      </c>
      <c r="F5" s="736">
        <v>40299</v>
      </c>
      <c r="G5" s="736">
        <v>40330</v>
      </c>
      <c r="H5" s="736">
        <v>40360</v>
      </c>
      <c r="I5" s="736">
        <v>40391</v>
      </c>
      <c r="J5" s="736">
        <v>40422</v>
      </c>
      <c r="K5" s="736">
        <v>40452</v>
      </c>
      <c r="L5" s="736">
        <v>40483</v>
      </c>
      <c r="M5" s="736">
        <v>40513</v>
      </c>
      <c r="N5" s="736">
        <v>40544</v>
      </c>
      <c r="O5" s="736">
        <v>40575</v>
      </c>
      <c r="P5" s="736">
        <v>40603</v>
      </c>
      <c r="Q5" s="736">
        <v>40634</v>
      </c>
      <c r="R5" s="736">
        <v>40664</v>
      </c>
      <c r="S5" s="736">
        <v>40695</v>
      </c>
      <c r="T5" s="736">
        <v>40725</v>
      </c>
      <c r="U5" s="736">
        <v>40756</v>
      </c>
      <c r="V5" s="736">
        <v>40787</v>
      </c>
      <c r="W5" s="736">
        <v>40817</v>
      </c>
      <c r="X5" s="736">
        <v>40848</v>
      </c>
      <c r="Y5" s="736">
        <v>40878</v>
      </c>
      <c r="Z5" s="736">
        <v>40909</v>
      </c>
      <c r="AA5" s="736">
        <v>40940</v>
      </c>
      <c r="AB5" s="736">
        <v>40969</v>
      </c>
      <c r="AC5" s="736">
        <v>41000</v>
      </c>
      <c r="AD5" s="736">
        <v>41030</v>
      </c>
      <c r="AE5" s="736">
        <v>41061</v>
      </c>
      <c r="AF5" s="736">
        <v>41091</v>
      </c>
      <c r="AG5" s="736">
        <v>41122</v>
      </c>
      <c r="AH5" s="736">
        <v>41153</v>
      </c>
      <c r="AI5" s="736">
        <v>41183</v>
      </c>
      <c r="AJ5" s="736">
        <v>41214</v>
      </c>
      <c r="AK5" s="736">
        <v>41244</v>
      </c>
      <c r="AL5" s="736">
        <v>41275</v>
      </c>
      <c r="AM5" s="736">
        <v>41306</v>
      </c>
      <c r="AN5" s="736">
        <v>41334</v>
      </c>
      <c r="AO5" s="736">
        <v>41365</v>
      </c>
      <c r="AP5" s="736">
        <v>41395</v>
      </c>
      <c r="AQ5" s="737">
        <v>41426</v>
      </c>
      <c r="AR5" s="736">
        <v>41456</v>
      </c>
      <c r="AS5" s="736">
        <v>41487</v>
      </c>
      <c r="AT5" s="736">
        <v>41518</v>
      </c>
      <c r="AU5" s="736">
        <v>41548</v>
      </c>
      <c r="AV5" s="736">
        <v>41579</v>
      </c>
      <c r="AW5" s="736">
        <v>41609</v>
      </c>
      <c r="AX5" s="736">
        <v>41640</v>
      </c>
      <c r="AY5" s="736">
        <v>41671</v>
      </c>
      <c r="AZ5" s="738">
        <v>41699</v>
      </c>
      <c r="BA5" s="738">
        <v>41730</v>
      </c>
      <c r="BB5" s="738">
        <v>41760</v>
      </c>
      <c r="BC5" s="738">
        <v>41791</v>
      </c>
    </row>
    <row r="6" spans="1:55" ht="27" customHeight="1" thickTop="1">
      <c r="A6" s="739"/>
      <c r="B6" s="740"/>
      <c r="C6" s="740"/>
      <c r="D6" s="740"/>
      <c r="E6" s="740"/>
      <c r="F6" s="740"/>
      <c r="G6" s="740"/>
      <c r="H6" s="740"/>
      <c r="I6" s="740"/>
      <c r="J6" s="740"/>
      <c r="K6" s="740"/>
      <c r="L6" s="740"/>
      <c r="M6" s="740"/>
      <c r="N6" s="740"/>
      <c r="O6" s="740"/>
      <c r="P6" s="740"/>
      <c r="Q6" s="740"/>
      <c r="R6" s="740"/>
      <c r="S6" s="740"/>
      <c r="T6" s="740"/>
      <c r="U6" s="740"/>
      <c r="V6" s="740"/>
      <c r="W6" s="740"/>
      <c r="X6" s="740"/>
      <c r="Y6" s="740"/>
      <c r="Z6" s="740"/>
      <c r="AA6" s="740"/>
      <c r="AB6" s="740"/>
      <c r="AC6" s="740"/>
      <c r="AD6" s="740"/>
      <c r="AE6" s="740"/>
      <c r="AF6" s="740"/>
      <c r="AG6" s="740"/>
      <c r="AH6" s="740"/>
      <c r="AI6" s="740"/>
      <c r="AJ6" s="740"/>
      <c r="AK6" s="740"/>
      <c r="AL6" s="740"/>
      <c r="AM6" s="740"/>
      <c r="AN6" s="740"/>
      <c r="AO6" s="740"/>
      <c r="AP6" s="740"/>
      <c r="AR6" s="740"/>
      <c r="AS6" s="740"/>
      <c r="AT6" s="740"/>
      <c r="AU6" s="740"/>
      <c r="AV6" s="740"/>
      <c r="AW6" s="740"/>
      <c r="AX6" s="740"/>
      <c r="AY6" s="740"/>
      <c r="AZ6" s="741"/>
      <c r="BA6" s="741"/>
      <c r="BB6" s="741"/>
      <c r="BC6" s="741"/>
    </row>
    <row r="7" spans="1:55" ht="22.5" customHeight="1">
      <c r="A7" s="742" t="s">
        <v>477</v>
      </c>
      <c r="B7" s="743">
        <v>355837.03116140142</v>
      </c>
      <c r="C7" s="743">
        <v>360605.04953497002</v>
      </c>
      <c r="D7" s="743">
        <v>364782.5979084057</v>
      </c>
      <c r="E7" s="743">
        <v>347836.52930073522</v>
      </c>
      <c r="F7" s="743">
        <v>398474.36596555047</v>
      </c>
      <c r="G7" s="743">
        <v>389200.51288481901</v>
      </c>
      <c r="H7" s="743">
        <v>349996.3624868911</v>
      </c>
      <c r="I7" s="743">
        <v>374559.74357372645</v>
      </c>
      <c r="J7" s="743">
        <v>374311.56619276927</v>
      </c>
      <c r="K7" s="743">
        <v>375558.9529931749</v>
      </c>
      <c r="L7" s="743">
        <v>387400.46029459574</v>
      </c>
      <c r="M7" s="743">
        <v>396025.74941314518</v>
      </c>
      <c r="N7" s="743">
        <v>397868.12297975575</v>
      </c>
      <c r="O7" s="743">
        <v>391740.02392533404</v>
      </c>
      <c r="P7" s="743">
        <v>362731.64003700012</v>
      </c>
      <c r="Q7" s="743">
        <v>376961.4054074281</v>
      </c>
      <c r="R7" s="743">
        <v>368985.79309799575</v>
      </c>
      <c r="S7" s="743">
        <v>398640.04925210681</v>
      </c>
      <c r="T7" s="743">
        <v>384262.82808588771</v>
      </c>
      <c r="U7" s="743">
        <v>367127.21882008214</v>
      </c>
      <c r="V7" s="743">
        <v>372146.50669052522</v>
      </c>
      <c r="W7" s="743">
        <v>373804.4944400455</v>
      </c>
      <c r="X7" s="743">
        <v>424939.29194978258</v>
      </c>
      <c r="Y7" s="743">
        <v>370755.1153975288</v>
      </c>
      <c r="Z7" s="743">
        <v>348029.36244730791</v>
      </c>
      <c r="AA7" s="743">
        <v>354708.02445732511</v>
      </c>
      <c r="AB7" s="743">
        <v>400460.7283425614</v>
      </c>
      <c r="AC7" s="743">
        <v>400880.36506270594</v>
      </c>
      <c r="AD7" s="743">
        <v>418934.88927327801</v>
      </c>
      <c r="AE7" s="743">
        <v>358615.76786022121</v>
      </c>
      <c r="AF7" s="743">
        <v>391317.48373264505</v>
      </c>
      <c r="AG7" s="743">
        <v>349407.08494980843</v>
      </c>
      <c r="AH7" s="743">
        <v>374495.6656296209</v>
      </c>
      <c r="AI7" s="743">
        <v>394291.12349107314</v>
      </c>
      <c r="AJ7" s="743">
        <v>396660.75575007958</v>
      </c>
      <c r="AK7" s="743">
        <v>401320.90685726877</v>
      </c>
      <c r="AL7" s="743">
        <v>425209.26168858795</v>
      </c>
      <c r="AM7" s="743">
        <v>371958.7623117551</v>
      </c>
      <c r="AN7" s="743">
        <v>396287.87252488441</v>
      </c>
      <c r="AO7" s="743">
        <v>406538.14793432248</v>
      </c>
      <c r="AP7" s="743">
        <v>439271.34989535093</v>
      </c>
      <c r="AQ7" s="744">
        <v>394121.83621676941</v>
      </c>
      <c r="AR7" s="743">
        <v>408187.61987977172</v>
      </c>
      <c r="AS7" s="743">
        <v>388409.770447916</v>
      </c>
      <c r="AT7" s="743">
        <v>381997.94592616044</v>
      </c>
      <c r="AU7" s="743">
        <v>372526.31475613813</v>
      </c>
      <c r="AV7" s="743">
        <v>375922.76888081006</v>
      </c>
      <c r="AW7" s="743">
        <v>396299.89658375003</v>
      </c>
      <c r="AX7" s="743">
        <v>371419.29907392245</v>
      </c>
      <c r="AY7" s="743">
        <v>374464.4740224086</v>
      </c>
      <c r="AZ7" s="745">
        <v>371676.94106507872</v>
      </c>
      <c r="BA7" s="745">
        <v>396120.44744818617</v>
      </c>
      <c r="BB7" s="745">
        <v>383220.66580576624</v>
      </c>
      <c r="BC7" s="745">
        <v>382241.50857958262</v>
      </c>
    </row>
    <row r="8" spans="1:55" ht="22.5" customHeight="1">
      <c r="A8" s="746" t="s">
        <v>525</v>
      </c>
      <c r="B8" s="747">
        <v>620621.837699419</v>
      </c>
      <c r="C8" s="747">
        <v>642060.5751907127</v>
      </c>
      <c r="D8" s="747">
        <v>663429.32725319162</v>
      </c>
      <c r="E8" s="747">
        <v>660270.72395054298</v>
      </c>
      <c r="F8" s="747">
        <v>761396.68320768641</v>
      </c>
      <c r="G8" s="747">
        <v>740816.47303832963</v>
      </c>
      <c r="H8" s="747">
        <v>684450.63034732884</v>
      </c>
      <c r="I8" s="747">
        <v>719711.28924938058</v>
      </c>
      <c r="J8" s="747">
        <v>738966.31493576558</v>
      </c>
      <c r="K8" s="747">
        <v>755773.34799536539</v>
      </c>
      <c r="L8" s="747">
        <v>730427.97133117379</v>
      </c>
      <c r="M8" s="747">
        <v>779836.93405729183</v>
      </c>
      <c r="N8" s="747">
        <v>792904.66706368059</v>
      </c>
      <c r="O8" s="747">
        <v>799241.37941142917</v>
      </c>
      <c r="P8" s="747">
        <v>772002.0620707114</v>
      </c>
      <c r="Q8" s="747">
        <v>833074.86156630307</v>
      </c>
      <c r="R8" s="747">
        <v>760932.48047136737</v>
      </c>
      <c r="S8" s="747">
        <v>819704.2215900477</v>
      </c>
      <c r="T8" s="747">
        <v>792283.31229378958</v>
      </c>
      <c r="U8" s="747">
        <v>769573.7503542318</v>
      </c>
      <c r="V8" s="747">
        <v>849145.78153435339</v>
      </c>
      <c r="W8" s="747">
        <v>825213.0197940846</v>
      </c>
      <c r="X8" s="747">
        <v>854786.67227450153</v>
      </c>
      <c r="Y8" s="747">
        <v>863396.30990770692</v>
      </c>
      <c r="Z8" s="747">
        <v>883499.28029810451</v>
      </c>
      <c r="AA8" s="747">
        <v>924410.43065504672</v>
      </c>
      <c r="AB8" s="747">
        <v>935054.73596600047</v>
      </c>
      <c r="AC8" s="747">
        <v>908344.72760092339</v>
      </c>
      <c r="AD8" s="747">
        <v>941275.38883481221</v>
      </c>
      <c r="AE8" s="747">
        <v>924975.40282542526</v>
      </c>
      <c r="AF8" s="747">
        <v>959761.68273227406</v>
      </c>
      <c r="AG8" s="747">
        <v>911198.20442511863</v>
      </c>
      <c r="AH8" s="747">
        <v>930253.01125973463</v>
      </c>
      <c r="AI8" s="747">
        <v>928154.8538077781</v>
      </c>
      <c r="AJ8" s="747">
        <v>898275.10606672254</v>
      </c>
      <c r="AK8" s="747">
        <v>894597.72456951183</v>
      </c>
      <c r="AL8" s="747">
        <v>924934.29948737414</v>
      </c>
      <c r="AM8" s="747">
        <v>882547.70407548395</v>
      </c>
      <c r="AN8" s="747">
        <v>928446.97753067315</v>
      </c>
      <c r="AO8" s="747">
        <v>912790.97053313814</v>
      </c>
      <c r="AP8" s="747">
        <v>959177.5175875118</v>
      </c>
      <c r="AQ8" s="748">
        <v>938844.08762012294</v>
      </c>
      <c r="AR8" s="747">
        <v>976788.90990477568</v>
      </c>
      <c r="AS8" s="747">
        <v>985906.15371596976</v>
      </c>
      <c r="AT8" s="747">
        <v>969022.04418560036</v>
      </c>
      <c r="AU8" s="747">
        <v>910508.28106427356</v>
      </c>
      <c r="AV8" s="747">
        <v>892613.99100418424</v>
      </c>
      <c r="AW8" s="747">
        <v>876059.88719588786</v>
      </c>
      <c r="AX8" s="747">
        <v>845007.45623206696</v>
      </c>
      <c r="AY8" s="747">
        <v>859611.05145150574</v>
      </c>
      <c r="AZ8" s="749">
        <v>860914.60592225753</v>
      </c>
      <c r="BA8" s="749">
        <v>849298.33911979478</v>
      </c>
      <c r="BB8" s="749">
        <v>835050.76741546381</v>
      </c>
      <c r="BC8" s="749">
        <v>828604.13645683636</v>
      </c>
    </row>
    <row r="9" spans="1:55" ht="22.5" customHeight="1">
      <c r="A9" s="746" t="s">
        <v>526</v>
      </c>
      <c r="B9" s="747">
        <v>-264784.80653801758</v>
      </c>
      <c r="C9" s="747">
        <v>-281455.52565574268</v>
      </c>
      <c r="D9" s="747">
        <v>-298646.72934478591</v>
      </c>
      <c r="E9" s="747">
        <v>-312434.19464980776</v>
      </c>
      <c r="F9" s="747">
        <v>-362922.31724213593</v>
      </c>
      <c r="G9" s="747">
        <v>-351615.96015351062</v>
      </c>
      <c r="H9" s="747">
        <v>-334454.26786043774</v>
      </c>
      <c r="I9" s="747">
        <v>-345151.54567565414</v>
      </c>
      <c r="J9" s="747">
        <v>-364654.74874299631</v>
      </c>
      <c r="K9" s="747">
        <v>-380214.39500219049</v>
      </c>
      <c r="L9" s="747">
        <v>-343027.51103657804</v>
      </c>
      <c r="M9" s="747">
        <v>-383811.18464414665</v>
      </c>
      <c r="N9" s="747">
        <v>-395036.54408392485</v>
      </c>
      <c r="O9" s="747">
        <v>-407501.35548609513</v>
      </c>
      <c r="P9" s="747">
        <v>-409270.42203371128</v>
      </c>
      <c r="Q9" s="747">
        <v>-456113.45615887496</v>
      </c>
      <c r="R9" s="747">
        <v>-391946.68737337162</v>
      </c>
      <c r="S9" s="747">
        <v>-421064.17233794089</v>
      </c>
      <c r="T9" s="747">
        <v>-408020.48420790187</v>
      </c>
      <c r="U9" s="747">
        <v>-402446.53153414966</v>
      </c>
      <c r="V9" s="747">
        <v>-476999.27484382817</v>
      </c>
      <c r="W9" s="747">
        <v>-451408.5253540391</v>
      </c>
      <c r="X9" s="747">
        <v>-429847.38032471895</v>
      </c>
      <c r="Y9" s="747">
        <v>-492641.19451017812</v>
      </c>
      <c r="Z9" s="747">
        <v>-535469.9178507966</v>
      </c>
      <c r="AA9" s="747">
        <v>-569702.4061977216</v>
      </c>
      <c r="AB9" s="747">
        <v>-534594.00762343907</v>
      </c>
      <c r="AC9" s="747">
        <v>-507464.36253821745</v>
      </c>
      <c r="AD9" s="747">
        <v>-522340.4995615342</v>
      </c>
      <c r="AE9" s="747">
        <v>-566359.63496520405</v>
      </c>
      <c r="AF9" s="747">
        <v>-568444.19899962901</v>
      </c>
      <c r="AG9" s="747">
        <v>-561791.1194753102</v>
      </c>
      <c r="AH9" s="747">
        <v>-555757.34563011373</v>
      </c>
      <c r="AI9" s="747">
        <v>-533863.73031670495</v>
      </c>
      <c r="AJ9" s="747">
        <v>-501614.35031664296</v>
      </c>
      <c r="AK9" s="747">
        <v>-493276.81771224306</v>
      </c>
      <c r="AL9" s="747">
        <v>-499725.03779878619</v>
      </c>
      <c r="AM9" s="747">
        <v>-510588.94176372886</v>
      </c>
      <c r="AN9" s="747">
        <v>-532159.10500578873</v>
      </c>
      <c r="AO9" s="747">
        <v>-506252.82259881566</v>
      </c>
      <c r="AP9" s="747">
        <v>-519906.16769216087</v>
      </c>
      <c r="AQ9" s="748">
        <v>-544722.25140335353</v>
      </c>
      <c r="AR9" s="747">
        <v>-568601.29002500395</v>
      </c>
      <c r="AS9" s="747">
        <v>-597496.38326805376</v>
      </c>
      <c r="AT9" s="747">
        <v>-587024.09825943992</v>
      </c>
      <c r="AU9" s="747">
        <v>-537981.96630813542</v>
      </c>
      <c r="AV9" s="747">
        <v>-516691.22212337417</v>
      </c>
      <c r="AW9" s="747">
        <v>-479759.99061213783</v>
      </c>
      <c r="AX9" s="747">
        <v>-473588.15715814452</v>
      </c>
      <c r="AY9" s="747">
        <v>-485146.57742909715</v>
      </c>
      <c r="AZ9" s="749">
        <v>-489237.66485717881</v>
      </c>
      <c r="BA9" s="749">
        <v>-453177.89167160861</v>
      </c>
      <c r="BB9" s="749">
        <v>-451830.10160969757</v>
      </c>
      <c r="BC9" s="749">
        <v>-446362.62787725375</v>
      </c>
    </row>
    <row r="10" spans="1:55" ht="22.5" customHeight="1">
      <c r="A10" s="746"/>
      <c r="B10" s="747"/>
      <c r="C10" s="747"/>
      <c r="D10" s="747"/>
      <c r="E10" s="747"/>
      <c r="F10" s="747"/>
      <c r="G10" s="747"/>
      <c r="H10" s="747"/>
      <c r="I10" s="747"/>
      <c r="J10" s="747"/>
      <c r="K10" s="747"/>
      <c r="L10" s="747"/>
      <c r="M10" s="747"/>
      <c r="N10" s="747"/>
      <c r="O10" s="747"/>
      <c r="P10" s="747"/>
      <c r="Q10" s="747"/>
      <c r="R10" s="747"/>
      <c r="S10" s="747"/>
      <c r="T10" s="747"/>
      <c r="U10" s="747"/>
      <c r="V10" s="747"/>
      <c r="W10" s="747"/>
      <c r="X10" s="747"/>
      <c r="Y10" s="747"/>
      <c r="Z10" s="747"/>
      <c r="AA10" s="747"/>
      <c r="AB10" s="747"/>
      <c r="AC10" s="747"/>
      <c r="AD10" s="747"/>
      <c r="AE10" s="747"/>
      <c r="AF10" s="747"/>
      <c r="AG10" s="747"/>
      <c r="AH10" s="747"/>
      <c r="AI10" s="747"/>
      <c r="AJ10" s="747"/>
      <c r="AK10" s="747"/>
      <c r="AL10" s="747"/>
      <c r="AM10" s="747"/>
      <c r="AN10" s="747"/>
      <c r="AO10" s="747"/>
      <c r="AP10" s="747"/>
      <c r="AQ10" s="748"/>
      <c r="AR10" s="747"/>
      <c r="AS10" s="747"/>
      <c r="AT10" s="747"/>
      <c r="AU10" s="747"/>
      <c r="AV10" s="747"/>
      <c r="AW10" s="747"/>
      <c r="AX10" s="747"/>
      <c r="AY10" s="747"/>
      <c r="AZ10" s="749"/>
      <c r="BA10" s="749"/>
      <c r="BB10" s="749"/>
      <c r="BC10" s="749"/>
    </row>
    <row r="11" spans="1:55" ht="22.5" customHeight="1">
      <c r="A11" s="742" t="s">
        <v>527</v>
      </c>
      <c r="B11" s="743">
        <v>279157.43526341411</v>
      </c>
      <c r="C11" s="743">
        <v>279902.18730475899</v>
      </c>
      <c r="D11" s="743">
        <v>282179.07488706929</v>
      </c>
      <c r="E11" s="743">
        <v>284293.81727101858</v>
      </c>
      <c r="F11" s="743">
        <v>296063.50983825832</v>
      </c>
      <c r="G11" s="743">
        <v>299764.75971159729</v>
      </c>
      <c r="H11" s="743">
        <v>296640.42558030994</v>
      </c>
      <c r="I11" s="743">
        <v>300612.49926796101</v>
      </c>
      <c r="J11" s="743">
        <v>299807.49843978824</v>
      </c>
      <c r="K11" s="743">
        <v>303317.11869252042</v>
      </c>
      <c r="L11" s="743">
        <v>303677.90454960323</v>
      </c>
      <c r="M11" s="743">
        <v>308854.78865813417</v>
      </c>
      <c r="N11" s="743">
        <v>308512.13633570104</v>
      </c>
      <c r="O11" s="743">
        <v>311686.10395471088</v>
      </c>
      <c r="P11" s="743">
        <v>308500.08114763151</v>
      </c>
      <c r="Q11" s="743">
        <v>314422.51627656468</v>
      </c>
      <c r="R11" s="743">
        <v>316255.17832025024</v>
      </c>
      <c r="S11" s="743">
        <v>321674.97265262774</v>
      </c>
      <c r="T11" s="743">
        <v>324724.43733242183</v>
      </c>
      <c r="U11" s="743">
        <v>328612.74738128798</v>
      </c>
      <c r="V11" s="743">
        <v>332325.67400211346</v>
      </c>
      <c r="W11" s="743">
        <v>340868.64420603361</v>
      </c>
      <c r="X11" s="743">
        <v>342247.0393485669</v>
      </c>
      <c r="Y11" s="743">
        <v>341302.03157849319</v>
      </c>
      <c r="Z11" s="743">
        <v>339250.52614897164</v>
      </c>
      <c r="AA11" s="743">
        <v>340559.42007212853</v>
      </c>
      <c r="AB11" s="743">
        <v>346267.88169898256</v>
      </c>
      <c r="AC11" s="743">
        <v>351086.9632465397</v>
      </c>
      <c r="AD11" s="743">
        <v>358110.97389489633</v>
      </c>
      <c r="AE11" s="743">
        <v>367426.84619048331</v>
      </c>
      <c r="AF11" s="743">
        <v>368866.51602499024</v>
      </c>
      <c r="AG11" s="743">
        <v>371601.85832135472</v>
      </c>
      <c r="AH11" s="743">
        <v>376240.38390320149</v>
      </c>
      <c r="AI11" s="743">
        <v>380541.05354163487</v>
      </c>
      <c r="AJ11" s="743">
        <v>380895.71790494601</v>
      </c>
      <c r="AK11" s="743">
        <v>391021.90605307498</v>
      </c>
      <c r="AL11" s="743">
        <v>390670.56807425956</v>
      </c>
      <c r="AM11" s="743">
        <v>399383.58689828479</v>
      </c>
      <c r="AN11" s="743">
        <v>397812.20158805221</v>
      </c>
      <c r="AO11" s="743">
        <v>400652.288198361</v>
      </c>
      <c r="AP11" s="743">
        <v>395570.16558570298</v>
      </c>
      <c r="AQ11" s="744">
        <v>395942.4653156143</v>
      </c>
      <c r="AR11" s="743">
        <v>410710.68947570113</v>
      </c>
      <c r="AS11" s="743">
        <v>434803.77510363708</v>
      </c>
      <c r="AT11" s="743">
        <v>438731.62484525517</v>
      </c>
      <c r="AU11" s="743">
        <v>432771.08952404722</v>
      </c>
      <c r="AV11" s="743">
        <v>438650.54830013338</v>
      </c>
      <c r="AW11" s="743">
        <v>448174.55755044182</v>
      </c>
      <c r="AX11" s="743">
        <v>432659.16859272541</v>
      </c>
      <c r="AY11" s="743">
        <v>435872.06325177965</v>
      </c>
      <c r="AZ11" s="745">
        <v>438794.36667353794</v>
      </c>
      <c r="BA11" s="745">
        <v>436791.86512686458</v>
      </c>
      <c r="BB11" s="745">
        <v>433904.52131419996</v>
      </c>
      <c r="BC11" s="745">
        <v>426481.2387282523</v>
      </c>
    </row>
    <row r="12" spans="1:55" ht="22.5" customHeight="1">
      <c r="A12" s="742" t="s">
        <v>528</v>
      </c>
      <c r="B12" s="743">
        <v>30107.789499937426</v>
      </c>
      <c r="C12" s="743">
        <v>31094.415139565437</v>
      </c>
      <c r="D12" s="743">
        <v>30962.734737710922</v>
      </c>
      <c r="E12" s="743">
        <v>31722.669563358046</v>
      </c>
      <c r="F12" s="743">
        <v>32291.245409282688</v>
      </c>
      <c r="G12" s="743">
        <v>32190.982644318014</v>
      </c>
      <c r="H12" s="743">
        <v>30094.231303218698</v>
      </c>
      <c r="I12" s="743">
        <v>28685.302738552564</v>
      </c>
      <c r="J12" s="743">
        <v>27202.292881792397</v>
      </c>
      <c r="K12" s="743">
        <v>28366.741870910639</v>
      </c>
      <c r="L12" s="743">
        <v>26731.423608776124</v>
      </c>
      <c r="M12" s="743">
        <v>29842.888080704441</v>
      </c>
      <c r="N12" s="743">
        <v>29586.633266821049</v>
      </c>
      <c r="O12" s="743">
        <v>29891.802077865286</v>
      </c>
      <c r="P12" s="743">
        <v>25947.623236333398</v>
      </c>
      <c r="Q12" s="743">
        <v>27891.315556650741</v>
      </c>
      <c r="R12" s="743">
        <v>27836.315869896483</v>
      </c>
      <c r="S12" s="743">
        <v>29550.652640857745</v>
      </c>
      <c r="T12" s="743">
        <v>28814.146909541632</v>
      </c>
      <c r="U12" s="743">
        <v>29743.461993769037</v>
      </c>
      <c r="V12" s="743">
        <v>28007.929026793463</v>
      </c>
      <c r="W12" s="743">
        <v>27848.917471561232</v>
      </c>
      <c r="X12" s="743">
        <v>30798.478573031363</v>
      </c>
      <c r="Y12" s="743">
        <v>30173.425683765061</v>
      </c>
      <c r="Z12" s="743">
        <v>27635.564013278301</v>
      </c>
      <c r="AA12" s="743">
        <v>28505.675546840474</v>
      </c>
      <c r="AB12" s="743">
        <v>30015.249470331852</v>
      </c>
      <c r="AC12" s="743">
        <v>28849.601820639546</v>
      </c>
      <c r="AD12" s="743">
        <v>29685.935308031258</v>
      </c>
      <c r="AE12" s="743">
        <v>27434.626315896196</v>
      </c>
      <c r="AF12" s="743">
        <v>24564.372512824608</v>
      </c>
      <c r="AG12" s="743">
        <v>24843.929419416796</v>
      </c>
      <c r="AH12" s="743">
        <v>26903.079659206087</v>
      </c>
      <c r="AI12" s="743">
        <v>26692.130185590468</v>
      </c>
      <c r="AJ12" s="743">
        <v>23489.867346898696</v>
      </c>
      <c r="AK12" s="743">
        <v>26748.267328989139</v>
      </c>
      <c r="AL12" s="743">
        <v>24970.557388426183</v>
      </c>
      <c r="AM12" s="743">
        <v>27360.03419733396</v>
      </c>
      <c r="AN12" s="743">
        <v>28048.947249844314</v>
      </c>
      <c r="AO12" s="743">
        <v>27103.25020048616</v>
      </c>
      <c r="AP12" s="743">
        <v>23704.250976455427</v>
      </c>
      <c r="AQ12" s="744">
        <v>24490.234397729691</v>
      </c>
      <c r="AR12" s="743">
        <v>29194.044954404722</v>
      </c>
      <c r="AS12" s="743">
        <v>31589.148616054386</v>
      </c>
      <c r="AT12" s="743">
        <v>28878.627380932827</v>
      </c>
      <c r="AU12" s="743">
        <v>29438.984456836901</v>
      </c>
      <c r="AV12" s="743">
        <v>32222.328507304621</v>
      </c>
      <c r="AW12" s="743">
        <v>34759.046630821162</v>
      </c>
      <c r="AX12" s="743">
        <v>34060.323408110286</v>
      </c>
      <c r="AY12" s="743">
        <v>34817.594275368436</v>
      </c>
      <c r="AZ12" s="745">
        <v>35853.595180281867</v>
      </c>
      <c r="BA12" s="745">
        <v>32821.366597128312</v>
      </c>
      <c r="BB12" s="745">
        <v>35817.305316602033</v>
      </c>
      <c r="BC12" s="745">
        <v>34503.982019541334</v>
      </c>
    </row>
    <row r="13" spans="1:55" ht="22.5" customHeight="1">
      <c r="A13" s="746" t="s">
        <v>529</v>
      </c>
      <c r="B13" s="747">
        <v>62247.449598796695</v>
      </c>
      <c r="C13" s="747">
        <v>62078.627513342202</v>
      </c>
      <c r="D13" s="747">
        <v>58621.628512086099</v>
      </c>
      <c r="E13" s="747">
        <v>61059.940191024194</v>
      </c>
      <c r="F13" s="747">
        <v>62075.973603945691</v>
      </c>
      <c r="G13" s="747">
        <v>63451.930288277792</v>
      </c>
      <c r="H13" s="747">
        <v>60329.759144688702</v>
      </c>
      <c r="I13" s="747">
        <v>59364.753885714301</v>
      </c>
      <c r="J13" s="747">
        <v>58071.370773454997</v>
      </c>
      <c r="K13" s="747">
        <v>58355.757920710188</v>
      </c>
      <c r="L13" s="747">
        <v>60527.158519901997</v>
      </c>
      <c r="M13" s="747">
        <v>63181.795107204591</v>
      </c>
      <c r="N13" s="747">
        <v>60527.455175031791</v>
      </c>
      <c r="O13" s="747">
        <v>59228.258593532999</v>
      </c>
      <c r="P13" s="747">
        <v>59090.206294092699</v>
      </c>
      <c r="Q13" s="747">
        <v>59977.721164235802</v>
      </c>
      <c r="R13" s="747">
        <v>59610.460310873001</v>
      </c>
      <c r="S13" s="747">
        <v>59154.092239929996</v>
      </c>
      <c r="T13" s="747">
        <v>60056.864967213296</v>
      </c>
      <c r="U13" s="747">
        <v>58790.068792390397</v>
      </c>
      <c r="V13" s="747">
        <v>58238.144413407193</v>
      </c>
      <c r="W13" s="747">
        <v>60426.469304216494</v>
      </c>
      <c r="X13" s="747">
        <v>60787.891064987001</v>
      </c>
      <c r="Y13" s="747">
        <v>60487.665919956497</v>
      </c>
      <c r="Z13" s="747">
        <v>61557.747562835895</v>
      </c>
      <c r="AA13" s="747">
        <v>60765.079328507403</v>
      </c>
      <c r="AB13" s="747">
        <v>62239.532246027207</v>
      </c>
      <c r="AC13" s="747">
        <v>61389.677588403494</v>
      </c>
      <c r="AD13" s="747">
        <v>62491.376489843897</v>
      </c>
      <c r="AE13" s="747">
        <v>62494.342657425601</v>
      </c>
      <c r="AF13" s="747">
        <v>60676.384979231101</v>
      </c>
      <c r="AG13" s="747">
        <v>61284.490368013096</v>
      </c>
      <c r="AH13" s="747">
        <v>60724.533443126398</v>
      </c>
      <c r="AI13" s="747">
        <v>61380.022424516697</v>
      </c>
      <c r="AJ13" s="747">
        <v>61423.613334974791</v>
      </c>
      <c r="AK13" s="747">
        <v>61251.304019367759</v>
      </c>
      <c r="AL13" s="747">
        <v>61263.400885697803</v>
      </c>
      <c r="AM13" s="747">
        <v>61529.145957104425</v>
      </c>
      <c r="AN13" s="747">
        <v>63129.123083022227</v>
      </c>
      <c r="AO13" s="747">
        <v>63466.015183915326</v>
      </c>
      <c r="AP13" s="747">
        <v>63704.506322416666</v>
      </c>
      <c r="AQ13" s="748">
        <v>63203.108327341819</v>
      </c>
      <c r="AR13" s="747">
        <v>64822.12292138319</v>
      </c>
      <c r="AS13" s="747">
        <v>65926.752736681025</v>
      </c>
      <c r="AT13" s="747">
        <v>66073.018351476101</v>
      </c>
      <c r="AU13" s="747">
        <v>65758.897825785491</v>
      </c>
      <c r="AV13" s="747">
        <v>65415.171107779017</v>
      </c>
      <c r="AW13" s="747">
        <v>65605.505796377416</v>
      </c>
      <c r="AX13" s="747">
        <v>66551.458848736744</v>
      </c>
      <c r="AY13" s="747">
        <v>67604.386516305123</v>
      </c>
      <c r="AZ13" s="749">
        <v>68621.399317399613</v>
      </c>
      <c r="BA13" s="749">
        <v>70840.141138037405</v>
      </c>
      <c r="BB13" s="749">
        <v>71998.040262357157</v>
      </c>
      <c r="BC13" s="749">
        <v>74354.521860141191</v>
      </c>
    </row>
    <row r="14" spans="1:55" ht="22.5" customHeight="1">
      <c r="A14" s="746" t="s">
        <v>530</v>
      </c>
      <c r="B14" s="747">
        <v>-32139.660098859269</v>
      </c>
      <c r="C14" s="747">
        <v>-30984.212373776765</v>
      </c>
      <c r="D14" s="747">
        <v>-27658.893774375178</v>
      </c>
      <c r="E14" s="747">
        <v>-29337.270627666148</v>
      </c>
      <c r="F14" s="747">
        <v>-29784.728194663003</v>
      </c>
      <c r="G14" s="747">
        <v>-31260.947643959778</v>
      </c>
      <c r="H14" s="747">
        <v>-30235.527841470004</v>
      </c>
      <c r="I14" s="747">
        <v>-30679.451147161737</v>
      </c>
      <c r="J14" s="747">
        <v>-30869.0778916626</v>
      </c>
      <c r="K14" s="747">
        <v>-29989.016049799549</v>
      </c>
      <c r="L14" s="747">
        <v>-33795.734911125874</v>
      </c>
      <c r="M14" s="747">
        <v>-33338.90702650015</v>
      </c>
      <c r="N14" s="747">
        <v>-30940.821908210743</v>
      </c>
      <c r="O14" s="747">
        <v>-29336.456515667713</v>
      </c>
      <c r="P14" s="747">
        <v>-33142.583057759301</v>
      </c>
      <c r="Q14" s="747">
        <v>-32086.40560758506</v>
      </c>
      <c r="R14" s="747">
        <v>-31774.144440976517</v>
      </c>
      <c r="S14" s="747">
        <v>-29603.439599072251</v>
      </c>
      <c r="T14" s="747">
        <v>-31242.718057671664</v>
      </c>
      <c r="U14" s="747">
        <v>-29046.60679862136</v>
      </c>
      <c r="V14" s="747">
        <v>-30230.215386613731</v>
      </c>
      <c r="W14" s="747">
        <v>-32577.551832655263</v>
      </c>
      <c r="X14" s="747">
        <v>-29989.412491955638</v>
      </c>
      <c r="Y14" s="747">
        <v>-30314.240236191436</v>
      </c>
      <c r="Z14" s="747">
        <v>-33922.183549557594</v>
      </c>
      <c r="AA14" s="747">
        <v>-32259.40378166693</v>
      </c>
      <c r="AB14" s="747">
        <v>-32224.282775695356</v>
      </c>
      <c r="AC14" s="747">
        <v>-32540.075767763949</v>
      </c>
      <c r="AD14" s="747">
        <v>-32805.441181812639</v>
      </c>
      <c r="AE14" s="747">
        <v>-35059.716341529405</v>
      </c>
      <c r="AF14" s="747">
        <v>-36112.012466406493</v>
      </c>
      <c r="AG14" s="747">
        <v>-36440.5609485963</v>
      </c>
      <c r="AH14" s="747">
        <v>-33821.453783920311</v>
      </c>
      <c r="AI14" s="747">
        <v>-34687.89223892623</v>
      </c>
      <c r="AJ14" s="747">
        <v>-37933.745988076094</v>
      </c>
      <c r="AK14" s="747">
        <v>-34503.03669037862</v>
      </c>
      <c r="AL14" s="747">
        <v>-36292.84349727162</v>
      </c>
      <c r="AM14" s="747">
        <v>-34169.111759770465</v>
      </c>
      <c r="AN14" s="747">
        <v>-35080.175833177913</v>
      </c>
      <c r="AO14" s="747">
        <v>-36362.764983429166</v>
      </c>
      <c r="AP14" s="747">
        <v>-40000.255345961239</v>
      </c>
      <c r="AQ14" s="748">
        <v>-38712.873929612128</v>
      </c>
      <c r="AR14" s="747">
        <v>-35628.077966978468</v>
      </c>
      <c r="AS14" s="747">
        <v>-34337.604120626638</v>
      </c>
      <c r="AT14" s="747">
        <v>-37194.390970543274</v>
      </c>
      <c r="AU14" s="747">
        <v>-36319.91336894859</v>
      </c>
      <c r="AV14" s="747">
        <v>-33192.842600474396</v>
      </c>
      <c r="AW14" s="747">
        <v>-30846.459165556254</v>
      </c>
      <c r="AX14" s="747">
        <v>-32491.135440626458</v>
      </c>
      <c r="AY14" s="747">
        <v>-32786.792240936687</v>
      </c>
      <c r="AZ14" s="749">
        <v>-32767.804137117746</v>
      </c>
      <c r="BA14" s="749">
        <v>-38018.774540909093</v>
      </c>
      <c r="BB14" s="749">
        <v>-36180.734945755124</v>
      </c>
      <c r="BC14" s="749">
        <v>-39850.539840599857</v>
      </c>
    </row>
    <row r="15" spans="1:55" ht="22.5" customHeight="1">
      <c r="A15" s="742" t="s">
        <v>531</v>
      </c>
      <c r="B15" s="743">
        <v>249049.64576347667</v>
      </c>
      <c r="C15" s="743">
        <v>248807.77216519357</v>
      </c>
      <c r="D15" s="743">
        <v>251216.34014935835</v>
      </c>
      <c r="E15" s="743">
        <v>252571.14770766054</v>
      </c>
      <c r="F15" s="743">
        <v>263772.26442897564</v>
      </c>
      <c r="G15" s="743">
        <v>267573.77706727927</v>
      </c>
      <c r="H15" s="743">
        <v>266546.19427709124</v>
      </c>
      <c r="I15" s="743">
        <v>271927.19652940845</v>
      </c>
      <c r="J15" s="743">
        <v>272605.20555799583</v>
      </c>
      <c r="K15" s="743">
        <v>274950.3768216098</v>
      </c>
      <c r="L15" s="743">
        <v>276946.48094082711</v>
      </c>
      <c r="M15" s="743">
        <v>279011.90057742974</v>
      </c>
      <c r="N15" s="743">
        <v>278925.50306888</v>
      </c>
      <c r="O15" s="743">
        <v>281794.30187684559</v>
      </c>
      <c r="P15" s="743">
        <v>282552.45791129809</v>
      </c>
      <c r="Q15" s="743">
        <v>286531.20071991393</v>
      </c>
      <c r="R15" s="743">
        <v>288418.86245035374</v>
      </c>
      <c r="S15" s="743">
        <v>292124.32001177</v>
      </c>
      <c r="T15" s="743">
        <v>295910.29042288021</v>
      </c>
      <c r="U15" s="743">
        <v>298869.28538751893</v>
      </c>
      <c r="V15" s="743">
        <v>304317.74497532001</v>
      </c>
      <c r="W15" s="743">
        <v>313019.72673447238</v>
      </c>
      <c r="X15" s="743">
        <v>311448.56077553553</v>
      </c>
      <c r="Y15" s="743">
        <v>311128.60589472816</v>
      </c>
      <c r="Z15" s="743">
        <v>311614.96213569335</v>
      </c>
      <c r="AA15" s="743">
        <v>312053.74452528806</v>
      </c>
      <c r="AB15" s="743">
        <v>316252.63222865073</v>
      </c>
      <c r="AC15" s="743">
        <v>322237.36142590013</v>
      </c>
      <c r="AD15" s="743">
        <v>328425.03858686506</v>
      </c>
      <c r="AE15" s="743">
        <v>339992.21987458714</v>
      </c>
      <c r="AF15" s="743">
        <v>344302.14351216564</v>
      </c>
      <c r="AG15" s="743">
        <v>346757.92890193791</v>
      </c>
      <c r="AH15" s="743">
        <v>349337.3042439954</v>
      </c>
      <c r="AI15" s="743">
        <v>353848.9233560444</v>
      </c>
      <c r="AJ15" s="743">
        <v>357405.8505580473</v>
      </c>
      <c r="AK15" s="743">
        <v>364273.63872408582</v>
      </c>
      <c r="AL15" s="743">
        <v>365700.0106858334</v>
      </c>
      <c r="AM15" s="743">
        <v>372023.55270095082</v>
      </c>
      <c r="AN15" s="743">
        <v>369763.25433820789</v>
      </c>
      <c r="AO15" s="743">
        <v>373549.03799787484</v>
      </c>
      <c r="AP15" s="743">
        <v>371865.91460924759</v>
      </c>
      <c r="AQ15" s="744">
        <v>371452.23091788462</v>
      </c>
      <c r="AR15" s="743">
        <v>381516.64452129643</v>
      </c>
      <c r="AS15" s="743">
        <v>403214.62648758269</v>
      </c>
      <c r="AT15" s="743">
        <v>409852.99746432231</v>
      </c>
      <c r="AU15" s="743">
        <v>403332.10506721033</v>
      </c>
      <c r="AV15" s="743">
        <v>406428.21979282878</v>
      </c>
      <c r="AW15" s="743">
        <v>413415.51091962063</v>
      </c>
      <c r="AX15" s="743">
        <v>398598.84518461511</v>
      </c>
      <c r="AY15" s="743">
        <v>401054.46897641121</v>
      </c>
      <c r="AZ15" s="745">
        <v>402940.77149325609</v>
      </c>
      <c r="BA15" s="745">
        <v>403970.49852973624</v>
      </c>
      <c r="BB15" s="745">
        <v>398087.2159975979</v>
      </c>
      <c r="BC15" s="745">
        <v>391977.25670871098</v>
      </c>
    </row>
    <row r="16" spans="1:55" ht="22.5" customHeight="1">
      <c r="A16" s="746"/>
      <c r="B16" s="747"/>
      <c r="C16" s="747"/>
      <c r="D16" s="747"/>
      <c r="E16" s="747"/>
      <c r="F16" s="747"/>
      <c r="G16" s="747"/>
      <c r="H16" s="747"/>
      <c r="I16" s="747"/>
      <c r="J16" s="747"/>
      <c r="K16" s="747"/>
      <c r="L16" s="747"/>
      <c r="M16" s="747"/>
      <c r="N16" s="747"/>
      <c r="O16" s="747"/>
      <c r="P16" s="747"/>
      <c r="Q16" s="747"/>
      <c r="R16" s="747"/>
      <c r="S16" s="747"/>
      <c r="T16" s="747"/>
      <c r="U16" s="747"/>
      <c r="V16" s="747"/>
      <c r="W16" s="747"/>
      <c r="X16" s="747"/>
      <c r="Y16" s="747"/>
      <c r="Z16" s="747"/>
      <c r="AA16" s="747"/>
      <c r="AB16" s="747"/>
      <c r="AC16" s="747"/>
      <c r="AD16" s="747"/>
      <c r="AE16" s="747"/>
      <c r="AF16" s="747"/>
      <c r="AG16" s="747"/>
      <c r="AH16" s="747"/>
      <c r="AI16" s="747"/>
      <c r="AJ16" s="747"/>
      <c r="AK16" s="747"/>
      <c r="AL16" s="747"/>
      <c r="AM16" s="747"/>
      <c r="AN16" s="747"/>
      <c r="AO16" s="747"/>
      <c r="AP16" s="747"/>
      <c r="AQ16" s="748"/>
      <c r="AR16" s="747"/>
      <c r="AS16" s="747"/>
      <c r="AT16" s="747"/>
      <c r="AU16" s="747"/>
      <c r="AV16" s="747"/>
      <c r="AW16" s="747"/>
      <c r="AX16" s="747"/>
      <c r="AY16" s="747"/>
      <c r="AZ16" s="749"/>
      <c r="BA16" s="749"/>
      <c r="BB16" s="749"/>
      <c r="BC16" s="749"/>
    </row>
    <row r="17" spans="1:55" ht="22.5" customHeight="1">
      <c r="A17" s="742" t="s">
        <v>532</v>
      </c>
      <c r="B17" s="743">
        <v>279735.10531540611</v>
      </c>
      <c r="C17" s="743">
        <v>280832.71616430738</v>
      </c>
      <c r="D17" s="743">
        <v>281427.58380275633</v>
      </c>
      <c r="E17" s="743">
        <v>282053.88717788778</v>
      </c>
      <c r="F17" s="743">
        <v>286161.75081736082</v>
      </c>
      <c r="G17" s="743">
        <v>286852.74157677876</v>
      </c>
      <c r="H17" s="743">
        <v>281980.74913940532</v>
      </c>
      <c r="I17" s="743">
        <v>282105.32767522556</v>
      </c>
      <c r="J17" s="743">
        <v>283581.44315563818</v>
      </c>
      <c r="K17" s="743">
        <v>287418.95498439157</v>
      </c>
      <c r="L17" s="743">
        <v>288135.77511421102</v>
      </c>
      <c r="M17" s="743">
        <v>300231.38741758832</v>
      </c>
      <c r="N17" s="743">
        <v>298556.62578708364</v>
      </c>
      <c r="O17" s="743">
        <v>298369.33004481444</v>
      </c>
      <c r="P17" s="743">
        <v>298155.4975326315</v>
      </c>
      <c r="Q17" s="743">
        <v>299059.78403224464</v>
      </c>
      <c r="R17" s="743">
        <v>299494.63948161434</v>
      </c>
      <c r="S17" s="743">
        <v>306227.71706558566</v>
      </c>
      <c r="T17" s="743">
        <v>305393.34314475313</v>
      </c>
      <c r="U17" s="743">
        <v>308770.06989294145</v>
      </c>
      <c r="V17" s="743">
        <v>309120.82380339794</v>
      </c>
      <c r="W17" s="743">
        <v>309586.03971583769</v>
      </c>
      <c r="X17" s="743">
        <v>312758.67268372775</v>
      </c>
      <c r="Y17" s="743">
        <v>319536.66994800227</v>
      </c>
      <c r="Z17" s="743">
        <v>318174.79569418327</v>
      </c>
      <c r="AA17" s="743">
        <v>318311.51350059046</v>
      </c>
      <c r="AB17" s="743">
        <v>321028.1330225463</v>
      </c>
      <c r="AC17" s="743">
        <v>321243.46464984753</v>
      </c>
      <c r="AD17" s="743">
        <v>323994.44183545001</v>
      </c>
      <c r="AE17" s="743">
        <v>327851.02421752224</v>
      </c>
      <c r="AF17" s="743">
        <v>328873.41930057184</v>
      </c>
      <c r="AG17" s="743">
        <v>329210.58830269566</v>
      </c>
      <c r="AH17" s="743">
        <v>331263.67529123975</v>
      </c>
      <c r="AI17" s="743">
        <v>334358.44301515532</v>
      </c>
      <c r="AJ17" s="743">
        <v>336572.52553336316</v>
      </c>
      <c r="AK17" s="743">
        <v>345617.19551340822</v>
      </c>
      <c r="AL17" s="743">
        <v>340908.92052914307</v>
      </c>
      <c r="AM17" s="743">
        <v>344826.53440251615</v>
      </c>
      <c r="AN17" s="743">
        <v>348245.69090443774</v>
      </c>
      <c r="AO17" s="743">
        <v>346565.10847846698</v>
      </c>
      <c r="AP17" s="743">
        <v>346712.14590246271</v>
      </c>
      <c r="AQ17" s="744">
        <v>351375.81885802944</v>
      </c>
      <c r="AR17" s="743">
        <v>352944.69968920405</v>
      </c>
      <c r="AS17" s="743">
        <v>351417.83862996538</v>
      </c>
      <c r="AT17" s="743">
        <v>350499.23615290475</v>
      </c>
      <c r="AU17" s="743">
        <v>349810.86009880248</v>
      </c>
      <c r="AV17" s="743">
        <v>354693.08322884847</v>
      </c>
      <c r="AW17" s="743">
        <v>365608.73772902408</v>
      </c>
      <c r="AX17" s="743">
        <v>364980.69233736565</v>
      </c>
      <c r="AY17" s="743">
        <v>369066.6968826761</v>
      </c>
      <c r="AZ17" s="745">
        <v>371778.39312112692</v>
      </c>
      <c r="BA17" s="745">
        <v>372675.4736776097</v>
      </c>
      <c r="BB17" s="745">
        <v>374448.43718937907</v>
      </c>
      <c r="BC17" s="745">
        <v>378456.25837457663</v>
      </c>
    </row>
    <row r="18" spans="1:55" ht="22.5" customHeight="1">
      <c r="A18" s="746" t="s">
        <v>533</v>
      </c>
      <c r="B18" s="747">
        <v>16171.960026841442</v>
      </c>
      <c r="C18" s="747">
        <v>15979.91850439056</v>
      </c>
      <c r="D18" s="747">
        <v>15845.174678718537</v>
      </c>
      <c r="E18" s="747">
        <v>16036.327574022576</v>
      </c>
      <c r="F18" s="747">
        <v>16227.254416493</v>
      </c>
      <c r="G18" s="747">
        <v>15904.557043885219</v>
      </c>
      <c r="H18" s="747">
        <v>16369.72122726513</v>
      </c>
      <c r="I18" s="747">
        <v>16281.244842284286</v>
      </c>
      <c r="J18" s="747">
        <v>16241.98075845217</v>
      </c>
      <c r="K18" s="747">
        <v>16473.996105313156</v>
      </c>
      <c r="L18" s="747">
        <v>16722.43897559122</v>
      </c>
      <c r="M18" s="747">
        <v>18975.00627066891</v>
      </c>
      <c r="N18" s="747">
        <v>18010.593082900661</v>
      </c>
      <c r="O18" s="747">
        <v>17749.329653375993</v>
      </c>
      <c r="P18" s="747">
        <v>17492.407133231849</v>
      </c>
      <c r="Q18" s="747">
        <v>17646.497592686108</v>
      </c>
      <c r="R18" s="747">
        <v>17594.772439179418</v>
      </c>
      <c r="S18" s="747">
        <v>17516.570603709999</v>
      </c>
      <c r="T18" s="747">
        <v>18045.28066906859</v>
      </c>
      <c r="U18" s="747">
        <v>18269.48957031875</v>
      </c>
      <c r="V18" s="747">
        <v>17957.873646394451</v>
      </c>
      <c r="W18" s="747">
        <v>18294.304306683178</v>
      </c>
      <c r="X18" s="747">
        <v>17891.407119467127</v>
      </c>
      <c r="Y18" s="747">
        <v>20307.786446312799</v>
      </c>
      <c r="Z18" s="747">
        <v>19209.573208944617</v>
      </c>
      <c r="AA18" s="747">
        <v>18923.022119759327</v>
      </c>
      <c r="AB18" s="747">
        <v>18978.695497382181</v>
      </c>
      <c r="AC18" s="747">
        <v>18961.549992068227</v>
      </c>
      <c r="AD18" s="747">
        <v>18678.032246711129</v>
      </c>
      <c r="AE18" s="747">
        <v>19013.633662171218</v>
      </c>
      <c r="AF18" s="747">
        <v>19228.100893541679</v>
      </c>
      <c r="AG18" s="747">
        <v>19287.1599017013</v>
      </c>
      <c r="AH18" s="747">
        <v>19233.798105900332</v>
      </c>
      <c r="AI18" s="747">
        <v>19257.554559318651</v>
      </c>
      <c r="AJ18" s="747">
        <v>19629.552590686868</v>
      </c>
      <c r="AK18" s="747">
        <v>22169.717386902448</v>
      </c>
      <c r="AL18" s="747">
        <v>20964.304899561892</v>
      </c>
      <c r="AM18" s="747">
        <v>20780.286985424955</v>
      </c>
      <c r="AN18" s="747">
        <v>20987.016268127656</v>
      </c>
      <c r="AO18" s="747">
        <v>20656.089712851328</v>
      </c>
      <c r="AP18" s="747">
        <v>20557.306859228109</v>
      </c>
      <c r="AQ18" s="748">
        <v>20523.48661882988</v>
      </c>
      <c r="AR18" s="747">
        <v>20820.159883091204</v>
      </c>
      <c r="AS18" s="747">
        <v>20987.512445111654</v>
      </c>
      <c r="AT18" s="747">
        <v>20664.185177378316</v>
      </c>
      <c r="AU18" s="747">
        <v>20702.891560809614</v>
      </c>
      <c r="AV18" s="747">
        <v>20888.105552438185</v>
      </c>
      <c r="AW18" s="747">
        <v>23316.684992015878</v>
      </c>
      <c r="AX18" s="747">
        <v>22265.883860057205</v>
      </c>
      <c r="AY18" s="747">
        <v>22077.566872167037</v>
      </c>
      <c r="AZ18" s="749">
        <v>22090.400144122301</v>
      </c>
      <c r="BA18" s="749">
        <v>21718.536421617555</v>
      </c>
      <c r="BB18" s="749">
        <v>21737.2264592838</v>
      </c>
      <c r="BC18" s="749">
        <v>21684.992832060678</v>
      </c>
    </row>
    <row r="19" spans="1:55" ht="22.5" customHeight="1">
      <c r="A19" s="746" t="s">
        <v>534</v>
      </c>
      <c r="B19" s="747">
        <v>68440.163460267344</v>
      </c>
      <c r="C19" s="747">
        <v>69678.376510214075</v>
      </c>
      <c r="D19" s="747">
        <v>70239.198428667893</v>
      </c>
      <c r="E19" s="747">
        <v>68357.192898560214</v>
      </c>
      <c r="F19" s="747">
        <v>70233.514626166798</v>
      </c>
      <c r="G19" s="747">
        <v>71294.937109063059</v>
      </c>
      <c r="H19" s="747">
        <v>64491.572058049554</v>
      </c>
      <c r="I19" s="747">
        <v>60686.73659774851</v>
      </c>
      <c r="J19" s="747">
        <v>62178.475800750988</v>
      </c>
      <c r="K19" s="747">
        <v>64317.477482118862</v>
      </c>
      <c r="L19" s="747">
        <v>62986.395870102693</v>
      </c>
      <c r="M19" s="747">
        <v>66822.635577947105</v>
      </c>
      <c r="N19" s="747">
        <v>66857.771529601625</v>
      </c>
      <c r="O19" s="747">
        <v>64726.969441204834</v>
      </c>
      <c r="P19" s="747">
        <v>64935.200147133197</v>
      </c>
      <c r="Q19" s="747">
        <v>64094.286390514229</v>
      </c>
      <c r="R19" s="747">
        <v>64820.00739616865</v>
      </c>
      <c r="S19" s="747">
        <v>67735.366582814095</v>
      </c>
      <c r="T19" s="747">
        <v>65055.410495106407</v>
      </c>
      <c r="U19" s="747">
        <v>67323.280074791997</v>
      </c>
      <c r="V19" s="747">
        <v>67629.257695279957</v>
      </c>
      <c r="W19" s="747">
        <v>66022.057503493124</v>
      </c>
      <c r="X19" s="747">
        <v>69189.806936289024</v>
      </c>
      <c r="Y19" s="747">
        <v>69425.492196942403</v>
      </c>
      <c r="Z19" s="747">
        <v>70418.374468171169</v>
      </c>
      <c r="AA19" s="747">
        <v>68961.007171570134</v>
      </c>
      <c r="AB19" s="747">
        <v>68966.851754985924</v>
      </c>
      <c r="AC19" s="747">
        <v>69935.361099149726</v>
      </c>
      <c r="AD19" s="747">
        <v>71130.84171565772</v>
      </c>
      <c r="AE19" s="747">
        <v>72252.999345979173</v>
      </c>
      <c r="AF19" s="747">
        <v>71299.755115606196</v>
      </c>
      <c r="AG19" s="747">
        <v>70869.552863209348</v>
      </c>
      <c r="AH19" s="747">
        <v>71457.467026263155</v>
      </c>
      <c r="AI19" s="747">
        <v>72962.716282801557</v>
      </c>
      <c r="AJ19" s="747">
        <v>74593.484911332082</v>
      </c>
      <c r="AK19" s="747">
        <v>74630.800585144476</v>
      </c>
      <c r="AL19" s="747">
        <v>71880.550028447236</v>
      </c>
      <c r="AM19" s="747">
        <v>72487.703800614865</v>
      </c>
      <c r="AN19" s="747">
        <v>73952.786544837218</v>
      </c>
      <c r="AO19" s="747">
        <v>73243.379458741008</v>
      </c>
      <c r="AP19" s="747">
        <v>72956.856921409402</v>
      </c>
      <c r="AQ19" s="748">
        <v>74120.659506834359</v>
      </c>
      <c r="AR19" s="747">
        <v>76839.86410492062</v>
      </c>
      <c r="AS19" s="747">
        <v>76259.488607465886</v>
      </c>
      <c r="AT19" s="747">
        <v>76067.447345451103</v>
      </c>
      <c r="AU19" s="747">
        <v>74280.950089026097</v>
      </c>
      <c r="AV19" s="747">
        <v>75857.213298872462</v>
      </c>
      <c r="AW19" s="747">
        <v>80391.360526563571</v>
      </c>
      <c r="AX19" s="747">
        <v>80999.115349685977</v>
      </c>
      <c r="AY19" s="747">
        <v>83224.490832997486</v>
      </c>
      <c r="AZ19" s="749">
        <v>80761.726575901353</v>
      </c>
      <c r="BA19" s="749">
        <v>83553.175236591749</v>
      </c>
      <c r="BB19" s="749">
        <v>84398.374121406901</v>
      </c>
      <c r="BC19" s="749">
        <v>85000.136815015503</v>
      </c>
    </row>
    <row r="20" spans="1:55" ht="22.5" customHeight="1">
      <c r="A20" s="746" t="s">
        <v>535</v>
      </c>
      <c r="B20" s="747">
        <v>86002.005008486682</v>
      </c>
      <c r="C20" s="747">
        <v>86430.334994463396</v>
      </c>
      <c r="D20" s="747">
        <v>87980.657385565777</v>
      </c>
      <c r="E20" s="747">
        <v>88701.149805639681</v>
      </c>
      <c r="F20" s="747">
        <v>89270.248456882007</v>
      </c>
      <c r="G20" s="747">
        <v>89154.323627973514</v>
      </c>
      <c r="H20" s="747">
        <v>90701.193436550544</v>
      </c>
      <c r="I20" s="747">
        <v>94966.115896958989</v>
      </c>
      <c r="J20" s="747">
        <v>96640.404973560464</v>
      </c>
      <c r="K20" s="747">
        <v>98032.756931829164</v>
      </c>
      <c r="L20" s="747">
        <v>97861.717844145649</v>
      </c>
      <c r="M20" s="747">
        <v>103724.85564967337</v>
      </c>
      <c r="N20" s="747">
        <v>104389.22207054911</v>
      </c>
      <c r="O20" s="747">
        <v>106664.57534290411</v>
      </c>
      <c r="P20" s="747">
        <v>107206.88138370164</v>
      </c>
      <c r="Q20" s="747">
        <v>108620.08748099591</v>
      </c>
      <c r="R20" s="747">
        <v>107655.14280378608</v>
      </c>
      <c r="S20" s="747">
        <v>108184.74986758425</v>
      </c>
      <c r="T20" s="747">
        <v>108733.92540058088</v>
      </c>
      <c r="U20" s="747">
        <v>109085.11095657838</v>
      </c>
      <c r="V20" s="747">
        <v>108846.39305074242</v>
      </c>
      <c r="W20" s="747">
        <v>109719.8377185056</v>
      </c>
      <c r="X20" s="747">
        <v>109948.1827041051</v>
      </c>
      <c r="Y20" s="747">
        <v>114277.70110134366</v>
      </c>
      <c r="Z20" s="747">
        <v>113985.53990418378</v>
      </c>
      <c r="AA20" s="747">
        <v>116610.20363369156</v>
      </c>
      <c r="AB20" s="747">
        <v>117693.25363014425</v>
      </c>
      <c r="AC20" s="747">
        <v>116060.31403665496</v>
      </c>
      <c r="AD20" s="747">
        <v>116163.6332307518</v>
      </c>
      <c r="AE20" s="747">
        <v>118175.51892211345</v>
      </c>
      <c r="AF20" s="747">
        <v>117894.59109897181</v>
      </c>
      <c r="AG20" s="747">
        <v>117293.51383782346</v>
      </c>
      <c r="AH20" s="747">
        <v>118335.53065373108</v>
      </c>
      <c r="AI20" s="747">
        <v>118419.04652726192</v>
      </c>
      <c r="AJ20" s="747">
        <v>120267.96107586552</v>
      </c>
      <c r="AK20" s="747">
        <v>123940.24706978291</v>
      </c>
      <c r="AL20" s="747">
        <v>125927.59113183178</v>
      </c>
      <c r="AM20" s="747">
        <v>127700.67489801101</v>
      </c>
      <c r="AN20" s="747">
        <v>130221.61249399875</v>
      </c>
      <c r="AO20" s="747">
        <v>129555.58381315233</v>
      </c>
      <c r="AP20" s="747">
        <v>130874.52793089766</v>
      </c>
      <c r="AQ20" s="748">
        <v>132412.54231621322</v>
      </c>
      <c r="AR20" s="747">
        <v>134150.43078186901</v>
      </c>
      <c r="AS20" s="747">
        <v>132965.69728082433</v>
      </c>
      <c r="AT20" s="747">
        <v>132891.3405092886</v>
      </c>
      <c r="AU20" s="747">
        <v>131916.76361065177</v>
      </c>
      <c r="AV20" s="747">
        <v>132916.41188870533</v>
      </c>
      <c r="AW20" s="747">
        <v>137028.58257943401</v>
      </c>
      <c r="AX20" s="747">
        <v>139536.17451725059</v>
      </c>
      <c r="AY20" s="747">
        <v>141374.11037787879</v>
      </c>
      <c r="AZ20" s="749">
        <v>143389.44134980321</v>
      </c>
      <c r="BA20" s="749">
        <v>143137.20575972123</v>
      </c>
      <c r="BB20" s="749">
        <v>143112.36780075575</v>
      </c>
      <c r="BC20" s="749">
        <v>145274.23009115169</v>
      </c>
    </row>
    <row r="21" spans="1:55" ht="22.5" customHeight="1">
      <c r="A21" s="746" t="s">
        <v>536</v>
      </c>
      <c r="B21" s="747">
        <v>108337.33309446063</v>
      </c>
      <c r="C21" s="747">
        <v>107949.05189360936</v>
      </c>
      <c r="D21" s="747">
        <v>106556.19188693419</v>
      </c>
      <c r="E21" s="747">
        <v>108142.09769579527</v>
      </c>
      <c r="F21" s="747">
        <v>109601.04232438894</v>
      </c>
      <c r="G21" s="747">
        <v>109657.16420816696</v>
      </c>
      <c r="H21" s="747">
        <v>109576.92049539011</v>
      </c>
      <c r="I21" s="747">
        <v>109016.7679681938</v>
      </c>
      <c r="J21" s="747">
        <v>107157.51622137454</v>
      </c>
      <c r="K21" s="747">
        <v>107221.09582455043</v>
      </c>
      <c r="L21" s="747">
        <v>109181.01668118146</v>
      </c>
      <c r="M21" s="747">
        <v>109339.50361199888</v>
      </c>
      <c r="N21" s="747">
        <v>107872.76478810217</v>
      </c>
      <c r="O21" s="747">
        <v>107752.41611847951</v>
      </c>
      <c r="P21" s="747">
        <v>106890.97035476481</v>
      </c>
      <c r="Q21" s="747">
        <v>107008.91315902832</v>
      </c>
      <c r="R21" s="747">
        <v>107524.86084521035</v>
      </c>
      <c r="S21" s="747">
        <v>110727.71958847724</v>
      </c>
      <c r="T21" s="747">
        <v>111186.35170496718</v>
      </c>
      <c r="U21" s="747">
        <v>111785.71807500235</v>
      </c>
      <c r="V21" s="747">
        <v>112630.6284661511</v>
      </c>
      <c r="W21" s="747">
        <v>113433.63924819577</v>
      </c>
      <c r="X21" s="747">
        <v>113678.05241101647</v>
      </c>
      <c r="Y21" s="747">
        <v>113563.84232721348</v>
      </c>
      <c r="Z21" s="747">
        <v>112576.62210909363</v>
      </c>
      <c r="AA21" s="747">
        <v>111821.33194981936</v>
      </c>
      <c r="AB21" s="747">
        <v>113383.38799960395</v>
      </c>
      <c r="AC21" s="747">
        <v>114294.08627406454</v>
      </c>
      <c r="AD21" s="747">
        <v>116172.37551745937</v>
      </c>
      <c r="AE21" s="747">
        <v>116533.5371812285</v>
      </c>
      <c r="AF21" s="747">
        <v>118514.46922049219</v>
      </c>
      <c r="AG21" s="747">
        <v>119908.68858915771</v>
      </c>
      <c r="AH21" s="747">
        <v>120422.23327013517</v>
      </c>
      <c r="AI21" s="747">
        <v>121997.54910909318</v>
      </c>
      <c r="AJ21" s="747">
        <v>120275.77831936871</v>
      </c>
      <c r="AK21" s="747">
        <v>122902.1138271384</v>
      </c>
      <c r="AL21" s="747">
        <v>119874.03095146213</v>
      </c>
      <c r="AM21" s="747">
        <v>121506.56051536532</v>
      </c>
      <c r="AN21" s="747">
        <v>119635.54512883411</v>
      </c>
      <c r="AO21" s="747">
        <v>119366.46899796234</v>
      </c>
      <c r="AP21" s="747">
        <v>118324.11332331387</v>
      </c>
      <c r="AQ21" s="748">
        <v>120353.39135312781</v>
      </c>
      <c r="AR21" s="747">
        <v>117329.01579842149</v>
      </c>
      <c r="AS21" s="747">
        <v>117008.62830640456</v>
      </c>
      <c r="AT21" s="747">
        <v>117002.29754481323</v>
      </c>
      <c r="AU21" s="747">
        <v>119075.81281598069</v>
      </c>
      <c r="AV21" s="747">
        <v>121223.42782561541</v>
      </c>
      <c r="AW21" s="747">
        <v>121803.1134269164</v>
      </c>
      <c r="AX21" s="747">
        <v>119349.71920997766</v>
      </c>
      <c r="AY21" s="747">
        <v>119596.13610690634</v>
      </c>
      <c r="AZ21" s="749">
        <v>122623.36647979006</v>
      </c>
      <c r="BA21" s="749">
        <v>121427.41756610731</v>
      </c>
      <c r="BB21" s="749">
        <v>121944.95395148022</v>
      </c>
      <c r="BC21" s="749">
        <v>123269.48505004852</v>
      </c>
    </row>
    <row r="22" spans="1:55" ht="22.5" customHeight="1">
      <c r="A22" s="746" t="s">
        <v>537</v>
      </c>
      <c r="B22" s="747">
        <v>783.64372534999995</v>
      </c>
      <c r="C22" s="747">
        <v>795.03426162999995</v>
      </c>
      <c r="D22" s="747">
        <v>806.36142286999996</v>
      </c>
      <c r="E22" s="747">
        <v>817.11920386999998</v>
      </c>
      <c r="F22" s="747">
        <v>829.69099342999993</v>
      </c>
      <c r="G22" s="747">
        <v>841.75958768999999</v>
      </c>
      <c r="H22" s="747">
        <v>841.34192214999996</v>
      </c>
      <c r="I22" s="747">
        <v>1154.4623700399998</v>
      </c>
      <c r="J22" s="747">
        <v>1363.0654015</v>
      </c>
      <c r="K22" s="747">
        <v>1373.6286405800001</v>
      </c>
      <c r="L22" s="747">
        <v>1384.20574319</v>
      </c>
      <c r="M22" s="747">
        <v>1369.3863073</v>
      </c>
      <c r="N22" s="747">
        <v>1426.2743159300001</v>
      </c>
      <c r="O22" s="747">
        <v>1476.03948885</v>
      </c>
      <c r="P22" s="747">
        <v>1630.0385137999997</v>
      </c>
      <c r="Q22" s="747">
        <v>1689.9994090199998</v>
      </c>
      <c r="R22" s="747">
        <v>1899.85599727</v>
      </c>
      <c r="S22" s="747">
        <v>2063.3104229999999</v>
      </c>
      <c r="T22" s="747">
        <v>2372.3748750300001</v>
      </c>
      <c r="U22" s="747">
        <v>2306.47121625</v>
      </c>
      <c r="V22" s="747">
        <v>2056.6709448299998</v>
      </c>
      <c r="W22" s="747">
        <v>2116.2009389599998</v>
      </c>
      <c r="X22" s="747">
        <v>2051.2235128499997</v>
      </c>
      <c r="Y22" s="747">
        <v>1961.8478761899999</v>
      </c>
      <c r="Z22" s="747">
        <v>1984.6860037900001</v>
      </c>
      <c r="AA22" s="747">
        <v>1995.9486257499998</v>
      </c>
      <c r="AB22" s="747">
        <v>2005.9441404300003</v>
      </c>
      <c r="AC22" s="747">
        <v>1992.1532479099997</v>
      </c>
      <c r="AD22" s="747">
        <v>1849.5591248699998</v>
      </c>
      <c r="AE22" s="747">
        <v>1875.3351060299997</v>
      </c>
      <c r="AF22" s="747">
        <v>1936.5029719600002</v>
      </c>
      <c r="AG22" s="747">
        <v>1851.673110803793</v>
      </c>
      <c r="AH22" s="747">
        <v>1814.6462352099998</v>
      </c>
      <c r="AI22" s="747">
        <v>1721.5765366799997</v>
      </c>
      <c r="AJ22" s="747">
        <v>1805.74863611</v>
      </c>
      <c r="AK22" s="747">
        <v>1974.3166444399999</v>
      </c>
      <c r="AL22" s="747">
        <v>2262.4435178399999</v>
      </c>
      <c r="AM22" s="747">
        <v>2351.3082030999999</v>
      </c>
      <c r="AN22" s="747">
        <v>3448.7304686399993</v>
      </c>
      <c r="AO22" s="747">
        <v>3743.5864957599997</v>
      </c>
      <c r="AP22" s="747">
        <v>3999.3408676136651</v>
      </c>
      <c r="AQ22" s="748">
        <v>3965.7390630241857</v>
      </c>
      <c r="AR22" s="747">
        <v>3805.2291209016812</v>
      </c>
      <c r="AS22" s="747">
        <v>4196.5119901589333</v>
      </c>
      <c r="AT22" s="747">
        <v>3873.9655759735083</v>
      </c>
      <c r="AU22" s="747">
        <v>3834.4420223342331</v>
      </c>
      <c r="AV22" s="747">
        <v>3807.9246632170971</v>
      </c>
      <c r="AW22" s="747">
        <v>3068.9962040941982</v>
      </c>
      <c r="AX22" s="747">
        <v>2829.7994003941976</v>
      </c>
      <c r="AY22" s="747">
        <v>2794.3926927264838</v>
      </c>
      <c r="AZ22" s="749">
        <v>2913.4585715098992</v>
      </c>
      <c r="BA22" s="749">
        <v>2839.1386935717792</v>
      </c>
      <c r="BB22" s="749">
        <v>3255.5148564524297</v>
      </c>
      <c r="BC22" s="749">
        <v>3227.4135863002011</v>
      </c>
    </row>
    <row r="23" spans="1:55" ht="22.5" customHeight="1">
      <c r="A23" s="746"/>
      <c r="B23" s="747"/>
      <c r="C23" s="747"/>
      <c r="D23" s="747"/>
      <c r="E23" s="747"/>
      <c r="F23" s="747"/>
      <c r="G23" s="747"/>
      <c r="H23" s="747"/>
      <c r="I23" s="747"/>
      <c r="J23" s="747"/>
      <c r="K23" s="747"/>
      <c r="L23" s="747"/>
      <c r="M23" s="747"/>
      <c r="N23" s="747"/>
      <c r="O23" s="747"/>
      <c r="P23" s="747"/>
      <c r="Q23" s="747"/>
      <c r="R23" s="747"/>
      <c r="S23" s="747"/>
      <c r="T23" s="747"/>
      <c r="U23" s="747"/>
      <c r="V23" s="747"/>
      <c r="W23" s="747"/>
      <c r="X23" s="747"/>
      <c r="Y23" s="747"/>
      <c r="Z23" s="747"/>
      <c r="AA23" s="747"/>
      <c r="AB23" s="747"/>
      <c r="AC23" s="747"/>
      <c r="AD23" s="747"/>
      <c r="AE23" s="747"/>
      <c r="AF23" s="747"/>
      <c r="AG23" s="747"/>
      <c r="AH23" s="747"/>
      <c r="AI23" s="747"/>
      <c r="AJ23" s="747"/>
      <c r="AK23" s="747"/>
      <c r="AL23" s="747"/>
      <c r="AM23" s="747"/>
      <c r="AN23" s="747"/>
      <c r="AO23" s="747"/>
      <c r="AP23" s="747"/>
      <c r="AQ23" s="748"/>
      <c r="AR23" s="747"/>
      <c r="AS23" s="747"/>
      <c r="AT23" s="747"/>
      <c r="AU23" s="747"/>
      <c r="AV23" s="747"/>
      <c r="AW23" s="747"/>
      <c r="AX23" s="747"/>
      <c r="AY23" s="747"/>
      <c r="AZ23" s="749"/>
      <c r="BA23" s="749"/>
      <c r="BB23" s="749"/>
      <c r="BC23" s="749"/>
    </row>
    <row r="24" spans="1:55" ht="22.5" customHeight="1">
      <c r="A24" s="742" t="s">
        <v>538</v>
      </c>
      <c r="B24" s="743">
        <v>249421.72343086239</v>
      </c>
      <c r="C24" s="743">
        <v>251683.73343534349</v>
      </c>
      <c r="D24" s="743">
        <v>257276.41783137046</v>
      </c>
      <c r="E24" s="743">
        <v>241033.05509909985</v>
      </c>
      <c r="F24" s="743">
        <v>288315.54908923391</v>
      </c>
      <c r="G24" s="743">
        <v>283503.54409989074</v>
      </c>
      <c r="H24" s="743">
        <v>249900.05129821139</v>
      </c>
      <c r="I24" s="743">
        <v>274403.34114791802</v>
      </c>
      <c r="J24" s="743">
        <v>273840.96005234023</v>
      </c>
      <c r="K24" s="743">
        <v>272862.97441161837</v>
      </c>
      <c r="L24" s="743">
        <v>280448.80813903833</v>
      </c>
      <c r="M24" s="743">
        <v>285127.22824227123</v>
      </c>
      <c r="N24" s="743">
        <v>285949.76458674058</v>
      </c>
      <c r="O24" s="743">
        <v>282375.20362944185</v>
      </c>
      <c r="P24" s="743">
        <v>252128.57518651435</v>
      </c>
      <c r="Q24" s="743">
        <v>269805.26106424408</v>
      </c>
      <c r="R24" s="743">
        <v>262543.19234715501</v>
      </c>
      <c r="S24" s="743">
        <v>288168.8524665783</v>
      </c>
      <c r="T24" s="743">
        <v>277038.15307211183</v>
      </c>
      <c r="U24" s="743">
        <v>259164.5096482696</v>
      </c>
      <c r="V24" s="743">
        <v>263307.0499162362</v>
      </c>
      <c r="W24" s="743">
        <v>265912.59229042806</v>
      </c>
      <c r="X24" s="743">
        <v>316471.89617668418</v>
      </c>
      <c r="Y24" s="743">
        <v>258985.93914751025</v>
      </c>
      <c r="Z24" s="743">
        <v>233042.6677349048</v>
      </c>
      <c r="AA24" s="743">
        <v>238005.48124106464</v>
      </c>
      <c r="AB24" s="743">
        <v>285751.89270933071</v>
      </c>
      <c r="AC24" s="743">
        <v>286056.20333105623</v>
      </c>
      <c r="AD24" s="743">
        <v>302733.88373924565</v>
      </c>
      <c r="AE24" s="743">
        <v>237864.52270123633</v>
      </c>
      <c r="AF24" s="743">
        <v>265914.89481855725</v>
      </c>
      <c r="AG24" s="743">
        <v>226927.0897155148</v>
      </c>
      <c r="AH24" s="743">
        <v>250134.81187810071</v>
      </c>
      <c r="AI24" s="743">
        <v>267919.57561633986</v>
      </c>
      <c r="AJ24" s="743">
        <v>268153.0656253848</v>
      </c>
      <c r="AK24" s="743">
        <v>270051.70861034992</v>
      </c>
      <c r="AL24" s="743">
        <v>293471.38304344483</v>
      </c>
      <c r="AM24" s="743">
        <v>238398.10249723177</v>
      </c>
      <c r="AN24" s="743">
        <v>260379.11596963604</v>
      </c>
      <c r="AO24" s="743">
        <v>270523.08078087622</v>
      </c>
      <c r="AP24" s="743">
        <v>301490.54106999451</v>
      </c>
      <c r="AQ24" s="744">
        <v>257271.601201841</v>
      </c>
      <c r="AR24" s="743">
        <v>276146.1621269969</v>
      </c>
      <c r="AS24" s="743">
        <v>260883.78672217965</v>
      </c>
      <c r="AT24" s="743">
        <v>252727.34320697849</v>
      </c>
      <c r="AU24" s="743">
        <v>249208.40920297554</v>
      </c>
      <c r="AV24" s="743">
        <v>253196.13845745657</v>
      </c>
      <c r="AW24" s="743">
        <v>273222.25759406434</v>
      </c>
      <c r="AX24" s="743">
        <v>241915.47072696078</v>
      </c>
      <c r="AY24" s="743">
        <v>243137.21030990247</v>
      </c>
      <c r="AZ24" s="745">
        <v>235702.18005448813</v>
      </c>
      <c r="BA24" s="745">
        <v>254404.93768176984</v>
      </c>
      <c r="BB24" s="745">
        <v>240853.07088779513</v>
      </c>
      <c r="BC24" s="745">
        <v>232663.42813653438</v>
      </c>
    </row>
    <row r="25" spans="1:55" ht="22.5" customHeight="1">
      <c r="A25" s="746"/>
      <c r="B25" s="747"/>
      <c r="C25" s="747"/>
      <c r="D25" s="747"/>
      <c r="E25" s="747"/>
      <c r="F25" s="747"/>
      <c r="G25" s="747"/>
      <c r="H25" s="747"/>
      <c r="I25" s="747"/>
      <c r="J25" s="747"/>
      <c r="K25" s="747"/>
      <c r="L25" s="747"/>
      <c r="M25" s="747"/>
      <c r="N25" s="747"/>
      <c r="O25" s="747"/>
      <c r="P25" s="747"/>
      <c r="Q25" s="747"/>
      <c r="R25" s="747"/>
      <c r="S25" s="747"/>
      <c r="T25" s="747"/>
      <c r="U25" s="747"/>
      <c r="V25" s="747"/>
      <c r="W25" s="747"/>
      <c r="X25" s="747"/>
      <c r="Y25" s="747"/>
      <c r="Z25" s="747"/>
      <c r="AA25" s="747"/>
      <c r="AB25" s="747"/>
      <c r="AC25" s="747"/>
      <c r="AD25" s="747"/>
      <c r="AE25" s="747"/>
      <c r="AF25" s="747"/>
      <c r="AG25" s="747"/>
      <c r="AH25" s="747"/>
      <c r="AI25" s="747"/>
      <c r="AJ25" s="747"/>
      <c r="AK25" s="747"/>
      <c r="AL25" s="747"/>
      <c r="AM25" s="747"/>
      <c r="AN25" s="747"/>
      <c r="AO25" s="747"/>
      <c r="AP25" s="747"/>
      <c r="AQ25" s="748"/>
      <c r="AR25" s="747"/>
      <c r="AS25" s="747"/>
      <c r="AT25" s="747"/>
      <c r="AU25" s="747"/>
      <c r="AV25" s="747"/>
      <c r="AW25" s="747"/>
      <c r="AX25" s="747"/>
      <c r="AY25" s="747"/>
      <c r="AZ25" s="749"/>
      <c r="BA25" s="749"/>
      <c r="BB25" s="749"/>
      <c r="BC25" s="749"/>
    </row>
    <row r="26" spans="1:55" ht="22.5" customHeight="1">
      <c r="A26" s="742" t="s">
        <v>465</v>
      </c>
      <c r="B26" s="743">
        <v>780.83335447802313</v>
      </c>
      <c r="C26" s="743">
        <v>1307.3476262020708</v>
      </c>
      <c r="D26" s="743">
        <v>870.795543418237</v>
      </c>
      <c r="E26" s="743">
        <v>906.74831901740288</v>
      </c>
      <c r="F26" s="743">
        <v>954.59610409870197</v>
      </c>
      <c r="G26" s="743">
        <v>906.56745224829285</v>
      </c>
      <c r="H26" s="743">
        <v>894.12479932191707</v>
      </c>
      <c r="I26" s="743">
        <v>887.25715586064484</v>
      </c>
      <c r="J26" s="743">
        <v>919.85558221704707</v>
      </c>
      <c r="K26" s="743">
        <v>961.68873383604387</v>
      </c>
      <c r="L26" s="743">
        <v>1030.751525010478</v>
      </c>
      <c r="M26" s="743">
        <v>976.46441225026501</v>
      </c>
      <c r="N26" s="743">
        <v>1032.181005959666</v>
      </c>
      <c r="O26" s="743">
        <v>979.14362287489803</v>
      </c>
      <c r="P26" s="743">
        <v>966.705862169488</v>
      </c>
      <c r="Q26" s="743">
        <v>1075.990217483263</v>
      </c>
      <c r="R26" s="743">
        <v>923.61436692454197</v>
      </c>
      <c r="S26" s="743">
        <v>851.83847900000001</v>
      </c>
      <c r="T26" s="743">
        <v>789.93033996162887</v>
      </c>
      <c r="U26" s="743">
        <v>791.66040233189597</v>
      </c>
      <c r="V26" s="743">
        <v>794.65907199350193</v>
      </c>
      <c r="W26" s="743">
        <v>955.85218717974999</v>
      </c>
      <c r="X26" s="743">
        <v>1215.5125553658072</v>
      </c>
      <c r="Y26" s="743">
        <v>1020.2142982047188</v>
      </c>
      <c r="Z26" s="743">
        <v>1087.052801120298</v>
      </c>
      <c r="AA26" s="743">
        <v>1083.1315885791598</v>
      </c>
      <c r="AB26" s="743">
        <v>1127.9859973855298</v>
      </c>
      <c r="AC26" s="743">
        <v>1033.7024482868167</v>
      </c>
      <c r="AD26" s="743">
        <v>990.86649687866691</v>
      </c>
      <c r="AE26" s="743">
        <v>1121.32805768651</v>
      </c>
      <c r="AF26" s="743">
        <v>980.20775901344587</v>
      </c>
      <c r="AG26" s="743">
        <v>1064.886012827616</v>
      </c>
      <c r="AH26" s="743">
        <v>1204.5198552601721</v>
      </c>
      <c r="AI26" s="743">
        <v>1241.2385154657088</v>
      </c>
      <c r="AJ26" s="743">
        <v>1028.0983960188648</v>
      </c>
      <c r="AK26" s="743">
        <v>879.73782580783597</v>
      </c>
      <c r="AL26" s="743">
        <v>1193.2356834366099</v>
      </c>
      <c r="AM26" s="743">
        <v>1329.735668429548</v>
      </c>
      <c r="AN26" s="743">
        <v>988.71528003862841</v>
      </c>
      <c r="AO26" s="743">
        <v>964.18095770440732</v>
      </c>
      <c r="AP26" s="743">
        <v>1096.9291484846294</v>
      </c>
      <c r="AQ26" s="744">
        <v>1084.3626055967143</v>
      </c>
      <c r="AR26" s="743">
        <v>1135.8648678761838</v>
      </c>
      <c r="AS26" s="743">
        <v>4888.5457638808575</v>
      </c>
      <c r="AT26" s="743">
        <v>4868.001493409859</v>
      </c>
      <c r="AU26" s="743">
        <v>4806.9250192648806</v>
      </c>
      <c r="AV26" s="743">
        <v>4816.5420333365264</v>
      </c>
      <c r="AW26" s="743">
        <v>4574.4064544329376</v>
      </c>
      <c r="AX26" s="743">
        <v>4727.197112639943</v>
      </c>
      <c r="AY26" s="743">
        <v>4636.8743797893376</v>
      </c>
      <c r="AZ26" s="745">
        <v>6153.2790808723958</v>
      </c>
      <c r="BA26" s="745">
        <v>6317.0251469209325</v>
      </c>
      <c r="BB26" s="745">
        <v>6775.2763834690504</v>
      </c>
      <c r="BC26" s="745">
        <v>7221.3382246638403</v>
      </c>
    </row>
    <row r="27" spans="1:55" ht="22.5" customHeight="1">
      <c r="A27" s="746"/>
      <c r="B27" s="747"/>
      <c r="C27" s="747"/>
      <c r="D27" s="747"/>
      <c r="E27" s="747"/>
      <c r="F27" s="747"/>
      <c r="G27" s="747"/>
      <c r="H27" s="747"/>
      <c r="I27" s="747"/>
      <c r="J27" s="747"/>
      <c r="K27" s="747"/>
      <c r="L27" s="747"/>
      <c r="M27" s="747"/>
      <c r="N27" s="747"/>
      <c r="O27" s="747"/>
      <c r="P27" s="747"/>
      <c r="Q27" s="747"/>
      <c r="R27" s="747"/>
      <c r="S27" s="747"/>
      <c r="T27" s="747"/>
      <c r="U27" s="747"/>
      <c r="V27" s="747"/>
      <c r="W27" s="747"/>
      <c r="X27" s="747"/>
      <c r="Y27" s="747"/>
      <c r="Z27" s="747"/>
      <c r="AA27" s="747"/>
      <c r="AB27" s="747"/>
      <c r="AC27" s="747"/>
      <c r="AD27" s="747"/>
      <c r="AE27" s="747"/>
      <c r="AF27" s="747"/>
      <c r="AG27" s="747"/>
      <c r="AH27" s="747"/>
      <c r="AI27" s="747"/>
      <c r="AJ27" s="747"/>
      <c r="AK27" s="747"/>
      <c r="AL27" s="747"/>
      <c r="AM27" s="747"/>
      <c r="AN27" s="747"/>
      <c r="AO27" s="747"/>
      <c r="AP27" s="747"/>
      <c r="AQ27" s="748"/>
      <c r="AR27" s="747"/>
      <c r="AS27" s="747"/>
      <c r="AT27" s="747"/>
      <c r="AU27" s="747"/>
      <c r="AV27" s="747"/>
      <c r="AW27" s="747"/>
      <c r="AX27" s="747"/>
      <c r="AY27" s="747"/>
      <c r="AZ27" s="749"/>
      <c r="BA27" s="749"/>
      <c r="BB27" s="749"/>
      <c r="BC27" s="749"/>
    </row>
    <row r="28" spans="1:55" ht="22.5" customHeight="1">
      <c r="A28" s="742" t="s">
        <v>201</v>
      </c>
      <c r="B28" s="743">
        <v>954.40139647000001</v>
      </c>
      <c r="C28" s="743">
        <v>773.83237627999995</v>
      </c>
      <c r="D28" s="743">
        <v>832.74037261000001</v>
      </c>
      <c r="E28" s="743">
        <v>877.0711045999999</v>
      </c>
      <c r="F28" s="743">
        <v>912.78641126999992</v>
      </c>
      <c r="G28" s="743">
        <v>990.83616271999995</v>
      </c>
      <c r="H28" s="743">
        <v>1178.8645466399998</v>
      </c>
      <c r="I28" s="743">
        <v>1144.15429767</v>
      </c>
      <c r="J28" s="743">
        <v>935.40036557999997</v>
      </c>
      <c r="K28" s="743">
        <v>736.85754703999999</v>
      </c>
      <c r="L28" s="743">
        <v>890.49728249999998</v>
      </c>
      <c r="M28" s="743">
        <v>1197.75504847</v>
      </c>
      <c r="N28" s="743">
        <v>1098.23310578</v>
      </c>
      <c r="O28" s="743">
        <v>1073.3048325499999</v>
      </c>
      <c r="P28" s="743">
        <v>1154.3039894599997</v>
      </c>
      <c r="Q28" s="743">
        <v>1163.7714331699999</v>
      </c>
      <c r="R28" s="743">
        <v>1462.8666796499999</v>
      </c>
      <c r="S28" s="743">
        <v>1434.5940000000001</v>
      </c>
      <c r="T28" s="743">
        <v>1579.19917358</v>
      </c>
      <c r="U28" s="743">
        <v>1497.92577121</v>
      </c>
      <c r="V28" s="743">
        <v>1707.9922760499999</v>
      </c>
      <c r="W28" s="743">
        <v>1700.3897597799998</v>
      </c>
      <c r="X28" s="743">
        <v>1729.7772085899996</v>
      </c>
      <c r="Y28" s="743">
        <v>1762.5908422200002</v>
      </c>
      <c r="Z28" s="743">
        <v>1682.78710776</v>
      </c>
      <c r="AA28" s="743">
        <v>1713.32924157</v>
      </c>
      <c r="AB28" s="743">
        <v>1656.5536764200001</v>
      </c>
      <c r="AC28" s="743">
        <v>1632.2673410399998</v>
      </c>
      <c r="AD28" s="743">
        <v>1685.5414563100001</v>
      </c>
      <c r="AE28" s="743">
        <v>1851.5900833599997</v>
      </c>
      <c r="AF28" s="743">
        <v>1868.84614268</v>
      </c>
      <c r="AG28" s="743">
        <v>1748.8815379</v>
      </c>
      <c r="AH28" s="743">
        <v>1722.18598217</v>
      </c>
      <c r="AI28" s="743">
        <v>1714.25887257</v>
      </c>
      <c r="AJ28" s="743">
        <v>2049.9443790199998</v>
      </c>
      <c r="AK28" s="743">
        <v>2023.3571086500001</v>
      </c>
      <c r="AL28" s="743">
        <v>2043.31956182</v>
      </c>
      <c r="AM28" s="743">
        <v>2002.55015974</v>
      </c>
      <c r="AN28" s="743">
        <v>2078.8768424</v>
      </c>
      <c r="AO28" s="743">
        <v>2122.2261027499999</v>
      </c>
      <c r="AP28" s="743">
        <v>2003.80352659</v>
      </c>
      <c r="AQ28" s="744">
        <v>2339.1142400200001</v>
      </c>
      <c r="AR28" s="743">
        <v>2357.4444714199999</v>
      </c>
      <c r="AS28" s="743">
        <v>2598.09075153</v>
      </c>
      <c r="AT28" s="743">
        <v>3525.4559250552802</v>
      </c>
      <c r="AU28" s="743">
        <v>3753.9238259589997</v>
      </c>
      <c r="AV28" s="743">
        <v>3807.8426272781999</v>
      </c>
      <c r="AW28" s="743">
        <v>4047.3651736438596</v>
      </c>
      <c r="AX28" s="743">
        <v>4084.9571735700001</v>
      </c>
      <c r="AY28" s="743">
        <v>4097.551853063861</v>
      </c>
      <c r="AZ28" s="745">
        <v>4224.5270528158399</v>
      </c>
      <c r="BA28" s="745">
        <v>4476.8457098246809</v>
      </c>
      <c r="BB28" s="745">
        <v>4638.9772561358905</v>
      </c>
      <c r="BC28" s="745">
        <v>4251.5199626081203</v>
      </c>
    </row>
    <row r="29" spans="1:55" ht="22.5" customHeight="1">
      <c r="A29" s="746"/>
      <c r="B29" s="747"/>
      <c r="C29" s="747"/>
      <c r="D29" s="747"/>
      <c r="E29" s="747"/>
      <c r="F29" s="747"/>
      <c r="G29" s="747"/>
      <c r="H29" s="747"/>
      <c r="I29" s="747"/>
      <c r="J29" s="747"/>
      <c r="K29" s="747"/>
      <c r="L29" s="747"/>
      <c r="M29" s="747"/>
      <c r="N29" s="747"/>
      <c r="O29" s="747"/>
      <c r="P29" s="747"/>
      <c r="Q29" s="747"/>
      <c r="R29" s="747"/>
      <c r="S29" s="747"/>
      <c r="T29" s="747"/>
      <c r="U29" s="747"/>
      <c r="V29" s="747"/>
      <c r="W29" s="747"/>
      <c r="X29" s="747"/>
      <c r="Y29" s="747"/>
      <c r="Z29" s="747"/>
      <c r="AA29" s="747"/>
      <c r="AB29" s="747"/>
      <c r="AC29" s="747"/>
      <c r="AD29" s="747"/>
      <c r="AE29" s="747"/>
      <c r="AF29" s="747"/>
      <c r="AG29" s="747"/>
      <c r="AH29" s="747"/>
      <c r="AI29" s="747"/>
      <c r="AJ29" s="747"/>
      <c r="AK29" s="747"/>
      <c r="AL29" s="747"/>
      <c r="AM29" s="747"/>
      <c r="AN29" s="747"/>
      <c r="AO29" s="747"/>
      <c r="AP29" s="747"/>
      <c r="AQ29" s="748"/>
      <c r="AR29" s="747"/>
      <c r="AS29" s="747"/>
      <c r="AT29" s="747"/>
      <c r="AU29" s="747"/>
      <c r="AV29" s="747"/>
      <c r="AW29" s="747"/>
      <c r="AX29" s="747"/>
      <c r="AY29" s="747"/>
      <c r="AZ29" s="749"/>
      <c r="BA29" s="749"/>
      <c r="BB29" s="749"/>
      <c r="BC29" s="749"/>
    </row>
    <row r="30" spans="1:55" ht="22.5" customHeight="1">
      <c r="A30" s="742" t="s">
        <v>423</v>
      </c>
      <c r="B30" s="743">
        <v>8004.9418573799994</v>
      </c>
      <c r="C30" s="743">
        <v>6345.2660890399993</v>
      </c>
      <c r="D30" s="743">
        <v>7274.3973694999995</v>
      </c>
      <c r="E30" s="743">
        <v>7471.1022488100007</v>
      </c>
      <c r="F30" s="743">
        <v>12450.12102138</v>
      </c>
      <c r="G30" s="743">
        <v>13043.306204839999</v>
      </c>
      <c r="H30" s="743">
        <v>13172.8547151776</v>
      </c>
      <c r="I30" s="743">
        <v>14515.80547266</v>
      </c>
      <c r="J30" s="743">
        <v>13240.189651499</v>
      </c>
      <c r="K30" s="743">
        <v>13236.251026315998</v>
      </c>
      <c r="L30" s="743">
        <v>13317.192274773599</v>
      </c>
      <c r="M30" s="743">
        <v>9501.1873320228879</v>
      </c>
      <c r="N30" s="743">
        <v>10357.0032780292</v>
      </c>
      <c r="O30" s="743">
        <v>11055.461459829201</v>
      </c>
      <c r="P30" s="743">
        <v>11127.2517693058</v>
      </c>
      <c r="Q30" s="743">
        <v>12865.488681405699</v>
      </c>
      <c r="R30" s="743">
        <v>12319.008321619429</v>
      </c>
      <c r="S30" s="743">
        <v>12482.525</v>
      </c>
      <c r="T30" s="743">
        <v>14247.6379276189</v>
      </c>
      <c r="U30" s="743">
        <v>14089.231251202</v>
      </c>
      <c r="V30" s="743">
        <v>16530.263901124497</v>
      </c>
      <c r="W30" s="743">
        <v>20328.644211066796</v>
      </c>
      <c r="X30" s="743">
        <v>17594.954029616001</v>
      </c>
      <c r="Y30" s="743">
        <v>17280.523779515599</v>
      </c>
      <c r="Z30" s="743">
        <v>17821.451958536396</v>
      </c>
      <c r="AA30" s="743">
        <v>18147.069136084898</v>
      </c>
      <c r="AB30" s="743">
        <v>17882.999953672599</v>
      </c>
      <c r="AC30" s="743">
        <v>20587.424013521402</v>
      </c>
      <c r="AD30" s="743">
        <v>24441.2549489757</v>
      </c>
      <c r="AE30" s="743">
        <v>27500.8282418255</v>
      </c>
      <c r="AF30" s="743">
        <v>31205.986672913001</v>
      </c>
      <c r="AG30" s="743">
        <v>29918.687292360497</v>
      </c>
      <c r="AH30" s="743">
        <v>30731.6072824232</v>
      </c>
      <c r="AI30" s="743">
        <v>31935.307121929403</v>
      </c>
      <c r="AJ30" s="743">
        <v>31548.632029781798</v>
      </c>
      <c r="AK30" s="743">
        <v>33922.982514620904</v>
      </c>
      <c r="AL30" s="743">
        <v>37130.725390234526</v>
      </c>
      <c r="AM30" s="743">
        <v>40196.987263964569</v>
      </c>
      <c r="AN30" s="743">
        <v>36119.447936337179</v>
      </c>
      <c r="AO30" s="743">
        <v>39442.185711229904</v>
      </c>
      <c r="AP30" s="743">
        <v>37721.251117337226</v>
      </c>
      <c r="AQ30" s="744">
        <v>31613.741695206623</v>
      </c>
      <c r="AR30" s="743">
        <v>37412.899783422552</v>
      </c>
      <c r="AS30" s="743">
        <v>54416.710918332916</v>
      </c>
      <c r="AT30" s="743">
        <v>56432.192213846894</v>
      </c>
      <c r="AU30" s="743">
        <v>50440.246592234478</v>
      </c>
      <c r="AV30" s="743">
        <v>48881.789015601302</v>
      </c>
      <c r="AW30" s="743">
        <v>48880.560964746386</v>
      </c>
      <c r="AX30" s="743">
        <v>39948.766296267277</v>
      </c>
      <c r="AY30" s="743">
        <v>38593.980605309778</v>
      </c>
      <c r="AZ30" s="745">
        <v>40498.299068308806</v>
      </c>
      <c r="BA30" s="745">
        <v>41178.206022089078</v>
      </c>
      <c r="BB30" s="745">
        <v>33805.521873733574</v>
      </c>
      <c r="BC30" s="745">
        <v>29398.686670884017</v>
      </c>
    </row>
    <row r="31" spans="1:55" ht="22.5" customHeight="1">
      <c r="A31" s="746"/>
      <c r="B31" s="747"/>
      <c r="C31" s="74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c r="AO31" s="747"/>
      <c r="AP31" s="747"/>
      <c r="AQ31" s="748"/>
      <c r="AR31" s="747"/>
      <c r="AS31" s="747"/>
      <c r="AT31" s="747"/>
      <c r="AU31" s="747"/>
      <c r="AV31" s="747"/>
      <c r="AW31" s="747"/>
      <c r="AX31" s="747"/>
      <c r="AY31" s="747"/>
      <c r="AZ31" s="749"/>
      <c r="BA31" s="749"/>
      <c r="BB31" s="749"/>
      <c r="BC31" s="749"/>
    </row>
    <row r="32" spans="1:55" ht="22.5" customHeight="1">
      <c r="A32" s="742" t="s">
        <v>421</v>
      </c>
      <c r="B32" s="743">
        <v>0</v>
      </c>
      <c r="C32" s="743">
        <v>0</v>
      </c>
      <c r="D32" s="743">
        <v>0</v>
      </c>
      <c r="E32" s="743">
        <v>0</v>
      </c>
      <c r="F32" s="743">
        <v>0</v>
      </c>
      <c r="G32" s="743">
        <v>0</v>
      </c>
      <c r="H32" s="743">
        <v>0</v>
      </c>
      <c r="I32" s="743">
        <v>0</v>
      </c>
      <c r="J32" s="743">
        <v>0</v>
      </c>
      <c r="K32" s="743">
        <v>0</v>
      </c>
      <c r="L32" s="743">
        <v>0</v>
      </c>
      <c r="M32" s="743">
        <v>0</v>
      </c>
      <c r="N32" s="743">
        <v>0</v>
      </c>
      <c r="O32" s="743">
        <v>0</v>
      </c>
      <c r="P32" s="743">
        <v>0</v>
      </c>
      <c r="Q32" s="743">
        <v>0</v>
      </c>
      <c r="R32" s="743">
        <v>0</v>
      </c>
      <c r="S32" s="743">
        <v>0</v>
      </c>
      <c r="T32" s="743">
        <v>0</v>
      </c>
      <c r="U32" s="743">
        <v>0</v>
      </c>
      <c r="V32" s="743">
        <v>0</v>
      </c>
      <c r="W32" s="743">
        <v>0</v>
      </c>
      <c r="X32" s="743">
        <v>0</v>
      </c>
      <c r="Y32" s="743">
        <v>0</v>
      </c>
      <c r="Z32" s="743">
        <v>0</v>
      </c>
      <c r="AA32" s="743">
        <v>0</v>
      </c>
      <c r="AB32" s="743">
        <v>0</v>
      </c>
      <c r="AC32" s="743">
        <v>0</v>
      </c>
      <c r="AD32" s="743">
        <v>0</v>
      </c>
      <c r="AE32" s="743">
        <v>0</v>
      </c>
      <c r="AF32" s="743">
        <v>0</v>
      </c>
      <c r="AG32" s="743">
        <v>0</v>
      </c>
      <c r="AH32" s="743">
        <v>0</v>
      </c>
      <c r="AI32" s="743">
        <v>0</v>
      </c>
      <c r="AJ32" s="743">
        <v>0</v>
      </c>
      <c r="AK32" s="743">
        <v>0</v>
      </c>
      <c r="AL32" s="743">
        <v>0</v>
      </c>
      <c r="AM32" s="743">
        <v>0</v>
      </c>
      <c r="AN32" s="743">
        <v>0</v>
      </c>
      <c r="AO32" s="743">
        <v>0</v>
      </c>
      <c r="AP32" s="743">
        <v>0</v>
      </c>
      <c r="AQ32" s="744">
        <v>0</v>
      </c>
      <c r="AR32" s="743">
        <v>0</v>
      </c>
      <c r="AS32" s="743">
        <v>0</v>
      </c>
      <c r="AT32" s="743">
        <v>0</v>
      </c>
      <c r="AU32" s="743">
        <v>0</v>
      </c>
      <c r="AV32" s="743">
        <v>0</v>
      </c>
      <c r="AW32" s="743">
        <v>0</v>
      </c>
      <c r="AX32" s="743">
        <v>0</v>
      </c>
      <c r="AY32" s="743">
        <v>0</v>
      </c>
      <c r="AZ32" s="745">
        <v>0</v>
      </c>
      <c r="BA32" s="745">
        <v>0</v>
      </c>
      <c r="BB32" s="745">
        <v>0</v>
      </c>
      <c r="BC32" s="745">
        <v>0</v>
      </c>
    </row>
    <row r="33" spans="1:55" ht="22.5" customHeight="1">
      <c r="A33" s="742"/>
      <c r="B33" s="747"/>
      <c r="C33" s="747"/>
      <c r="D33" s="747"/>
      <c r="E33" s="747"/>
      <c r="F33" s="747"/>
      <c r="G33" s="747"/>
      <c r="H33" s="747"/>
      <c r="I33" s="747"/>
      <c r="J33" s="747"/>
      <c r="K33" s="747"/>
      <c r="L33" s="747"/>
      <c r="M33" s="747"/>
      <c r="N33" s="747"/>
      <c r="O33" s="747"/>
      <c r="P33" s="747"/>
      <c r="Q33" s="747"/>
      <c r="R33" s="747"/>
      <c r="S33" s="747"/>
      <c r="T33" s="747"/>
      <c r="U33" s="747"/>
      <c r="V33" s="747"/>
      <c r="W33" s="747"/>
      <c r="X33" s="747"/>
      <c r="Y33" s="747"/>
      <c r="Z33" s="747"/>
      <c r="AA33" s="747"/>
      <c r="AB33" s="747"/>
      <c r="AC33" s="747"/>
      <c r="AD33" s="747"/>
      <c r="AE33" s="747"/>
      <c r="AF33" s="747"/>
      <c r="AG33" s="747"/>
      <c r="AH33" s="747"/>
      <c r="AI33" s="747"/>
      <c r="AJ33" s="747"/>
      <c r="AK33" s="747"/>
      <c r="AL33" s="747"/>
      <c r="AM33" s="747"/>
      <c r="AN33" s="747"/>
      <c r="AO33" s="747"/>
      <c r="AP33" s="747"/>
      <c r="AQ33" s="748"/>
      <c r="AR33" s="747"/>
      <c r="AS33" s="747"/>
      <c r="AT33" s="747"/>
      <c r="AU33" s="747"/>
      <c r="AV33" s="747"/>
      <c r="AW33" s="747"/>
      <c r="AX33" s="747"/>
      <c r="AY33" s="747"/>
      <c r="AZ33" s="749"/>
      <c r="BA33" s="749"/>
      <c r="BB33" s="749"/>
      <c r="BC33" s="749"/>
    </row>
    <row r="34" spans="1:55" ht="22.5" customHeight="1">
      <c r="A34" s="742" t="s">
        <v>419</v>
      </c>
      <c r="B34" s="743">
        <v>91931.205161325051</v>
      </c>
      <c r="C34" s="743">
        <v>93727.510363099893</v>
      </c>
      <c r="D34" s="743">
        <v>94506.183742594367</v>
      </c>
      <c r="E34" s="743">
        <v>94838.528273953576</v>
      </c>
      <c r="F34" s="743">
        <v>100595.16788201034</v>
      </c>
      <c r="G34" s="743">
        <v>99331.44868220159</v>
      </c>
      <c r="H34" s="743">
        <v>95838.989661111074</v>
      </c>
      <c r="I34" s="743">
        <v>98022.360128515997</v>
      </c>
      <c r="J34" s="743">
        <v>98776.014559370538</v>
      </c>
      <c r="K34" s="743">
        <v>99602.168756712548</v>
      </c>
      <c r="L34" s="743">
        <v>104664.66887425256</v>
      </c>
      <c r="M34" s="743">
        <v>106399.90190484645</v>
      </c>
      <c r="N34" s="743">
        <v>105108.65961164402</v>
      </c>
      <c r="O34" s="743">
        <v>106283.79045313233</v>
      </c>
      <c r="P34" s="743">
        <v>105327.64207053928</v>
      </c>
      <c r="Q34" s="743">
        <v>105001.19883486707</v>
      </c>
      <c r="R34" s="743">
        <v>106258.75707319782</v>
      </c>
      <c r="S34" s="743">
        <v>109185.94717009999</v>
      </c>
      <c r="T34" s="743">
        <v>107989.00679121458</v>
      </c>
      <c r="U34" s="743">
        <v>108729.78240078196</v>
      </c>
      <c r="V34" s="743">
        <v>111605.25449693477</v>
      </c>
      <c r="W34" s="743">
        <v>114178.72364166354</v>
      </c>
      <c r="X34" s="743">
        <v>115195.0824272186</v>
      </c>
      <c r="Y34" s="743">
        <v>112198.55426725603</v>
      </c>
      <c r="Z34" s="743">
        <v>114678.91798097546</v>
      </c>
      <c r="AA34" s="743">
        <v>115906.3855018546</v>
      </c>
      <c r="AB34" s="743">
        <v>116848.76121707752</v>
      </c>
      <c r="AC34" s="743">
        <v>118071.64878841744</v>
      </c>
      <c r="AD34" s="743">
        <v>119925.04522720347</v>
      </c>
      <c r="AE34" s="743">
        <v>125927.4686794286</v>
      </c>
      <c r="AF34" s="743">
        <v>126766.88139465361</v>
      </c>
      <c r="AG34" s="743">
        <v>127443.02605404922</v>
      </c>
      <c r="AH34" s="743">
        <v>129280.07779198514</v>
      </c>
      <c r="AI34" s="743">
        <v>131248.79180393298</v>
      </c>
      <c r="AJ34" s="743">
        <v>131875.50132312486</v>
      </c>
      <c r="AK34" s="743">
        <v>134541.18717390965</v>
      </c>
      <c r="AL34" s="743">
        <v>136064.41264635103</v>
      </c>
      <c r="AM34" s="743">
        <v>137886.54470620683</v>
      </c>
      <c r="AN34" s="743">
        <v>140070.71968185881</v>
      </c>
      <c r="AO34" s="743">
        <v>140663.12940670119</v>
      </c>
      <c r="AP34" s="743">
        <v>138584.42056945321</v>
      </c>
      <c r="AQ34" s="744">
        <v>137630.49591039534</v>
      </c>
      <c r="AR34" s="743">
        <v>139053.49700415551</v>
      </c>
      <c r="AS34" s="743">
        <v>138598.10325879735</v>
      </c>
      <c r="AT34" s="743">
        <v>137836.17712575244</v>
      </c>
      <c r="AU34" s="743">
        <v>137918.32496904978</v>
      </c>
      <c r="AV34" s="743">
        <v>138265.58759757516</v>
      </c>
      <c r="AW34" s="743">
        <v>137324.87513103662</v>
      </c>
      <c r="AX34" s="743">
        <v>138186.04176737939</v>
      </c>
      <c r="AY34" s="743">
        <v>140965.70042205742</v>
      </c>
      <c r="AZ34" s="745">
        <v>142317.50339027692</v>
      </c>
      <c r="BA34" s="745">
        <v>143132.89270273305</v>
      </c>
      <c r="BB34" s="745">
        <v>144530.03984466376</v>
      </c>
      <c r="BC34" s="745">
        <v>145371.96157928187</v>
      </c>
    </row>
    <row r="35" spans="1:55" ht="22.5" customHeight="1">
      <c r="A35" s="746"/>
      <c r="B35" s="747"/>
      <c r="C35" s="747"/>
      <c r="D35" s="747"/>
      <c r="E35" s="747"/>
      <c r="F35" s="747"/>
      <c r="G35" s="747"/>
      <c r="H35" s="747"/>
      <c r="I35" s="747"/>
      <c r="J35" s="747"/>
      <c r="K35" s="747"/>
      <c r="L35" s="747"/>
      <c r="M35" s="747"/>
      <c r="N35" s="747"/>
      <c r="O35" s="747"/>
      <c r="P35" s="747"/>
      <c r="Q35" s="747"/>
      <c r="R35" s="747"/>
      <c r="S35" s="747"/>
      <c r="T35" s="747"/>
      <c r="U35" s="747"/>
      <c r="V35" s="747"/>
      <c r="W35" s="747"/>
      <c r="X35" s="747"/>
      <c r="Y35" s="747"/>
      <c r="Z35" s="747"/>
      <c r="AA35" s="747"/>
      <c r="AB35" s="747"/>
      <c r="AC35" s="747"/>
      <c r="AD35" s="747"/>
      <c r="AE35" s="747"/>
      <c r="AF35" s="747"/>
      <c r="AG35" s="747"/>
      <c r="AH35" s="747"/>
      <c r="AI35" s="747"/>
      <c r="AJ35" s="747"/>
      <c r="AK35" s="747"/>
      <c r="AL35" s="747"/>
      <c r="AM35" s="747"/>
      <c r="AN35" s="747"/>
      <c r="AO35" s="747"/>
      <c r="AP35" s="747"/>
      <c r="AQ35" s="748"/>
      <c r="AR35" s="747"/>
      <c r="AS35" s="747"/>
      <c r="AT35" s="747"/>
      <c r="AU35" s="747"/>
      <c r="AV35" s="747"/>
      <c r="AW35" s="747"/>
      <c r="AX35" s="747"/>
      <c r="AY35" s="747"/>
      <c r="AZ35" s="749"/>
      <c r="BA35" s="749"/>
      <c r="BB35" s="749"/>
      <c r="BC35" s="749"/>
    </row>
    <row r="36" spans="1:55" ht="22.5" customHeight="1">
      <c r="A36" s="742" t="s">
        <v>496</v>
      </c>
      <c r="B36" s="750">
        <v>4166.2559083107681</v>
      </c>
      <c r="C36" s="750">
        <v>5836.8307848394315</v>
      </c>
      <c r="D36" s="750">
        <v>4773.5541999522748</v>
      </c>
      <c r="E36" s="750">
        <v>4949.9543473415715</v>
      </c>
      <c r="F36" s="750">
        <v>5147.9044785482811</v>
      </c>
      <c r="G36" s="750">
        <v>4336.8289647200054</v>
      </c>
      <c r="H36" s="750">
        <v>3671.1543026623749</v>
      </c>
      <c r="I36" s="750">
        <v>4093.9973592667557</v>
      </c>
      <c r="J36" s="750">
        <v>2825.201247150314</v>
      </c>
      <c r="K36" s="750">
        <v>4057.1762056371635</v>
      </c>
      <c r="L36" s="750">
        <v>2590.6716106366011</v>
      </c>
      <c r="M36" s="750">
        <v>1446.6136928997857</v>
      </c>
      <c r="N36" s="750">
        <v>4277.7919181665729</v>
      </c>
      <c r="O36" s="750">
        <v>3289.8936343798723</v>
      </c>
      <c r="P36" s="750">
        <v>2371.7447532179149</v>
      </c>
      <c r="Q36" s="750">
        <v>2412.4201621529996</v>
      </c>
      <c r="R36" s="750">
        <v>2238.8931284029268</v>
      </c>
      <c r="S36" s="750">
        <v>1963.5477770030498</v>
      </c>
      <c r="T36" s="750">
        <v>1949.9947478903198</v>
      </c>
      <c r="U36" s="750">
        <v>2696.786814233571</v>
      </c>
      <c r="V36" s="750">
        <v>1406.1372073461521</v>
      </c>
      <c r="W36" s="750">
        <v>2010.8968166979798</v>
      </c>
      <c r="X36" s="750">
        <v>2220.4361954284714</v>
      </c>
      <c r="Y36" s="750">
        <v>1272.6546704822965</v>
      </c>
      <c r="Z36" s="750">
        <v>792.21529780152628</v>
      </c>
      <c r="AA36" s="750">
        <v>2100.5342991543275</v>
      </c>
      <c r="AB36" s="750">
        <v>2432.2834422394635</v>
      </c>
      <c r="AC36" s="750">
        <v>3342.6177155972546</v>
      </c>
      <c r="AD36" s="750">
        <v>3274.8304417881586</v>
      </c>
      <c r="AE36" s="750">
        <v>3925.853069862545</v>
      </c>
      <c r="AF36" s="750">
        <v>4573.7656659014074</v>
      </c>
      <c r="AG36" s="750">
        <v>4695.7843545821997</v>
      </c>
      <c r="AH36" s="750">
        <v>6399.17145052878</v>
      </c>
      <c r="AI36" s="750">
        <v>6414.5620846104957</v>
      </c>
      <c r="AJ36" s="750">
        <v>6328.7049696942104</v>
      </c>
      <c r="AK36" s="750">
        <v>5306.6438209349626</v>
      </c>
      <c r="AL36" s="750">
        <v>5067.8329082944792</v>
      </c>
      <c r="AM36" s="750">
        <v>6701.894232284897</v>
      </c>
      <c r="AN36" s="750">
        <v>6217.5076293957345</v>
      </c>
      <c r="AO36" s="750">
        <v>6910.5249090891812</v>
      </c>
      <c r="AP36" s="750">
        <v>7232.4241446583119</v>
      </c>
      <c r="AQ36" s="751">
        <v>8749.1670206348845</v>
      </c>
      <c r="AR36" s="750">
        <v>9847.7414118267607</v>
      </c>
      <c r="AS36" s="750">
        <v>10410.469506132276</v>
      </c>
      <c r="AT36" s="750">
        <v>14841.164652872918</v>
      </c>
      <c r="AU36" s="750">
        <v>9358.7145716027208</v>
      </c>
      <c r="AV36" s="750">
        <v>10912.334219159186</v>
      </c>
      <c r="AW36" s="750">
        <v>10816.251084779213</v>
      </c>
      <c r="AX36" s="750">
        <v>10235.342249522188</v>
      </c>
      <c r="AY36" s="750">
        <v>9838.5228214073486</v>
      </c>
      <c r="AZ36" s="752">
        <v>9797.1259705820448</v>
      </c>
      <c r="BA36" s="752">
        <v>10726.931633296925</v>
      </c>
      <c r="BB36" s="752">
        <v>12073.863684212154</v>
      </c>
      <c r="BC36" s="752">
        <v>11359.554358321097</v>
      </c>
    </row>
    <row r="37" spans="1:55" ht="22.5" customHeight="1" thickBot="1">
      <c r="A37" s="753"/>
      <c r="B37" s="754"/>
      <c r="C37" s="754"/>
      <c r="D37" s="754"/>
      <c r="E37" s="754"/>
      <c r="F37" s="754"/>
      <c r="G37" s="754"/>
      <c r="H37" s="754"/>
      <c r="I37" s="754"/>
      <c r="J37" s="754"/>
      <c r="K37" s="754"/>
      <c r="L37" s="754"/>
      <c r="M37" s="754"/>
      <c r="N37" s="754"/>
      <c r="O37" s="754"/>
      <c r="P37" s="754"/>
      <c r="Q37" s="754"/>
      <c r="R37" s="754"/>
      <c r="S37" s="754"/>
      <c r="T37" s="754"/>
      <c r="U37" s="754"/>
      <c r="V37" s="754"/>
      <c r="W37" s="754"/>
      <c r="X37" s="754"/>
      <c r="Y37" s="754"/>
      <c r="Z37" s="754"/>
      <c r="AA37" s="754"/>
      <c r="AB37" s="754"/>
      <c r="AC37" s="754"/>
      <c r="AD37" s="754"/>
      <c r="AE37" s="754"/>
      <c r="AF37" s="754"/>
      <c r="AG37" s="754"/>
      <c r="AH37" s="754"/>
      <c r="AI37" s="754"/>
      <c r="AJ37" s="754"/>
      <c r="AK37" s="754"/>
      <c r="AL37" s="754"/>
      <c r="AM37" s="754"/>
      <c r="AN37" s="754"/>
      <c r="AO37" s="754"/>
      <c r="AP37" s="754"/>
      <c r="AQ37" s="755"/>
      <c r="AR37" s="754"/>
      <c r="AS37" s="754"/>
      <c r="AT37" s="754"/>
      <c r="AU37" s="754"/>
      <c r="AV37" s="754"/>
      <c r="AW37" s="754"/>
      <c r="AX37" s="754"/>
      <c r="AY37" s="754"/>
      <c r="AZ37" s="756"/>
      <c r="BA37" s="756"/>
      <c r="BB37" s="756"/>
      <c r="BC37" s="756"/>
    </row>
    <row r="38" spans="1:55" ht="14.25" hidden="1" thickTop="1">
      <c r="A38" s="757" t="s">
        <v>539</v>
      </c>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row>
    <row r="39" spans="1:55" ht="18.75" thickTop="1">
      <c r="A39" s="719" t="s">
        <v>540</v>
      </c>
      <c r="B39" s="697"/>
      <c r="C39" s="697"/>
      <c r="D39" s="697"/>
      <c r="E39" s="697"/>
      <c r="F39" s="697"/>
      <c r="G39" s="697"/>
      <c r="H39" s="697"/>
      <c r="I39" s="697"/>
      <c r="J39" s="697"/>
      <c r="K39" s="697"/>
      <c r="L39" s="697"/>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697"/>
      <c r="AP39" s="697"/>
      <c r="AQ39" s="697"/>
      <c r="AR39" s="697"/>
      <c r="AS39" s="697"/>
      <c r="AT39" s="697"/>
      <c r="AU39" s="697"/>
      <c r="AV39" s="697"/>
      <c r="AW39" s="697"/>
      <c r="AX39" s="697"/>
      <c r="AY39" s="697"/>
      <c r="AZ39" s="697"/>
    </row>
    <row r="40" spans="1:55" ht="18">
      <c r="A40" s="758" t="s">
        <v>541</v>
      </c>
      <c r="B40" s="622"/>
      <c r="C40" s="546"/>
      <c r="D40" s="546"/>
      <c r="E40" s="546"/>
      <c r="F40" s="546"/>
      <c r="G40" s="546"/>
      <c r="H40" s="546"/>
      <c r="I40" s="546"/>
      <c r="J40" s="546"/>
      <c r="K40" s="546"/>
      <c r="L40" s="546"/>
      <c r="M40" s="546"/>
      <c r="N40" s="546"/>
      <c r="O40" s="546"/>
      <c r="P40" s="546"/>
      <c r="Q40" s="546"/>
      <c r="R40" s="546"/>
      <c r="S40" s="546"/>
      <c r="T40" s="546"/>
      <c r="U40" s="546"/>
      <c r="V40" s="546"/>
      <c r="W40" s="546"/>
      <c r="X40" s="546"/>
      <c r="Y40" s="546"/>
      <c r="Z40" s="546"/>
      <c r="AA40" s="546"/>
      <c r="AB40" s="546"/>
      <c r="AC40" s="697"/>
      <c r="AD40" s="697"/>
      <c r="AE40" s="697"/>
      <c r="AF40" s="697"/>
      <c r="AG40" s="697"/>
      <c r="AH40" s="697"/>
      <c r="AI40" s="697"/>
      <c r="AJ40" s="697"/>
      <c r="AK40" s="697"/>
      <c r="AL40" s="697"/>
      <c r="AM40" s="697"/>
      <c r="AN40" s="697"/>
      <c r="AO40" s="697"/>
      <c r="AP40" s="697"/>
      <c r="AQ40" s="697"/>
      <c r="AR40" s="697"/>
      <c r="AS40" s="697"/>
      <c r="AT40" s="697"/>
      <c r="AU40" s="697"/>
      <c r="AV40" s="697"/>
      <c r="AW40" s="697"/>
      <c r="AX40" s="697"/>
      <c r="AY40" s="697"/>
      <c r="AZ40" s="697"/>
    </row>
    <row r="41" spans="1:55" ht="15">
      <c r="A41" s="758" t="s">
        <v>542</v>
      </c>
      <c r="B41" s="622"/>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697"/>
      <c r="AD41" s="697"/>
      <c r="AE41" s="697"/>
      <c r="AF41" s="697"/>
      <c r="AG41" s="697"/>
      <c r="AH41" s="697"/>
      <c r="AI41" s="697"/>
      <c r="AJ41" s="697"/>
      <c r="AK41" s="697"/>
      <c r="AL41" s="697"/>
      <c r="AM41" s="697"/>
      <c r="AN41" s="697"/>
      <c r="AO41" s="697"/>
      <c r="AP41" s="697"/>
      <c r="AQ41" s="697"/>
      <c r="AR41" s="697"/>
      <c r="AS41" s="697"/>
      <c r="AT41" s="697"/>
      <c r="AU41" s="697"/>
      <c r="AV41" s="697"/>
      <c r="AW41" s="697"/>
      <c r="AX41" s="697"/>
      <c r="AY41" s="697"/>
      <c r="AZ41" s="697"/>
    </row>
    <row r="42" spans="1:55" ht="15">
      <c r="A42" s="725" t="s">
        <v>180</v>
      </c>
      <c r="B42" s="697"/>
      <c r="C42" s="697"/>
      <c r="D42" s="697"/>
      <c r="E42" s="697"/>
      <c r="F42" s="697"/>
      <c r="G42" s="697"/>
      <c r="H42" s="697"/>
      <c r="I42" s="697"/>
      <c r="J42" s="697"/>
      <c r="K42" s="697"/>
      <c r="L42" s="697"/>
      <c r="M42" s="697"/>
      <c r="N42" s="697"/>
      <c r="O42" s="697"/>
      <c r="P42" s="697"/>
      <c r="Q42" s="697"/>
      <c r="R42" s="697"/>
      <c r="S42" s="697"/>
      <c r="T42" s="697"/>
      <c r="U42" s="697"/>
      <c r="V42" s="697"/>
      <c r="W42" s="697"/>
      <c r="X42" s="759"/>
      <c r="Y42" s="759"/>
      <c r="Z42" s="759"/>
      <c r="AA42" s="759"/>
      <c r="AB42" s="759"/>
      <c r="AC42" s="759"/>
      <c r="AD42" s="759"/>
      <c r="AE42" s="759"/>
      <c r="AF42" s="759"/>
      <c r="AG42" s="759"/>
      <c r="AH42" s="759"/>
      <c r="AI42" s="759"/>
      <c r="AJ42" s="759"/>
      <c r="AK42" s="759"/>
      <c r="AL42" s="759"/>
      <c r="AM42" s="759"/>
      <c r="AN42" s="759"/>
      <c r="AO42" s="759"/>
      <c r="AP42" s="759"/>
      <c r="AQ42" s="759"/>
      <c r="AR42" s="759"/>
      <c r="AS42" s="759"/>
      <c r="AT42" s="759"/>
      <c r="AU42" s="759"/>
      <c r="AV42" s="759"/>
      <c r="AW42" s="759"/>
      <c r="AX42" s="759"/>
      <c r="AY42" s="759"/>
      <c r="AZ42" s="759"/>
    </row>
    <row r="43" spans="1:55" ht="15.75" customHeight="1">
      <c r="N43" s="730"/>
      <c r="O43" s="730"/>
      <c r="P43" s="730"/>
      <c r="Q43" s="730"/>
      <c r="R43" s="730"/>
      <c r="S43" s="730"/>
      <c r="T43" s="730"/>
      <c r="U43" s="730"/>
      <c r="V43" s="730"/>
      <c r="W43" s="730"/>
      <c r="X43" s="730"/>
      <c r="Y43" s="730"/>
      <c r="Z43" s="730"/>
      <c r="AA43" s="730"/>
      <c r="AB43" s="730"/>
      <c r="AC43" s="730"/>
      <c r="AD43" s="730"/>
      <c r="AE43" s="730"/>
      <c r="AF43" s="730"/>
      <c r="AG43" s="730"/>
      <c r="AH43" s="730"/>
      <c r="AI43" s="730"/>
      <c r="AJ43" s="730"/>
      <c r="AK43" s="730"/>
      <c r="AL43" s="730"/>
      <c r="AM43" s="730"/>
      <c r="AN43" s="730"/>
      <c r="AO43" s="730"/>
      <c r="AP43" s="730"/>
      <c r="AQ43" s="730"/>
      <c r="AR43" s="730"/>
      <c r="AS43" s="730"/>
      <c r="AT43" s="730"/>
      <c r="AU43" s="730"/>
      <c r="AV43" s="730"/>
      <c r="AW43" s="730"/>
      <c r="AX43" s="730"/>
      <c r="AY43" s="730"/>
      <c r="AZ43" s="730"/>
    </row>
    <row r="44" spans="1:55" ht="15.75" customHeight="1">
      <c r="B44" s="730"/>
      <c r="C44" s="730"/>
      <c r="D44" s="730"/>
      <c r="E44" s="730"/>
      <c r="F44" s="730"/>
      <c r="G44" s="730"/>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730"/>
      <c r="AG44" s="730"/>
      <c r="AH44" s="730"/>
      <c r="AI44" s="730"/>
      <c r="AJ44" s="730"/>
      <c r="AK44" s="730"/>
      <c r="AL44" s="730"/>
      <c r="AM44" s="730"/>
      <c r="AN44" s="730"/>
      <c r="AO44" s="730"/>
      <c r="AP44" s="730"/>
      <c r="AQ44" s="730"/>
      <c r="AR44" s="730"/>
      <c r="AS44" s="730"/>
      <c r="AT44" s="730"/>
      <c r="AU44" s="730"/>
      <c r="AV44" s="730"/>
      <c r="AW44" s="730"/>
      <c r="AX44" s="730"/>
      <c r="AY44" s="730"/>
      <c r="AZ44" s="730"/>
    </row>
    <row r="45" spans="1:55" ht="15.75" customHeight="1">
      <c r="N45" s="760"/>
      <c r="O45" s="760"/>
      <c r="P45" s="760"/>
    </row>
    <row r="68" spans="15:15" ht="15.75" customHeight="1">
      <c r="O68" s="727">
        <f>23136-20420</f>
        <v>2716</v>
      </c>
    </row>
    <row r="69" spans="15:15" ht="15.75" customHeight="1">
      <c r="O69" s="727">
        <f>23136/291715*100</f>
        <v>7.9310285724080014</v>
      </c>
    </row>
    <row r="70" spans="15:15" ht="15.75" customHeight="1">
      <c r="O70" s="727">
        <f>23136-20420</f>
        <v>2716</v>
      </c>
    </row>
    <row r="71" spans="15:15" ht="15.75" customHeight="1">
      <c r="O71" s="727">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1"/>
  <sheetViews>
    <sheetView zoomScaleNormal="100" workbookViewId="0">
      <pane xSplit="1" ySplit="4" topLeftCell="R5" activePane="bottomRight" state="frozen"/>
      <selection pane="topRight" activeCell="B1" sqref="B1"/>
      <selection pane="bottomLeft" activeCell="A4" sqref="A4"/>
      <selection pane="bottomRight" activeCell="AC27" sqref="AC27"/>
    </sheetView>
  </sheetViews>
  <sheetFormatPr defaultRowHeight="12.75"/>
  <cols>
    <col min="1" max="1" width="48.85546875" style="105" customWidth="1"/>
    <col min="2" max="17" width="13.28515625" style="105" hidden="1" customWidth="1"/>
    <col min="18" max="29" width="13.28515625" style="105" customWidth="1"/>
    <col min="30" max="16384" width="9.140625" style="105"/>
  </cols>
  <sheetData>
    <row r="1" spans="1:29" ht="15.75">
      <c r="A1" s="761" t="s">
        <v>543</v>
      </c>
    </row>
    <row r="2" spans="1:29" ht="15.75">
      <c r="A2" s="761"/>
    </row>
    <row r="3" spans="1:29" ht="15.75">
      <c r="A3" s="761"/>
      <c r="B3" s="762"/>
      <c r="C3" s="762"/>
      <c r="D3" s="762"/>
      <c r="E3" s="762"/>
      <c r="F3" s="762"/>
      <c r="G3" s="762"/>
      <c r="H3" s="762"/>
      <c r="I3" s="762"/>
      <c r="J3" s="762"/>
      <c r="K3" s="762"/>
      <c r="L3" s="762"/>
      <c r="M3" s="762"/>
      <c r="N3" s="762"/>
      <c r="O3" s="762"/>
      <c r="P3" s="762"/>
      <c r="Q3" s="762"/>
      <c r="R3" s="762"/>
      <c r="S3" s="762"/>
      <c r="T3" s="762"/>
      <c r="U3" s="762"/>
      <c r="V3" s="762"/>
      <c r="W3" s="762"/>
      <c r="X3" s="762"/>
      <c r="Y3" s="762"/>
      <c r="Z3" s="762"/>
      <c r="AA3" s="762"/>
      <c r="AB3" s="762"/>
      <c r="AC3" s="762" t="s">
        <v>74</v>
      </c>
    </row>
    <row r="4" spans="1:29" ht="15.95" customHeight="1">
      <c r="A4" s="763" t="s">
        <v>7</v>
      </c>
      <c r="B4" s="764">
        <v>40940</v>
      </c>
      <c r="C4" s="764">
        <v>40969</v>
      </c>
      <c r="D4" s="764">
        <v>41000</v>
      </c>
      <c r="E4" s="764">
        <v>41030</v>
      </c>
      <c r="F4" s="764">
        <v>41061</v>
      </c>
      <c r="G4" s="764">
        <v>41091</v>
      </c>
      <c r="H4" s="764">
        <v>41122</v>
      </c>
      <c r="I4" s="764">
        <v>41153</v>
      </c>
      <c r="J4" s="764">
        <v>41183</v>
      </c>
      <c r="K4" s="764">
        <v>41214</v>
      </c>
      <c r="L4" s="764">
        <v>41244</v>
      </c>
      <c r="M4" s="764">
        <v>41275</v>
      </c>
      <c r="N4" s="764">
        <v>41306</v>
      </c>
      <c r="O4" s="764">
        <v>41334</v>
      </c>
      <c r="P4" s="764">
        <v>41365</v>
      </c>
      <c r="Q4" s="764">
        <v>41395</v>
      </c>
      <c r="R4" s="764">
        <v>41426</v>
      </c>
      <c r="S4" s="764">
        <v>41456</v>
      </c>
      <c r="T4" s="764">
        <v>41487</v>
      </c>
      <c r="U4" s="764">
        <v>41518</v>
      </c>
      <c r="V4" s="764">
        <v>41548</v>
      </c>
      <c r="W4" s="764">
        <v>41579</v>
      </c>
      <c r="X4" s="764">
        <v>41609</v>
      </c>
      <c r="Y4" s="764">
        <v>41640</v>
      </c>
      <c r="Z4" s="764">
        <v>41671</v>
      </c>
      <c r="AA4" s="764">
        <v>41699</v>
      </c>
      <c r="AB4" s="764">
        <v>41730</v>
      </c>
      <c r="AC4" s="764">
        <v>41760</v>
      </c>
    </row>
    <row r="5" spans="1:29" ht="15.95" customHeight="1">
      <c r="A5" s="765" t="s">
        <v>544</v>
      </c>
      <c r="B5" s="766">
        <v>3784.9486335699999</v>
      </c>
      <c r="C5" s="766">
        <v>4146.7953958849994</v>
      </c>
      <c r="D5" s="766">
        <v>4022.084003985</v>
      </c>
      <c r="E5" s="766">
        <v>3584.497060485</v>
      </c>
      <c r="F5" s="766">
        <v>3225.2424225109999</v>
      </c>
      <c r="G5" s="766">
        <v>3388.0164518410006</v>
      </c>
      <c r="H5" s="766">
        <v>3213.4017549810055</v>
      </c>
      <c r="I5" s="766">
        <v>3294.4372535110065</v>
      </c>
      <c r="J5" s="766">
        <v>3154.4285983910063</v>
      </c>
      <c r="K5" s="766">
        <v>3148.0892080410067</v>
      </c>
      <c r="L5" s="766">
        <v>3345.1358636110058</v>
      </c>
      <c r="M5" s="766">
        <v>3128.3774049100002</v>
      </c>
      <c r="N5" s="766">
        <v>3203.3190910810063</v>
      </c>
      <c r="O5" s="766">
        <v>3322.5468090010063</v>
      </c>
      <c r="P5" s="766">
        <v>3313.392617461006</v>
      </c>
      <c r="Q5" s="766">
        <v>3325.3249562447063</v>
      </c>
      <c r="R5" s="766">
        <v>3428.9582647047064</v>
      </c>
      <c r="S5" s="766">
        <v>3200.2595633639089</v>
      </c>
      <c r="T5" s="766">
        <v>3427.7854060795316</v>
      </c>
      <c r="U5" s="766">
        <v>3675.1366027608988</v>
      </c>
      <c r="V5" s="766">
        <v>3458.5248819868975</v>
      </c>
      <c r="W5" s="766">
        <v>3286.6199989168977</v>
      </c>
      <c r="X5" s="766">
        <v>3316.0467721327036</v>
      </c>
      <c r="Y5" s="766">
        <v>3201.0535848027043</v>
      </c>
      <c r="Z5" s="766">
        <v>3244.2693786322957</v>
      </c>
      <c r="AA5" s="766">
        <v>3209.5673300822955</v>
      </c>
      <c r="AB5" s="766">
        <v>3372.8599289422968</v>
      </c>
      <c r="AC5" s="766">
        <f>('[74]May 2014'!L54+'[74]May 2014'!L56+'[74]May 2014'!L58+'[74]May 2014'!L60+'[74]May 2014'!L63+'[74]May 2014'!L64)/1000000</f>
        <v>3262.1931688182876</v>
      </c>
    </row>
    <row r="6" spans="1:29" ht="15.95" customHeight="1">
      <c r="A6" s="765" t="s">
        <v>545</v>
      </c>
      <c r="B6" s="767">
        <v>9316.2234302199995</v>
      </c>
      <c r="C6" s="767">
        <v>9415.8096210905005</v>
      </c>
      <c r="D6" s="767">
        <v>9535.3307578904987</v>
      </c>
      <c r="E6" s="767">
        <v>7634.3834235704999</v>
      </c>
      <c r="F6" s="767">
        <v>7685.6638522344992</v>
      </c>
      <c r="G6" s="767">
        <v>7769.0335341344999</v>
      </c>
      <c r="H6" s="767">
        <v>7781.6829723244946</v>
      </c>
      <c r="I6" s="767">
        <v>7825.2223860644945</v>
      </c>
      <c r="J6" s="767">
        <v>7905.8672250044929</v>
      </c>
      <c r="K6" s="767">
        <v>7949.0957587237699</v>
      </c>
      <c r="L6" s="767">
        <v>8093.0274049682712</v>
      </c>
      <c r="M6" s="767">
        <v>8105.9256304500004</v>
      </c>
      <c r="N6" s="767">
        <v>8122.4054758394614</v>
      </c>
      <c r="O6" s="767">
        <v>8173.5077580255911</v>
      </c>
      <c r="P6" s="767">
        <v>8181.4418704855907</v>
      </c>
      <c r="Q6" s="767">
        <v>8248.0292083418917</v>
      </c>
      <c r="R6" s="767">
        <v>8327.257198237392</v>
      </c>
      <c r="S6" s="767">
        <v>8362.6018428981879</v>
      </c>
      <c r="T6" s="767">
        <v>8616.3561014105671</v>
      </c>
      <c r="U6" s="767">
        <v>8540.2080518612001</v>
      </c>
      <c r="V6" s="767">
        <v>8725.4808364296132</v>
      </c>
      <c r="W6" s="767">
        <v>8992.3185840638089</v>
      </c>
      <c r="X6" s="767">
        <v>9146.039682133809</v>
      </c>
      <c r="Y6" s="767">
        <v>9175.2192890207971</v>
      </c>
      <c r="Z6" s="767">
        <v>9165.592346084215</v>
      </c>
      <c r="AA6" s="767">
        <v>9268.3452642042157</v>
      </c>
      <c r="AB6" s="767">
        <v>9265.6731395319603</v>
      </c>
      <c r="AC6" s="767">
        <f>'[74]May 2014'!L67/1000000</f>
        <v>9443.9182049919418</v>
      </c>
    </row>
    <row r="7" spans="1:29" ht="15.95" customHeight="1">
      <c r="A7" s="765" t="s">
        <v>546</v>
      </c>
      <c r="B7" s="766">
        <v>1290.6051660000001</v>
      </c>
      <c r="C7" s="766">
        <v>1277.0112658987998</v>
      </c>
      <c r="D7" s="766">
        <v>1278.857266</v>
      </c>
      <c r="E7" s="766">
        <v>1051.3130000000001</v>
      </c>
      <c r="F7" s="766">
        <v>1106.2239999999999</v>
      </c>
      <c r="G7" s="766">
        <v>1106.097</v>
      </c>
      <c r="H7" s="766">
        <v>1105.9380000000001</v>
      </c>
      <c r="I7" s="766">
        <v>1106.499</v>
      </c>
      <c r="J7" s="766">
        <v>1186.9690000000001</v>
      </c>
      <c r="K7" s="766">
        <v>1211.5940000000001</v>
      </c>
      <c r="L7" s="766">
        <v>1212.627</v>
      </c>
      <c r="M7" s="766">
        <v>1398.2760000000001</v>
      </c>
      <c r="N7" s="766">
        <v>1399.2170000000001</v>
      </c>
      <c r="O7" s="766">
        <v>1399.761</v>
      </c>
      <c r="P7" s="766">
        <v>1193.356</v>
      </c>
      <c r="Q7" s="766">
        <v>1130.297</v>
      </c>
      <c r="R7" s="766">
        <v>1101.19</v>
      </c>
      <c r="S7" s="766">
        <v>1057.5060000000001</v>
      </c>
      <c r="T7" s="766">
        <v>1058.1569999999999</v>
      </c>
      <c r="U7" s="766">
        <v>1110.588</v>
      </c>
      <c r="V7" s="766">
        <v>1061.039</v>
      </c>
      <c r="W7" s="766">
        <v>1061.634</v>
      </c>
      <c r="X7" s="766">
        <v>1061.9880000000001</v>
      </c>
      <c r="Y7" s="766">
        <v>957.51099999999997</v>
      </c>
      <c r="Z7" s="766">
        <v>1007.919</v>
      </c>
      <c r="AA7" s="766">
        <v>1110.106</v>
      </c>
      <c r="AB7" s="766">
        <v>1135.75</v>
      </c>
      <c r="AC7" s="766">
        <f>'[74]May 2014'!L69/1000000</f>
        <v>1168.5239999999999</v>
      </c>
    </row>
    <row r="8" spans="1:29" ht="15.95" customHeight="1">
      <c r="A8" s="765" t="s">
        <v>201</v>
      </c>
      <c r="B8" s="767">
        <v>1049.5340839299993</v>
      </c>
      <c r="C8" s="767">
        <v>1035.4049702700015</v>
      </c>
      <c r="D8" s="767">
        <v>1040.5369035600033</v>
      </c>
      <c r="E8" s="767">
        <v>1017.7621709900027</v>
      </c>
      <c r="F8" s="767">
        <v>1053.8905977500001</v>
      </c>
      <c r="G8" s="767">
        <v>1026.8778699199981</v>
      </c>
      <c r="H8" s="767">
        <v>1029.0696868600005</v>
      </c>
      <c r="I8" s="767">
        <v>1066.4551997700005</v>
      </c>
      <c r="J8" s="767">
        <v>1035.9338482200012</v>
      </c>
      <c r="K8" s="767">
        <v>1101.7836990000019</v>
      </c>
      <c r="L8" s="767">
        <v>1101.4117712299994</v>
      </c>
      <c r="M8" s="767">
        <v>1059.8975900900002</v>
      </c>
      <c r="N8" s="767">
        <v>1144.7319792299995</v>
      </c>
      <c r="O8" s="767">
        <v>1145.6658957799989</v>
      </c>
      <c r="P8" s="767">
        <v>1034.1520761699983</v>
      </c>
      <c r="Q8" s="767">
        <v>1024.829464619999</v>
      </c>
      <c r="R8" s="767">
        <v>1116.2583365200005</v>
      </c>
      <c r="S8" s="767">
        <v>1038.7184114700012</v>
      </c>
      <c r="T8" s="767">
        <v>1128.2178182700004</v>
      </c>
      <c r="U8" s="767">
        <v>1022.4848672200012</v>
      </c>
      <c r="V8" s="767">
        <v>959.63591970000073</v>
      </c>
      <c r="W8" s="767">
        <v>982.01230300999828</v>
      </c>
      <c r="X8" s="767">
        <v>939.57567293000034</v>
      </c>
      <c r="Y8" s="767">
        <v>939.52300000000002</v>
      </c>
      <c r="Z8" s="767">
        <v>949.51946127000429</v>
      </c>
      <c r="AA8" s="767">
        <v>944.67310577999501</v>
      </c>
      <c r="AB8" s="767">
        <v>922.92985149999618</v>
      </c>
      <c r="AC8" s="767">
        <f>'[74]May 2014'!L68/1000000</f>
        <v>925.58467952999501</v>
      </c>
    </row>
    <row r="9" spans="1:29" ht="15.95" customHeight="1">
      <c r="A9" s="765" t="s">
        <v>47</v>
      </c>
      <c r="B9" s="766">
        <v>1753.9680650199998</v>
      </c>
      <c r="C9" s="766">
        <v>1774.1520941600004</v>
      </c>
      <c r="D9" s="766">
        <v>1787.8331137299999</v>
      </c>
      <c r="E9" s="766">
        <v>1395.2307854299997</v>
      </c>
      <c r="F9" s="766">
        <v>1472.85677018</v>
      </c>
      <c r="G9" s="766">
        <v>1475.1329524554644</v>
      </c>
      <c r="H9" s="766">
        <v>1467.34213931</v>
      </c>
      <c r="I9" s="766">
        <v>1470.5541987900001</v>
      </c>
      <c r="J9" s="766">
        <v>1491.4065421199998</v>
      </c>
      <c r="K9" s="766">
        <v>1518.9228208700001</v>
      </c>
      <c r="L9" s="766">
        <v>1594.0724050400001</v>
      </c>
      <c r="M9" s="766">
        <v>1606.2662365599999</v>
      </c>
      <c r="N9" s="766">
        <v>1605.2700167499995</v>
      </c>
      <c r="O9" s="766">
        <v>1585.0209128299998</v>
      </c>
      <c r="P9" s="766">
        <v>1581.5227964000001</v>
      </c>
      <c r="Q9" s="766">
        <v>1594.7889929200001</v>
      </c>
      <c r="R9" s="766">
        <v>1633.2042625899996</v>
      </c>
      <c r="S9" s="766">
        <v>1628.5791776099998</v>
      </c>
      <c r="T9" s="766">
        <v>1607.4693381700001</v>
      </c>
      <c r="U9" s="766">
        <v>1580.6486043600003</v>
      </c>
      <c r="V9" s="766">
        <v>1608.4649095600003</v>
      </c>
      <c r="W9" s="766">
        <v>1604.9155631599999</v>
      </c>
      <c r="X9" s="766">
        <v>1595.2074937100001</v>
      </c>
      <c r="Y9" s="766">
        <v>1586.6967480300002</v>
      </c>
      <c r="Z9" s="766">
        <v>1576.4994108699998</v>
      </c>
      <c r="AA9" s="766">
        <v>1587.5429659400004</v>
      </c>
      <c r="AB9" s="766">
        <v>1582.2983194999997</v>
      </c>
      <c r="AC9" s="766">
        <f>'[74]May 2014'!L74/1000000</f>
        <v>1610.9319729000001</v>
      </c>
    </row>
    <row r="10" spans="1:29" ht="15.95" customHeight="1">
      <c r="A10" s="765" t="s">
        <v>16</v>
      </c>
      <c r="B10" s="766">
        <v>3615.5609109199995</v>
      </c>
      <c r="C10" s="766">
        <v>3591.6548253400001</v>
      </c>
      <c r="D10" s="766">
        <v>3469.77614696</v>
      </c>
      <c r="E10" s="766">
        <v>2711.2755812099999</v>
      </c>
      <c r="F10" s="766">
        <v>2822.6144497200007</v>
      </c>
      <c r="G10" s="766">
        <v>2681.4932744534253</v>
      </c>
      <c r="H10" s="766">
        <v>2726.8820131899997</v>
      </c>
      <c r="I10" s="766">
        <v>2798.1972356799997</v>
      </c>
      <c r="J10" s="766">
        <v>2723.2698446399995</v>
      </c>
      <c r="K10" s="766">
        <v>2718.6264536499998</v>
      </c>
      <c r="L10" s="766">
        <v>2999.4531696499989</v>
      </c>
      <c r="M10" s="766">
        <v>3074.4410800299988</v>
      </c>
      <c r="N10" s="766">
        <v>3047.1624065300002</v>
      </c>
      <c r="O10" s="766">
        <v>3136.2570574599995</v>
      </c>
      <c r="P10" s="766">
        <v>3092.3309591300003</v>
      </c>
      <c r="Q10" s="766">
        <v>3105.6022608900003</v>
      </c>
      <c r="R10" s="766">
        <v>3188.7636856999998</v>
      </c>
      <c r="S10" s="766">
        <v>3189.1649630400011</v>
      </c>
      <c r="T10" s="766">
        <v>3188.2292967999992</v>
      </c>
      <c r="U10" s="766">
        <v>3216.6004821800002</v>
      </c>
      <c r="V10" s="766">
        <v>3217.7280058900005</v>
      </c>
      <c r="W10" s="766">
        <v>3258.1434047400003</v>
      </c>
      <c r="X10" s="766">
        <v>3448.6695504000004</v>
      </c>
      <c r="Y10" s="766">
        <v>3562.8312456199988</v>
      </c>
      <c r="Z10" s="766">
        <v>3494.8946900800001</v>
      </c>
      <c r="AA10" s="766">
        <v>3446.7721609599998</v>
      </c>
      <c r="AB10" s="766">
        <v>3386.3477944199999</v>
      </c>
      <c r="AC10" s="766">
        <f>('[74]May 2014'!L78-'[74]May 2014'!L79)/1000000</f>
        <v>3332.902685234656</v>
      </c>
    </row>
    <row r="11" spans="1:29" ht="15.95" customHeight="1">
      <c r="A11" s="768" t="s">
        <v>428</v>
      </c>
      <c r="B11" s="769">
        <v>20810.840289659995</v>
      </c>
      <c r="C11" s="769">
        <v>21240.828172644302</v>
      </c>
      <c r="D11" s="769">
        <v>21134.4181921255</v>
      </c>
      <c r="E11" s="769">
        <v>17394.462021685504</v>
      </c>
      <c r="F11" s="769">
        <v>17366.4920923955</v>
      </c>
      <c r="G11" s="769">
        <v>17446.651082804387</v>
      </c>
      <c r="H11" s="769">
        <v>17324.316566665497</v>
      </c>
      <c r="I11" s="769">
        <v>17561.3652738155</v>
      </c>
      <c r="J11" s="769">
        <v>17497.875058375503</v>
      </c>
      <c r="K11" s="769">
        <v>17648.11194028478</v>
      </c>
      <c r="L11" s="769">
        <v>18345.727614499276</v>
      </c>
      <c r="M11" s="770">
        <f>M5+M6+M7+M8+M9+M10</f>
        <v>18373.183942039999</v>
      </c>
      <c r="N11" s="770">
        <f>N5+N6+N7+N8+N9+N10</f>
        <v>18522.105969430468</v>
      </c>
      <c r="O11" s="770">
        <v>18762.759433096595</v>
      </c>
      <c r="P11" s="770">
        <v>18396.196319646595</v>
      </c>
      <c r="Q11" s="770">
        <v>18428.871883016596</v>
      </c>
      <c r="R11" s="770">
        <v>18795.631747752101</v>
      </c>
      <c r="S11" s="770">
        <v>18476.829958382099</v>
      </c>
      <c r="T11" s="770">
        <v>19026.214960730096</v>
      </c>
      <c r="U11" s="770">
        <v>19145.6666083821</v>
      </c>
      <c r="V11" s="770">
        <v>19030.873553566511</v>
      </c>
      <c r="W11" s="770">
        <v>19185.643853890706</v>
      </c>
      <c r="X11" s="770">
        <v>19507.527171306516</v>
      </c>
      <c r="Y11" s="770">
        <v>19422.834867473503</v>
      </c>
      <c r="Z11" s="770">
        <v>19438.694286936516</v>
      </c>
      <c r="AA11" s="770">
        <v>19567.006826966506</v>
      </c>
      <c r="AB11" s="770">
        <v>19665.859033894252</v>
      </c>
      <c r="AC11" s="770">
        <f>AC5+AC6+AC7+AC8+AC9+AC10</f>
        <v>19744.054711474877</v>
      </c>
    </row>
    <row r="12" spans="1:29" s="773" customFormat="1" ht="15.95" customHeight="1">
      <c r="A12" s="771"/>
      <c r="B12" s="772"/>
      <c r="C12" s="772"/>
      <c r="D12" s="772"/>
      <c r="E12" s="772"/>
      <c r="F12" s="772"/>
      <c r="G12" s="772"/>
      <c r="H12" s="772"/>
      <c r="I12" s="772"/>
      <c r="J12" s="772"/>
      <c r="K12" s="772"/>
      <c r="L12" s="772"/>
      <c r="M12" s="772"/>
      <c r="N12" s="772"/>
      <c r="O12" s="772"/>
      <c r="P12" s="772"/>
      <c r="Q12" s="772"/>
      <c r="R12" s="772"/>
      <c r="S12" s="772"/>
      <c r="T12" s="772"/>
      <c r="U12" s="772"/>
      <c r="V12" s="772"/>
      <c r="W12" s="772"/>
      <c r="X12" s="772"/>
      <c r="Y12" s="772"/>
      <c r="Z12" s="772"/>
      <c r="AA12" s="772"/>
      <c r="AB12" s="772"/>
      <c r="AC12" s="772"/>
    </row>
    <row r="13" spans="1:29" ht="15">
      <c r="A13" s="774"/>
      <c r="B13" s="775"/>
      <c r="C13" s="775"/>
      <c r="D13" s="775"/>
      <c r="E13" s="775"/>
      <c r="F13" s="775"/>
      <c r="G13" s="775"/>
      <c r="H13" s="775"/>
      <c r="I13" s="775"/>
      <c r="J13" s="775"/>
      <c r="K13" s="775"/>
      <c r="L13" s="775"/>
      <c r="M13" s="775"/>
      <c r="N13" s="775"/>
      <c r="O13" s="775"/>
      <c r="P13" s="775"/>
      <c r="Q13" s="775"/>
      <c r="R13" s="775"/>
      <c r="S13" s="775"/>
      <c r="T13" s="775"/>
      <c r="U13" s="775"/>
      <c r="V13" s="775"/>
      <c r="W13" s="775"/>
      <c r="X13" s="775"/>
      <c r="Y13" s="775"/>
      <c r="Z13" s="775"/>
      <c r="AA13" s="775"/>
      <c r="AB13" s="775"/>
      <c r="AC13" s="775" t="s">
        <v>74</v>
      </c>
    </row>
    <row r="14" spans="1:29" ht="15.95" customHeight="1">
      <c r="A14" s="763" t="s">
        <v>18</v>
      </c>
      <c r="B14" s="764">
        <v>40940</v>
      </c>
      <c r="C14" s="764">
        <v>40969</v>
      </c>
      <c r="D14" s="764">
        <v>41000</v>
      </c>
      <c r="E14" s="764">
        <v>41030</v>
      </c>
      <c r="F14" s="764">
        <v>41061</v>
      </c>
      <c r="G14" s="764">
        <v>41091</v>
      </c>
      <c r="H14" s="764">
        <v>41122</v>
      </c>
      <c r="I14" s="764">
        <v>41153</v>
      </c>
      <c r="J14" s="764">
        <v>41183</v>
      </c>
      <c r="K14" s="764">
        <v>41214</v>
      </c>
      <c r="L14" s="764">
        <v>41244</v>
      </c>
      <c r="M14" s="764">
        <v>41275</v>
      </c>
      <c r="N14" s="764">
        <v>41306</v>
      </c>
      <c r="O14" s="764">
        <v>41334</v>
      </c>
      <c r="P14" s="764">
        <v>41365</v>
      </c>
      <c r="Q14" s="764">
        <v>41395</v>
      </c>
      <c r="R14" s="764">
        <v>41426</v>
      </c>
      <c r="S14" s="764">
        <v>41456</v>
      </c>
      <c r="T14" s="764">
        <v>41487</v>
      </c>
      <c r="U14" s="764">
        <v>41518</v>
      </c>
      <c r="V14" s="764">
        <v>41548</v>
      </c>
      <c r="W14" s="764">
        <v>41579</v>
      </c>
      <c r="X14" s="764">
        <v>41609</v>
      </c>
      <c r="Y14" s="764">
        <v>41640</v>
      </c>
      <c r="Z14" s="764">
        <v>41671</v>
      </c>
      <c r="AA14" s="764">
        <v>41699</v>
      </c>
      <c r="AB14" s="764">
        <v>41730</v>
      </c>
      <c r="AC14" s="764">
        <v>41760</v>
      </c>
    </row>
    <row r="15" spans="1:29" ht="15.95" customHeight="1">
      <c r="A15" s="765" t="s">
        <v>547</v>
      </c>
      <c r="B15" s="776">
        <v>1746.58243204</v>
      </c>
      <c r="C15" s="776">
        <v>1746.58243204</v>
      </c>
      <c r="D15" s="776">
        <v>1746.5824324499997</v>
      </c>
      <c r="E15" s="776">
        <v>1325.00000004</v>
      </c>
      <c r="F15" s="776">
        <v>1325.00000004</v>
      </c>
      <c r="G15" s="776">
        <v>1325.00000004</v>
      </c>
      <c r="H15" s="776">
        <v>1325.00000004</v>
      </c>
      <c r="I15" s="776">
        <v>1325.00000004</v>
      </c>
      <c r="J15" s="776">
        <v>1325.00000004</v>
      </c>
      <c r="K15" s="776">
        <v>1325.00000004</v>
      </c>
      <c r="L15" s="776">
        <v>1325.00000004</v>
      </c>
      <c r="M15" s="776">
        <v>1325.00000004</v>
      </c>
      <c r="N15" s="776">
        <v>1325.00000004</v>
      </c>
      <c r="O15" s="776">
        <v>1325.00000004</v>
      </c>
      <c r="P15" s="776">
        <v>1325.00000004</v>
      </c>
      <c r="Q15" s="776">
        <v>1325.00000004</v>
      </c>
      <c r="R15" s="776">
        <v>1325.00000004</v>
      </c>
      <c r="S15" s="776">
        <v>1325.00000004</v>
      </c>
      <c r="T15" s="776">
        <v>1325.00000004</v>
      </c>
      <c r="U15" s="776">
        <v>1325.00000004</v>
      </c>
      <c r="V15" s="776">
        <v>1325.00000004</v>
      </c>
      <c r="W15" s="776">
        <v>1325.00000004</v>
      </c>
      <c r="X15" s="776">
        <v>1325.00000004</v>
      </c>
      <c r="Y15" s="776">
        <v>1325.00000004</v>
      </c>
      <c r="Z15" s="776">
        <v>1325.00000004</v>
      </c>
      <c r="AA15" s="776">
        <v>1325.00000004</v>
      </c>
      <c r="AB15" s="776">
        <v>1325.00000004</v>
      </c>
      <c r="AC15" s="776">
        <f>'[74]May 2014'!L11/1000000</f>
        <v>1325.00000004</v>
      </c>
    </row>
    <row r="16" spans="1:29" ht="15.95" customHeight="1">
      <c r="A16" s="765" t="s">
        <v>548</v>
      </c>
      <c r="B16" s="776">
        <v>599.53232722149994</v>
      </c>
      <c r="C16" s="776">
        <v>597.48768222150011</v>
      </c>
      <c r="D16" s="776">
        <v>585.08768969800064</v>
      </c>
      <c r="E16" s="776">
        <v>550.85495347150015</v>
      </c>
      <c r="F16" s="776">
        <v>550.85495377149937</v>
      </c>
      <c r="G16" s="776">
        <v>645.15164702100037</v>
      </c>
      <c r="H16" s="776">
        <v>646.24856795400092</v>
      </c>
      <c r="I16" s="776">
        <v>672.13719595400096</v>
      </c>
      <c r="J16" s="776">
        <v>719.21607130400037</v>
      </c>
      <c r="K16" s="776">
        <v>719.21607129400115</v>
      </c>
      <c r="L16" s="776">
        <v>694.21606729400105</v>
      </c>
      <c r="M16" s="776">
        <v>670.71247913400077</v>
      </c>
      <c r="N16" s="776">
        <v>670.71248195892997</v>
      </c>
      <c r="O16" s="776">
        <v>670.71248957391742</v>
      </c>
      <c r="P16" s="776">
        <v>670.71248505391691</v>
      </c>
      <c r="Q16" s="776">
        <v>660.71248457391744</v>
      </c>
      <c r="R16" s="776">
        <v>610.71248834191704</v>
      </c>
      <c r="S16" s="776">
        <v>734.33972089841654</v>
      </c>
      <c r="T16" s="776">
        <v>733.24190232691672</v>
      </c>
      <c r="U16" s="776">
        <v>733.7838401344161</v>
      </c>
      <c r="V16" s="776">
        <v>782.94232321041534</v>
      </c>
      <c r="W16" s="776">
        <v>782.85444522441719</v>
      </c>
      <c r="X16" s="776">
        <v>752.85457930648761</v>
      </c>
      <c r="Y16" s="776">
        <v>763.24215569149976</v>
      </c>
      <c r="Z16" s="776">
        <v>763.24215869149975</v>
      </c>
      <c r="AA16" s="776">
        <v>763.24215869149975</v>
      </c>
      <c r="AB16" s="776">
        <v>748.24215869149975</v>
      </c>
      <c r="AC16" s="776">
        <f>'[74]May 2014'!L16/1000000</f>
        <v>748.32769254350285</v>
      </c>
    </row>
    <row r="17" spans="1:29" ht="15.95" customHeight="1">
      <c r="A17" s="765" t="s">
        <v>549</v>
      </c>
      <c r="B17" s="776">
        <v>0</v>
      </c>
      <c r="C17" s="776">
        <v>0</v>
      </c>
      <c r="D17" s="776">
        <v>0</v>
      </c>
      <c r="E17" s="776">
        <v>0</v>
      </c>
      <c r="F17" s="776">
        <v>0</v>
      </c>
      <c r="G17" s="776">
        <v>0</v>
      </c>
      <c r="H17" s="776">
        <v>0</v>
      </c>
      <c r="I17" s="776">
        <v>0</v>
      </c>
      <c r="J17" s="776">
        <v>0</v>
      </c>
      <c r="K17" s="776">
        <v>0</v>
      </c>
      <c r="L17" s="776">
        <v>0</v>
      </c>
      <c r="M17" s="776">
        <v>0</v>
      </c>
      <c r="N17" s="776">
        <v>0</v>
      </c>
      <c r="O17" s="776">
        <v>0</v>
      </c>
      <c r="P17" s="776">
        <v>0</v>
      </c>
      <c r="Q17" s="776">
        <v>0</v>
      </c>
      <c r="R17" s="776">
        <v>0</v>
      </c>
      <c r="S17" s="776">
        <v>0</v>
      </c>
      <c r="T17" s="776">
        <v>0</v>
      </c>
      <c r="U17" s="776">
        <v>0</v>
      </c>
      <c r="V17" s="776">
        <v>0</v>
      </c>
      <c r="W17" s="776">
        <v>0</v>
      </c>
      <c r="X17" s="776">
        <v>0</v>
      </c>
      <c r="Y17" s="776">
        <v>0</v>
      </c>
      <c r="Z17" s="776">
        <v>0</v>
      </c>
      <c r="AA17" s="776">
        <v>0</v>
      </c>
      <c r="AB17" s="776">
        <v>0</v>
      </c>
      <c r="AC17" s="776">
        <f>'[74]May 2014'!L29/1000000</f>
        <v>0</v>
      </c>
    </row>
    <row r="18" spans="1:29" ht="15.95" customHeight="1">
      <c r="A18" s="765" t="s">
        <v>550</v>
      </c>
      <c r="B18" s="776">
        <v>174.68465315537588</v>
      </c>
      <c r="C18" s="776">
        <v>138.83161136000064</v>
      </c>
      <c r="D18" s="776">
        <v>166.05437092823649</v>
      </c>
      <c r="E18" s="776">
        <v>184.09390129199969</v>
      </c>
      <c r="F18" s="776">
        <v>214.51573574299965</v>
      </c>
      <c r="G18" s="776">
        <v>152.83371287038995</v>
      </c>
      <c r="H18" s="776">
        <v>183.68492711000061</v>
      </c>
      <c r="I18" s="776">
        <v>97.722879887501534</v>
      </c>
      <c r="J18" s="776">
        <v>78.951812543999964</v>
      </c>
      <c r="K18" s="776">
        <v>106.59191788399994</v>
      </c>
      <c r="L18" s="776">
        <v>129.06181087241649</v>
      </c>
      <c r="M18" s="776">
        <v>138.63510564942897</v>
      </c>
      <c r="N18" s="776">
        <v>174.03551509249951</v>
      </c>
      <c r="O18" s="776">
        <v>138.81410591500051</v>
      </c>
      <c r="P18" s="776">
        <v>166.94650340549961</v>
      </c>
      <c r="Q18" s="776">
        <v>202.46809445749884</v>
      </c>
      <c r="R18" s="776">
        <v>238.49052996700198</v>
      </c>
      <c r="S18" s="776">
        <v>168.69020238549959</v>
      </c>
      <c r="T18" s="776">
        <v>195.02616721850077</v>
      </c>
      <c r="U18" s="776">
        <v>92.981908756502534</v>
      </c>
      <c r="V18" s="776">
        <v>80.497340199501778</v>
      </c>
      <c r="W18" s="776">
        <v>110.35300234900004</v>
      </c>
      <c r="X18" s="776">
        <v>132.31135786501284</v>
      </c>
      <c r="Y18" s="776">
        <v>154.90767153200554</v>
      </c>
      <c r="Z18" s="776">
        <v>191.2673920019993</v>
      </c>
      <c r="AA18" s="776">
        <v>134.18046513999943</v>
      </c>
      <c r="AB18" s="776">
        <v>169.56187140749978</v>
      </c>
      <c r="AC18" s="776">
        <f>('[74]May 2014'!L43-'[74]May 2014'!L79)/1000000</f>
        <v>204.00408966017156</v>
      </c>
    </row>
    <row r="19" spans="1:29" ht="15.95" customHeight="1">
      <c r="A19" s="765" t="s">
        <v>551</v>
      </c>
      <c r="B19" s="776">
        <v>14673.987694020007</v>
      </c>
      <c r="C19" s="776">
        <v>15022.280191680002</v>
      </c>
      <c r="D19" s="776">
        <v>14950.51709168</v>
      </c>
      <c r="E19" s="776">
        <v>12226.293971069999</v>
      </c>
      <c r="F19" s="776">
        <v>11892.032891719997</v>
      </c>
      <c r="G19" s="776">
        <v>12056.502985439998</v>
      </c>
      <c r="H19" s="776">
        <v>12136.8419505</v>
      </c>
      <c r="I19" s="776">
        <v>12195.952606729999</v>
      </c>
      <c r="J19" s="776">
        <v>12297.28802287</v>
      </c>
      <c r="K19" s="776">
        <v>12244.178058209996</v>
      </c>
      <c r="L19" s="776">
        <v>12481.682409219993</v>
      </c>
      <c r="M19" s="776">
        <v>12805.170594069996</v>
      </c>
      <c r="N19" s="776">
        <v>12881.226528809995</v>
      </c>
      <c r="O19" s="776">
        <v>13034.154719470002</v>
      </c>
      <c r="P19" s="776">
        <v>12777.125437519997</v>
      </c>
      <c r="Q19" s="776">
        <v>12855.538266410002</v>
      </c>
      <c r="R19" s="776">
        <v>12936.980305380001</v>
      </c>
      <c r="S19" s="776">
        <v>12753.110069369999</v>
      </c>
      <c r="T19" s="776">
        <v>12769.440596630004</v>
      </c>
      <c r="U19" s="776">
        <v>12859.20819573</v>
      </c>
      <c r="V19" s="776">
        <v>12841.551802059997</v>
      </c>
      <c r="W19" s="776">
        <v>12847.820847959993</v>
      </c>
      <c r="X19" s="776">
        <v>12681.677415169997</v>
      </c>
      <c r="Y19" s="776">
        <v>12598.589176169999</v>
      </c>
      <c r="Z19" s="776">
        <v>12606.652558670003</v>
      </c>
      <c r="AA19" s="776">
        <v>12516.867773700002</v>
      </c>
      <c r="AB19" s="776">
        <v>12728.165184020003</v>
      </c>
      <c r="AC19" s="776">
        <f>('[74]May 2014'!L31+'[74]May 2014'!L35+'[74]May 2014'!L25)/1000000</f>
        <v>12619.011896249995</v>
      </c>
    </row>
    <row r="20" spans="1:29" s="779" customFormat="1" ht="15.95" customHeight="1">
      <c r="A20" s="777" t="s">
        <v>552</v>
      </c>
      <c r="B20" s="778">
        <v>14551.555964250007</v>
      </c>
      <c r="C20" s="778">
        <v>14902.643488680002</v>
      </c>
      <c r="D20" s="778">
        <v>14831.144394680001</v>
      </c>
      <c r="E20" s="778">
        <v>12109.832539069999</v>
      </c>
      <c r="F20" s="778">
        <v>11778.019082239998</v>
      </c>
      <c r="G20" s="778">
        <v>11949.233858439999</v>
      </c>
      <c r="H20" s="778">
        <v>12026.675456499999</v>
      </c>
      <c r="I20" s="778">
        <v>12076.429211659999</v>
      </c>
      <c r="J20" s="778">
        <v>12177.216458729999</v>
      </c>
      <c r="K20" s="778">
        <v>12127.075089559998</v>
      </c>
      <c r="L20" s="778">
        <v>12370.895662509995</v>
      </c>
      <c r="M20" s="778">
        <v>12696.615796389995</v>
      </c>
      <c r="N20" s="778">
        <v>12774.912824429997</v>
      </c>
      <c r="O20" s="778">
        <v>12930.049730080002</v>
      </c>
      <c r="P20" s="778">
        <v>12675.321549519997</v>
      </c>
      <c r="Q20" s="778">
        <v>12755.96350263</v>
      </c>
      <c r="R20" s="778">
        <v>12794.52027936</v>
      </c>
      <c r="S20" s="778">
        <v>12588.450738419999</v>
      </c>
      <c r="T20" s="778">
        <v>12593.328752050003</v>
      </c>
      <c r="U20" s="778">
        <v>12687.318257049999</v>
      </c>
      <c r="V20" s="778">
        <v>12673.612646059997</v>
      </c>
      <c r="W20" s="778">
        <v>12678.074341059993</v>
      </c>
      <c r="X20" s="778">
        <v>12495.064819719997</v>
      </c>
      <c r="Y20" s="778">
        <v>12416.832218329999</v>
      </c>
      <c r="Z20" s="778">
        <v>12416.327303240001</v>
      </c>
      <c r="AA20" s="778">
        <v>12398.51194604</v>
      </c>
      <c r="AB20" s="778">
        <v>12612.756203890003</v>
      </c>
      <c r="AC20" s="778">
        <f>'[74]May 2014'!L35/1000000</f>
        <v>12506.284809149995</v>
      </c>
    </row>
    <row r="21" spans="1:29" ht="15.95" customHeight="1">
      <c r="A21" s="765" t="s">
        <v>54</v>
      </c>
      <c r="B21" s="776">
        <v>1816.2484834300003</v>
      </c>
      <c r="C21" s="776">
        <v>1871.3934472400003</v>
      </c>
      <c r="D21" s="776">
        <v>1823.9683416599994</v>
      </c>
      <c r="E21" s="776">
        <v>1415.7926568399998</v>
      </c>
      <c r="F21" s="776">
        <v>1740.0558439700003</v>
      </c>
      <c r="G21" s="776">
        <v>1573.7345048299999</v>
      </c>
      <c r="H21" s="776">
        <v>1401.1215261600003</v>
      </c>
      <c r="I21" s="776">
        <v>1583.2044379400002</v>
      </c>
      <c r="J21" s="776">
        <v>1385.15929467</v>
      </c>
      <c r="K21" s="776">
        <v>1459.4611832399996</v>
      </c>
      <c r="L21" s="776">
        <v>1770.0614025900002</v>
      </c>
      <c r="M21" s="776">
        <v>1850.4168175099996</v>
      </c>
      <c r="N21" s="776">
        <v>1810.5282499099999</v>
      </c>
      <c r="O21" s="776">
        <v>1949.0623081799997</v>
      </c>
      <c r="P21" s="776">
        <v>1804.3358888600001</v>
      </c>
      <c r="Q21" s="776">
        <v>1640.3018918900004</v>
      </c>
      <c r="R21" s="776">
        <v>1865.9683750199999</v>
      </c>
      <c r="S21" s="776">
        <v>1545.2656388999997</v>
      </c>
      <c r="T21" s="776">
        <v>1910.7907514600001</v>
      </c>
      <c r="U21" s="776">
        <v>2070.54935471</v>
      </c>
      <c r="V21" s="776">
        <v>2120.6724401199999</v>
      </c>
      <c r="W21" s="776">
        <v>2192.7014391800003</v>
      </c>
      <c r="X21" s="776">
        <v>2396.9668014700001</v>
      </c>
      <c r="Y21" s="776">
        <v>2595.5052623199995</v>
      </c>
      <c r="Z21" s="776">
        <v>2580.2813334799998</v>
      </c>
      <c r="AA21" s="776">
        <v>2899.7717887999997</v>
      </c>
      <c r="AB21" s="776">
        <v>2793.1222935299993</v>
      </c>
      <c r="AC21" s="776">
        <f>'[74]May 2014'!L37/1000000</f>
        <v>2960.8303499099993</v>
      </c>
    </row>
    <row r="22" spans="1:29" ht="15.95" customHeight="1">
      <c r="A22" s="765" t="s">
        <v>59</v>
      </c>
      <c r="B22" s="776">
        <v>1799.8046994554986</v>
      </c>
      <c r="C22" s="776">
        <v>1864.2528078224993</v>
      </c>
      <c r="D22" s="776">
        <v>1862.2082661299992</v>
      </c>
      <c r="E22" s="776">
        <v>1692.4265391454996</v>
      </c>
      <c r="F22" s="776">
        <v>1644.0326673576606</v>
      </c>
      <c r="G22" s="776">
        <v>1693.4282335971793</v>
      </c>
      <c r="H22" s="776">
        <v>1631.4195957471791</v>
      </c>
      <c r="I22" s="776">
        <v>1687.3481527838196</v>
      </c>
      <c r="J22" s="776">
        <v>1692.2598568708188</v>
      </c>
      <c r="K22" s="776">
        <v>1793.6647095710955</v>
      </c>
      <c r="L22" s="776">
        <v>1945.7059241178026</v>
      </c>
      <c r="M22" s="776">
        <v>1583.2489452885827</v>
      </c>
      <c r="N22" s="776">
        <v>1660.603190898051</v>
      </c>
      <c r="O22" s="776">
        <v>1645.0158121701809</v>
      </c>
      <c r="P22" s="776">
        <v>1652.0760039620964</v>
      </c>
      <c r="Q22" s="776">
        <v>1744.851146639181</v>
      </c>
      <c r="R22" s="776">
        <v>1818.4800479889018</v>
      </c>
      <c r="S22" s="776">
        <v>1950.424325898819</v>
      </c>
      <c r="T22" s="776">
        <v>2092.7155430588191</v>
      </c>
      <c r="U22" s="776">
        <v>2064.1435028648857</v>
      </c>
      <c r="V22" s="776">
        <v>1880.2096480220112</v>
      </c>
      <c r="W22" s="776">
        <v>1926.9139964014933</v>
      </c>
      <c r="X22" s="776">
        <v>2218.7168944220116</v>
      </c>
      <c r="Y22" s="776">
        <v>1985.5904765195039</v>
      </c>
      <c r="Z22" s="776">
        <v>1972.2507203140117</v>
      </c>
      <c r="AA22" s="776">
        <v>1927.9445168920113</v>
      </c>
      <c r="AB22" s="776">
        <v>1901.7674149797515</v>
      </c>
      <c r="AC22" s="776">
        <f>('[74]May 2014'!L42-'[74]May 2014'!L43+'[74]May 2014'!L33)/1000000</f>
        <v>1886.8805592166605</v>
      </c>
    </row>
    <row r="23" spans="1:29" ht="15.95" customHeight="1">
      <c r="A23" s="780" t="s">
        <v>455</v>
      </c>
      <c r="B23" s="781">
        <v>20810.840289322379</v>
      </c>
      <c r="C23" s="781">
        <v>21240.828172364003</v>
      </c>
      <c r="D23" s="781">
        <v>21134.418192546233</v>
      </c>
      <c r="E23" s="781">
        <v>17394.462021858999</v>
      </c>
      <c r="F23" s="781">
        <v>17366.492092602155</v>
      </c>
      <c r="G23" s="781">
        <v>17446.651083798566</v>
      </c>
      <c r="H23" s="781">
        <v>17324.316567511185</v>
      </c>
      <c r="I23" s="781">
        <v>17561.365273335323</v>
      </c>
      <c r="J23" s="781">
        <v>17497.875058298818</v>
      </c>
      <c r="K23" s="781">
        <v>17648.11194023909</v>
      </c>
      <c r="L23" s="781">
        <v>18345.727614134215</v>
      </c>
      <c r="M23" s="782">
        <f>M15+M16+M17+M18+M19+M21+M22</f>
        <v>18373.183941692008</v>
      </c>
      <c r="N23" s="782">
        <f>N15+N16+N17+N18+N19+N21+N22</f>
        <v>18522.105966709474</v>
      </c>
      <c r="O23" s="782">
        <v>18762.7594353491</v>
      </c>
      <c r="P23" s="782">
        <v>18396.19631884151</v>
      </c>
      <c r="Q23" s="782">
        <v>18428.871884010601</v>
      </c>
      <c r="R23" s="782">
        <v>18795.631746737821</v>
      </c>
      <c r="S23" s="782">
        <v>18476.829957492737</v>
      </c>
      <c r="T23" s="782">
        <v>19026.214960734244</v>
      </c>
      <c r="U23" s="782">
        <v>19145.666802235803</v>
      </c>
      <c r="V23" s="782">
        <v>19030.873553651923</v>
      </c>
      <c r="W23" s="782">
        <v>19185.643731154905</v>
      </c>
      <c r="X23" s="782">
        <v>19507.527048273507</v>
      </c>
      <c r="Y23" s="782">
        <v>19422.834742273008</v>
      </c>
      <c r="Z23" s="782">
        <v>19438.694163197513</v>
      </c>
      <c r="AA23" s="782">
        <v>19567.006703263512</v>
      </c>
      <c r="AB23" s="782">
        <v>19665.858922668755</v>
      </c>
      <c r="AC23" s="782">
        <f>AC15+AC16+AC17+AC18+AC19+AC21+AC22</f>
        <v>19744.054587620329</v>
      </c>
    </row>
    <row r="24" spans="1:29" s="784" customFormat="1">
      <c r="A24" s="783" t="s">
        <v>240</v>
      </c>
    </row>
    <row r="25" spans="1:29" s="784" customFormat="1" ht="14.25" customHeight="1">
      <c r="A25" s="785" t="s">
        <v>553</v>
      </c>
    </row>
    <row r="26" spans="1:29" s="786" customFormat="1">
      <c r="A26" s="783" t="s">
        <v>554</v>
      </c>
    </row>
    <row r="27" spans="1:29" s="786" customFormat="1" ht="15.75">
      <c r="A27" s="761"/>
    </row>
    <row r="28" spans="1:29" s="786" customFormat="1" ht="15.75">
      <c r="A28" s="761"/>
    </row>
    <row r="29" spans="1:29" s="786" customFormat="1" ht="15.75">
      <c r="A29" s="761"/>
      <c r="B29" s="787"/>
      <c r="C29" s="787"/>
      <c r="D29" s="787"/>
      <c r="E29" s="787"/>
      <c r="F29" s="787"/>
      <c r="G29" s="787"/>
      <c r="H29" s="787"/>
      <c r="I29" s="787"/>
      <c r="J29" s="787"/>
      <c r="K29" s="787"/>
      <c r="L29" s="787"/>
      <c r="M29" s="787"/>
      <c r="N29" s="787"/>
      <c r="O29" s="787"/>
      <c r="P29" s="787"/>
      <c r="Q29" s="787"/>
      <c r="R29" s="788"/>
      <c r="S29" s="787"/>
      <c r="T29" s="787"/>
      <c r="U29" s="787"/>
      <c r="V29" s="787"/>
      <c r="W29" s="787"/>
      <c r="X29" s="787"/>
      <c r="Y29" s="787"/>
      <c r="Z29" s="787"/>
      <c r="AA29" s="787"/>
      <c r="AB29" s="787"/>
      <c r="AC29" s="788"/>
    </row>
    <row r="30" spans="1:29" s="786" customFormat="1" ht="15.75">
      <c r="A30" s="761"/>
    </row>
    <row r="31" spans="1:29" s="786"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G3" sqref="G3"/>
    </sheetView>
  </sheetViews>
  <sheetFormatPr defaultRowHeight="15"/>
  <cols>
    <col min="1" max="1" width="52.5703125" style="403" customWidth="1"/>
    <col min="2" max="2" width="10.5703125" style="403" customWidth="1"/>
    <col min="3" max="3" width="11.85546875" style="403" customWidth="1"/>
    <col min="4" max="4" width="9.85546875" style="403" customWidth="1"/>
    <col min="5" max="5" width="10.42578125" style="403" customWidth="1"/>
    <col min="6" max="6" width="10.85546875" style="403" bestFit="1" customWidth="1"/>
    <col min="7" max="7" width="10.85546875" style="403" customWidth="1"/>
    <col min="8" max="8" width="10.85546875" style="403" bestFit="1" customWidth="1"/>
    <col min="9" max="16" width="10.7109375" style="403" customWidth="1"/>
    <col min="17" max="16384" width="9.140625" style="403"/>
  </cols>
  <sheetData>
    <row r="1" spans="1:16" ht="1.5" customHeight="1">
      <c r="A1" s="404"/>
    </row>
    <row r="2" spans="1:16" ht="15.75" hidden="1" customHeight="1">
      <c r="A2" s="404"/>
    </row>
    <row r="3" spans="1:16" ht="42" customHeight="1">
      <c r="A3" s="3217" t="s">
        <v>555</v>
      </c>
      <c r="B3" s="3217"/>
      <c r="C3" s="3217"/>
      <c r="D3" s="3217"/>
    </row>
    <row r="4" spans="1:16" ht="21.75" customHeight="1" thickBot="1">
      <c r="A4" s="455"/>
      <c r="B4" s="455"/>
      <c r="C4" s="455"/>
      <c r="E4" s="789"/>
      <c r="F4" s="789"/>
      <c r="G4" s="789"/>
      <c r="H4" s="789"/>
      <c r="P4" s="403" t="s">
        <v>74</v>
      </c>
    </row>
    <row r="5" spans="1:16" ht="25.5" customHeight="1" thickBot="1">
      <c r="A5" s="790"/>
      <c r="B5" s="791">
        <v>40451</v>
      </c>
      <c r="C5" s="792">
        <v>40543</v>
      </c>
      <c r="D5" s="793">
        <v>40633</v>
      </c>
      <c r="E5" s="793">
        <v>40724</v>
      </c>
      <c r="F5" s="793">
        <v>40816</v>
      </c>
      <c r="G5" s="793">
        <v>40907</v>
      </c>
      <c r="H5" s="793">
        <v>40969</v>
      </c>
      <c r="I5" s="793">
        <v>41061</v>
      </c>
      <c r="J5" s="793">
        <v>41153</v>
      </c>
      <c r="K5" s="793">
        <v>41244</v>
      </c>
      <c r="L5" s="793">
        <v>41334</v>
      </c>
      <c r="M5" s="793">
        <v>41426</v>
      </c>
      <c r="N5" s="793">
        <v>41518</v>
      </c>
      <c r="O5" s="793">
        <v>41609</v>
      </c>
      <c r="P5" s="793">
        <v>41699</v>
      </c>
    </row>
    <row r="6" spans="1:16" ht="18" customHeight="1">
      <c r="A6" s="794" t="s">
        <v>556</v>
      </c>
      <c r="B6" s="795">
        <v>472.36257554000002</v>
      </c>
      <c r="C6" s="796">
        <v>510</v>
      </c>
      <c r="D6" s="797">
        <v>491</v>
      </c>
      <c r="E6" s="797">
        <v>498</v>
      </c>
      <c r="F6" s="797">
        <v>497</v>
      </c>
      <c r="G6" s="797">
        <v>476</v>
      </c>
      <c r="H6" s="797">
        <v>491</v>
      </c>
      <c r="I6" s="797">
        <v>422</v>
      </c>
      <c r="J6" s="797">
        <v>408.45183361999989</v>
      </c>
      <c r="K6" s="797">
        <v>408</v>
      </c>
      <c r="L6" s="797">
        <v>415</v>
      </c>
      <c r="M6" s="797">
        <v>400</v>
      </c>
      <c r="N6" s="797">
        <v>408</v>
      </c>
      <c r="O6" s="797">
        <v>399</v>
      </c>
      <c r="P6" s="797">
        <v>405</v>
      </c>
    </row>
    <row r="7" spans="1:16" ht="18" customHeight="1">
      <c r="A7" s="794" t="s">
        <v>557</v>
      </c>
      <c r="B7" s="795">
        <v>335.91336057999996</v>
      </c>
      <c r="C7" s="796">
        <v>357</v>
      </c>
      <c r="D7" s="797">
        <v>319</v>
      </c>
      <c r="E7" s="797">
        <v>321</v>
      </c>
      <c r="F7" s="797">
        <v>324</v>
      </c>
      <c r="G7" s="797">
        <v>304</v>
      </c>
      <c r="H7" s="797">
        <v>304</v>
      </c>
      <c r="I7" s="797">
        <v>241</v>
      </c>
      <c r="J7" s="797">
        <v>235.49498532999999</v>
      </c>
      <c r="K7" s="797">
        <v>234</v>
      </c>
      <c r="L7" s="797">
        <v>228</v>
      </c>
      <c r="M7" s="797">
        <v>235</v>
      </c>
      <c r="N7" s="797">
        <v>231</v>
      </c>
      <c r="O7" s="797">
        <v>229</v>
      </c>
      <c r="P7" s="797">
        <v>223</v>
      </c>
    </row>
    <row r="8" spans="1:16" ht="18" customHeight="1">
      <c r="A8" s="798" t="s">
        <v>558</v>
      </c>
      <c r="B8" s="799">
        <v>136.44921496000006</v>
      </c>
      <c r="C8" s="800">
        <v>153</v>
      </c>
      <c r="D8" s="801">
        <f>D6-D7</f>
        <v>172</v>
      </c>
      <c r="E8" s="801">
        <f>E6-E7</f>
        <v>177</v>
      </c>
      <c r="F8" s="801">
        <f>F6-F7</f>
        <v>173</v>
      </c>
      <c r="G8" s="801">
        <v>172</v>
      </c>
      <c r="H8" s="801">
        <f>H6-H7</f>
        <v>187</v>
      </c>
      <c r="I8" s="801">
        <f>I6-I7</f>
        <v>181</v>
      </c>
      <c r="J8" s="801">
        <f t="shared" ref="J8:O8" si="0">J6-J7</f>
        <v>172.9568482899999</v>
      </c>
      <c r="K8" s="801">
        <v>174</v>
      </c>
      <c r="L8" s="801">
        <f t="shared" si="0"/>
        <v>187</v>
      </c>
      <c r="M8" s="801">
        <f t="shared" si="0"/>
        <v>165</v>
      </c>
      <c r="N8" s="801">
        <f t="shared" si="0"/>
        <v>177</v>
      </c>
      <c r="O8" s="801">
        <f t="shared" si="0"/>
        <v>170</v>
      </c>
      <c r="P8" s="801">
        <f>P6-P7</f>
        <v>182</v>
      </c>
    </row>
    <row r="9" spans="1:16" ht="18" customHeight="1">
      <c r="A9" s="802"/>
      <c r="B9" s="795"/>
      <c r="C9" s="796"/>
      <c r="D9" s="797"/>
      <c r="E9" s="797"/>
      <c r="F9" s="797"/>
      <c r="G9" s="797"/>
      <c r="H9" s="797"/>
      <c r="I9" s="797"/>
      <c r="J9" s="797"/>
      <c r="K9" s="797"/>
      <c r="L9" s="797"/>
      <c r="M9" s="797"/>
      <c r="N9" s="797"/>
      <c r="O9" s="797"/>
      <c r="P9" s="797"/>
    </row>
    <row r="10" spans="1:16" ht="18" customHeight="1">
      <c r="A10" s="798" t="s">
        <v>559</v>
      </c>
      <c r="B10" s="799">
        <v>184.51846550000002</v>
      </c>
      <c r="C10" s="800">
        <v>202</v>
      </c>
      <c r="D10" s="801">
        <f>D11+D12</f>
        <v>168.01905119000003</v>
      </c>
      <c r="E10" s="801">
        <f>E11+E12</f>
        <v>175</v>
      </c>
      <c r="F10" s="801">
        <f>F11+F12</f>
        <v>185</v>
      </c>
      <c r="G10" s="801">
        <v>184</v>
      </c>
      <c r="H10" s="801">
        <f>H11+H12</f>
        <v>189</v>
      </c>
      <c r="I10" s="801">
        <f>I11+I12</f>
        <v>167</v>
      </c>
      <c r="J10" s="801">
        <v>177.96196124999997</v>
      </c>
      <c r="K10" s="801">
        <v>185</v>
      </c>
      <c r="L10" s="801">
        <f>L11+L12</f>
        <v>182</v>
      </c>
      <c r="M10" s="801">
        <f>M11+M12</f>
        <v>198</v>
      </c>
      <c r="N10" s="801">
        <f>N11+N12</f>
        <v>193</v>
      </c>
      <c r="O10" s="801">
        <f t="shared" ref="O10:P10" si="1">O11+O12</f>
        <v>202</v>
      </c>
      <c r="P10" s="801">
        <f t="shared" si="1"/>
        <v>191</v>
      </c>
    </row>
    <row r="11" spans="1:16" ht="18" customHeight="1">
      <c r="A11" s="794" t="s">
        <v>560</v>
      </c>
      <c r="B11" s="795">
        <v>55.894596980000038</v>
      </c>
      <c r="C11" s="796">
        <v>65</v>
      </c>
      <c r="D11" s="797">
        <v>58.019051190000013</v>
      </c>
      <c r="E11" s="797">
        <v>65</v>
      </c>
      <c r="F11" s="797">
        <v>67</v>
      </c>
      <c r="G11" s="797">
        <v>67</v>
      </c>
      <c r="H11" s="797">
        <v>66</v>
      </c>
      <c r="I11" s="797">
        <v>67</v>
      </c>
      <c r="J11" s="797">
        <v>70.554284209999977</v>
      </c>
      <c r="K11" s="797">
        <v>72</v>
      </c>
      <c r="L11" s="797">
        <v>70</v>
      </c>
      <c r="M11" s="797">
        <v>78</v>
      </c>
      <c r="N11" s="797">
        <v>79</v>
      </c>
      <c r="O11" s="797">
        <v>79</v>
      </c>
      <c r="P11" s="797">
        <v>73</v>
      </c>
    </row>
    <row r="12" spans="1:16" ht="18" customHeight="1">
      <c r="A12" s="794" t="s">
        <v>561</v>
      </c>
      <c r="B12" s="795">
        <v>128.62386851999997</v>
      </c>
      <c r="C12" s="796">
        <v>137</v>
      </c>
      <c r="D12" s="797">
        <v>110</v>
      </c>
      <c r="E12" s="797">
        <v>110</v>
      </c>
      <c r="F12" s="797">
        <v>118</v>
      </c>
      <c r="G12" s="797">
        <v>117</v>
      </c>
      <c r="H12" s="797">
        <v>123</v>
      </c>
      <c r="I12" s="797">
        <v>100</v>
      </c>
      <c r="J12" s="797">
        <v>107.40767704</v>
      </c>
      <c r="K12" s="797">
        <v>113</v>
      </c>
      <c r="L12" s="797">
        <v>112</v>
      </c>
      <c r="M12" s="797">
        <v>120</v>
      </c>
      <c r="N12" s="797">
        <v>114</v>
      </c>
      <c r="O12" s="797">
        <v>123</v>
      </c>
      <c r="P12" s="797">
        <v>118</v>
      </c>
    </row>
    <row r="13" spans="1:16" ht="18" customHeight="1">
      <c r="A13" s="794"/>
      <c r="B13" s="795"/>
      <c r="C13" s="796"/>
      <c r="D13" s="797"/>
      <c r="E13" s="797"/>
      <c r="F13" s="797"/>
      <c r="G13" s="797"/>
      <c r="H13" s="797"/>
      <c r="I13" s="797"/>
      <c r="J13" s="797"/>
      <c r="K13" s="797"/>
      <c r="L13" s="797"/>
      <c r="M13" s="797"/>
      <c r="N13" s="797"/>
      <c r="O13" s="797"/>
      <c r="P13" s="797"/>
    </row>
    <row r="14" spans="1:16" ht="18" customHeight="1">
      <c r="A14" s="798" t="s">
        <v>562</v>
      </c>
      <c r="B14" s="799">
        <v>320.96768046000011</v>
      </c>
      <c r="C14" s="800">
        <v>355</v>
      </c>
      <c r="D14" s="801">
        <f>D8+D10</f>
        <v>340.01905119000003</v>
      </c>
      <c r="E14" s="801">
        <f>E8+E10</f>
        <v>352</v>
      </c>
      <c r="F14" s="801">
        <f>F8+F10</f>
        <v>358</v>
      </c>
      <c r="G14" s="801">
        <v>356</v>
      </c>
      <c r="H14" s="801">
        <f>H8+H10</f>
        <v>376</v>
      </c>
      <c r="I14" s="801">
        <f>I8+I10</f>
        <v>348</v>
      </c>
      <c r="J14" s="801">
        <v>350.91880953999987</v>
      </c>
      <c r="K14" s="801">
        <v>359</v>
      </c>
      <c r="L14" s="801">
        <f>L8+L10</f>
        <v>369</v>
      </c>
      <c r="M14" s="801">
        <f>M8+M10</f>
        <v>363</v>
      </c>
      <c r="N14" s="801">
        <f>N8+N10</f>
        <v>370</v>
      </c>
      <c r="O14" s="801">
        <f t="shared" ref="O14:P14" si="2">O8+O10</f>
        <v>372</v>
      </c>
      <c r="P14" s="801">
        <f t="shared" si="2"/>
        <v>373</v>
      </c>
    </row>
    <row r="15" spans="1:16" ht="18" customHeight="1">
      <c r="A15" s="798"/>
      <c r="B15" s="795"/>
      <c r="C15" s="796"/>
      <c r="D15" s="797"/>
      <c r="E15" s="797"/>
      <c r="F15" s="797"/>
      <c r="G15" s="797"/>
      <c r="H15" s="797"/>
      <c r="I15" s="797"/>
      <c r="J15" s="797"/>
      <c r="K15" s="797"/>
      <c r="L15" s="797"/>
      <c r="M15" s="797"/>
      <c r="N15" s="797"/>
      <c r="O15" s="797"/>
      <c r="P15" s="797"/>
    </row>
    <row r="16" spans="1:16" ht="18" customHeight="1">
      <c r="A16" s="798" t="s">
        <v>563</v>
      </c>
      <c r="B16" s="799">
        <v>209.14297093000002</v>
      </c>
      <c r="C16" s="800">
        <v>244</v>
      </c>
      <c r="D16" s="801">
        <f>D17+D18</f>
        <v>231</v>
      </c>
      <c r="E16" s="801">
        <f>E17+E18</f>
        <v>241</v>
      </c>
      <c r="F16" s="801">
        <f>F17+F18</f>
        <v>251</v>
      </c>
      <c r="G16" s="801">
        <v>240</v>
      </c>
      <c r="H16" s="801">
        <f>H17+H18</f>
        <v>246</v>
      </c>
      <c r="I16" s="801">
        <f>I17+I18</f>
        <v>225</v>
      </c>
      <c r="J16" s="801">
        <v>223.43907991</v>
      </c>
      <c r="K16" s="801">
        <v>240</v>
      </c>
      <c r="L16" s="801">
        <f>L17+L18</f>
        <v>243</v>
      </c>
      <c r="M16" s="801">
        <f>M17+M18</f>
        <v>220</v>
      </c>
      <c r="N16" s="801">
        <f>N17+N18</f>
        <v>246</v>
      </c>
      <c r="O16" s="801">
        <f t="shared" ref="O16:P16" si="3">O17+O18</f>
        <v>239</v>
      </c>
      <c r="P16" s="801">
        <f t="shared" si="3"/>
        <v>246</v>
      </c>
    </row>
    <row r="17" spans="1:16" ht="18" customHeight="1">
      <c r="A17" s="794" t="s">
        <v>564</v>
      </c>
      <c r="B17" s="795">
        <v>61.287354260000001</v>
      </c>
      <c r="C17" s="796">
        <v>66</v>
      </c>
      <c r="D17" s="797">
        <v>64</v>
      </c>
      <c r="E17" s="797">
        <v>67</v>
      </c>
      <c r="F17" s="797">
        <v>73</v>
      </c>
      <c r="G17" s="797">
        <v>68</v>
      </c>
      <c r="H17" s="797">
        <v>71</v>
      </c>
      <c r="I17" s="797">
        <v>59</v>
      </c>
      <c r="J17" s="797">
        <v>56.377752529999903</v>
      </c>
      <c r="K17" s="797">
        <v>64</v>
      </c>
      <c r="L17" s="797">
        <v>65</v>
      </c>
      <c r="M17" s="797">
        <v>64</v>
      </c>
      <c r="N17" s="797">
        <v>61</v>
      </c>
      <c r="O17" s="797">
        <v>65</v>
      </c>
      <c r="P17" s="797">
        <v>68</v>
      </c>
    </row>
    <row r="18" spans="1:16" ht="18" customHeight="1">
      <c r="A18" s="794" t="s">
        <v>565</v>
      </c>
      <c r="B18" s="795">
        <v>147.85561667000002</v>
      </c>
      <c r="C18" s="796">
        <v>178</v>
      </c>
      <c r="D18" s="797">
        <v>167</v>
      </c>
      <c r="E18" s="797">
        <v>174</v>
      </c>
      <c r="F18" s="797">
        <v>178</v>
      </c>
      <c r="G18" s="797">
        <v>172</v>
      </c>
      <c r="H18" s="797">
        <v>175</v>
      </c>
      <c r="I18" s="797">
        <v>166</v>
      </c>
      <c r="J18" s="797">
        <v>167.06132738000011</v>
      </c>
      <c r="K18" s="797">
        <v>176</v>
      </c>
      <c r="L18" s="797">
        <v>178</v>
      </c>
      <c r="M18" s="797">
        <v>156</v>
      </c>
      <c r="N18" s="797">
        <v>185</v>
      </c>
      <c r="O18" s="797">
        <v>174</v>
      </c>
      <c r="P18" s="797">
        <v>178</v>
      </c>
    </row>
    <row r="19" spans="1:16" ht="18" customHeight="1">
      <c r="A19" s="794"/>
      <c r="B19" s="795"/>
      <c r="C19" s="796"/>
      <c r="D19" s="797"/>
      <c r="E19" s="797"/>
      <c r="F19" s="797"/>
      <c r="G19" s="797"/>
      <c r="H19" s="797"/>
      <c r="I19" s="797"/>
      <c r="J19" s="797"/>
      <c r="K19" s="797"/>
      <c r="L19" s="797"/>
      <c r="M19" s="797"/>
      <c r="N19" s="797"/>
      <c r="O19" s="797"/>
      <c r="P19" s="797"/>
    </row>
    <row r="20" spans="1:16" ht="18" customHeight="1">
      <c r="A20" s="798" t="s">
        <v>566</v>
      </c>
      <c r="B20" s="799">
        <v>111.82470953000009</v>
      </c>
      <c r="C20" s="800">
        <v>111</v>
      </c>
      <c r="D20" s="801">
        <f>D14-D16</f>
        <v>109.01905119000003</v>
      </c>
      <c r="E20" s="801">
        <f>E14-E16</f>
        <v>111</v>
      </c>
      <c r="F20" s="801">
        <f>F14-F16</f>
        <v>107</v>
      </c>
      <c r="G20" s="801">
        <v>116</v>
      </c>
      <c r="H20" s="801">
        <f>H14-H16</f>
        <v>130</v>
      </c>
      <c r="I20" s="801">
        <f>I14-I16</f>
        <v>123</v>
      </c>
      <c r="J20" s="801">
        <v>128</v>
      </c>
      <c r="K20" s="801">
        <v>119</v>
      </c>
      <c r="L20" s="801">
        <f t="shared" ref="L20:P20" si="4">L14-L16</f>
        <v>126</v>
      </c>
      <c r="M20" s="801">
        <f t="shared" si="4"/>
        <v>143</v>
      </c>
      <c r="N20" s="801">
        <f t="shared" si="4"/>
        <v>124</v>
      </c>
      <c r="O20" s="801">
        <f t="shared" si="4"/>
        <v>133</v>
      </c>
      <c r="P20" s="801">
        <f t="shared" si="4"/>
        <v>127</v>
      </c>
    </row>
    <row r="21" spans="1:16" ht="18" customHeight="1">
      <c r="A21" s="794"/>
      <c r="B21" s="795"/>
      <c r="C21" s="796"/>
      <c r="D21" s="797"/>
      <c r="E21" s="797"/>
      <c r="F21" s="797"/>
      <c r="G21" s="797"/>
      <c r="H21" s="797"/>
      <c r="I21" s="797"/>
      <c r="J21" s="797"/>
      <c r="K21" s="797"/>
      <c r="L21" s="797"/>
      <c r="M21" s="797"/>
      <c r="N21" s="797"/>
      <c r="O21" s="797"/>
      <c r="P21" s="797"/>
    </row>
    <row r="22" spans="1:16" ht="18" customHeight="1">
      <c r="A22" s="794" t="s">
        <v>567</v>
      </c>
      <c r="B22" s="795">
        <v>26.476855660000002</v>
      </c>
      <c r="C22" s="796">
        <v>34</v>
      </c>
      <c r="D22" s="797">
        <v>14</v>
      </c>
      <c r="E22" s="797">
        <v>50</v>
      </c>
      <c r="F22" s="797">
        <v>22</v>
      </c>
      <c r="G22" s="797">
        <v>13</v>
      </c>
      <c r="H22" s="797">
        <v>17</v>
      </c>
      <c r="I22" s="797">
        <v>17</v>
      </c>
      <c r="J22" s="797">
        <v>13.67015</v>
      </c>
      <c r="K22" s="797">
        <v>22</v>
      </c>
      <c r="L22" s="797">
        <v>17</v>
      </c>
      <c r="M22" s="797">
        <v>17</v>
      </c>
      <c r="N22" s="797">
        <v>12</v>
      </c>
      <c r="O22" s="797">
        <v>31</v>
      </c>
      <c r="P22" s="797">
        <v>17</v>
      </c>
    </row>
    <row r="23" spans="1:16" ht="18" customHeight="1">
      <c r="A23" s="794"/>
      <c r="B23" s="795"/>
      <c r="C23" s="796"/>
      <c r="D23" s="797"/>
      <c r="E23" s="797"/>
      <c r="F23" s="797"/>
      <c r="G23" s="797"/>
      <c r="H23" s="797"/>
      <c r="I23" s="797"/>
      <c r="J23" s="797"/>
      <c r="K23" s="797"/>
      <c r="L23" s="797"/>
      <c r="M23" s="797"/>
      <c r="N23" s="797"/>
      <c r="O23" s="797"/>
      <c r="P23" s="797"/>
    </row>
    <row r="24" spans="1:16" ht="18" customHeight="1">
      <c r="A24" s="798" t="s">
        <v>568</v>
      </c>
      <c r="B24" s="799">
        <v>86</v>
      </c>
      <c r="C24" s="800">
        <v>77</v>
      </c>
      <c r="D24" s="801">
        <f>D20-D22</f>
        <v>95.019051190000027</v>
      </c>
      <c r="E24" s="801">
        <f>E20-E22</f>
        <v>61</v>
      </c>
      <c r="F24" s="801">
        <f>F20-F22</f>
        <v>85</v>
      </c>
      <c r="G24" s="801">
        <v>103</v>
      </c>
      <c r="H24" s="801">
        <f>H20-H22</f>
        <v>113</v>
      </c>
      <c r="I24" s="801">
        <f>I20-I22</f>
        <v>106</v>
      </c>
      <c r="J24" s="801">
        <v>114.32984999999999</v>
      </c>
      <c r="K24" s="801">
        <v>97</v>
      </c>
      <c r="L24" s="801">
        <f>L20-L22</f>
        <v>109</v>
      </c>
      <c r="M24" s="801">
        <f>M20-M22</f>
        <v>126</v>
      </c>
      <c r="N24" s="801">
        <f>N20-N22</f>
        <v>112</v>
      </c>
      <c r="O24" s="801">
        <f t="shared" ref="O24:P24" si="5">O20-O22</f>
        <v>102</v>
      </c>
      <c r="P24" s="801">
        <f t="shared" si="5"/>
        <v>110</v>
      </c>
    </row>
    <row r="25" spans="1:16" ht="18" customHeight="1">
      <c r="A25" s="794"/>
      <c r="B25" s="795"/>
      <c r="C25" s="796"/>
      <c r="D25" s="797"/>
      <c r="E25" s="797"/>
      <c r="F25" s="797"/>
      <c r="G25" s="797"/>
      <c r="H25" s="797"/>
      <c r="I25" s="797"/>
      <c r="J25" s="797"/>
      <c r="K25" s="797"/>
      <c r="L25" s="797"/>
      <c r="M25" s="797"/>
      <c r="N25" s="797"/>
      <c r="O25" s="797"/>
      <c r="P25" s="797"/>
    </row>
    <row r="26" spans="1:16" ht="18" customHeight="1">
      <c r="A26" s="794" t="s">
        <v>569</v>
      </c>
      <c r="B26" s="795">
        <v>13.971818000000001</v>
      </c>
      <c r="C26" s="796">
        <v>12</v>
      </c>
      <c r="D26" s="797">
        <v>13</v>
      </c>
      <c r="E26" s="797">
        <v>17</v>
      </c>
      <c r="F26" s="797">
        <v>14</v>
      </c>
      <c r="G26" s="797">
        <v>17</v>
      </c>
      <c r="H26" s="797">
        <v>17</v>
      </c>
      <c r="I26" s="797">
        <v>18</v>
      </c>
      <c r="J26" s="797">
        <v>18.839625000000002</v>
      </c>
      <c r="K26" s="797">
        <v>18</v>
      </c>
      <c r="L26" s="797">
        <v>18</v>
      </c>
      <c r="M26" s="797">
        <v>22</v>
      </c>
      <c r="N26" s="797">
        <v>18</v>
      </c>
      <c r="O26" s="797">
        <v>18</v>
      </c>
      <c r="P26" s="797">
        <v>20</v>
      </c>
    </row>
    <row r="27" spans="1:16" ht="18" customHeight="1">
      <c r="A27" s="794"/>
      <c r="B27" s="795"/>
      <c r="C27" s="796"/>
      <c r="D27" s="797"/>
      <c r="E27" s="797"/>
      <c r="F27" s="797"/>
      <c r="G27" s="797"/>
      <c r="H27" s="797"/>
      <c r="I27" s="797"/>
      <c r="J27" s="797"/>
      <c r="K27" s="797"/>
      <c r="L27" s="797"/>
      <c r="M27" s="797"/>
      <c r="N27" s="797"/>
      <c r="O27" s="797"/>
      <c r="P27" s="797"/>
    </row>
    <row r="28" spans="1:16" ht="18" customHeight="1" thickBot="1">
      <c r="A28" s="803" t="s">
        <v>570</v>
      </c>
      <c r="B28" s="804">
        <v>72.028182000000001</v>
      </c>
      <c r="C28" s="805">
        <v>65</v>
      </c>
      <c r="D28" s="806">
        <f>D24-D26</f>
        <v>82.019051190000027</v>
      </c>
      <c r="E28" s="806">
        <f>E24-E26</f>
        <v>44</v>
      </c>
      <c r="F28" s="806">
        <f>F24-F26</f>
        <v>71</v>
      </c>
      <c r="G28" s="806">
        <v>86</v>
      </c>
      <c r="H28" s="806">
        <f>H24-H26</f>
        <v>96</v>
      </c>
      <c r="I28" s="806">
        <f>I24-I26</f>
        <v>88</v>
      </c>
      <c r="J28" s="806">
        <v>95.490224999999995</v>
      </c>
      <c r="K28" s="806">
        <v>79</v>
      </c>
      <c r="L28" s="806">
        <f>L24-L26</f>
        <v>91</v>
      </c>
      <c r="M28" s="806">
        <f>M24-M26</f>
        <v>104</v>
      </c>
      <c r="N28" s="806">
        <f>N24-N26</f>
        <v>94</v>
      </c>
      <c r="O28" s="806">
        <f t="shared" ref="O28:P28" si="6">O24-O26</f>
        <v>84</v>
      </c>
      <c r="P28" s="806">
        <f t="shared" si="6"/>
        <v>90</v>
      </c>
    </row>
    <row r="29" spans="1:16">
      <c r="A29" s="3218" t="s">
        <v>553</v>
      </c>
      <c r="B29" s="3218"/>
      <c r="C29" s="3218"/>
      <c r="D29" s="3218"/>
      <c r="E29" s="3218"/>
      <c r="F29" s="3218"/>
      <c r="G29" s="3218"/>
      <c r="H29" s="3218"/>
    </row>
    <row r="30" spans="1:16">
      <c r="A30" s="807" t="s">
        <v>571</v>
      </c>
    </row>
  </sheetData>
  <mergeCells count="2">
    <mergeCell ref="A3:D3"/>
    <mergeCell ref="A29:H29"/>
  </mergeCells>
  <pageMargins left="0.19685039370078741" right="0.19685039370078741" top="0.51181102362204722" bottom="0" header="7.874015748031496E-2" footer="7.874015748031496E-2"/>
  <pageSetup paperSize="9"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72"/>
  <sheetViews>
    <sheetView zoomScaleNormal="100" workbookViewId="0">
      <pane xSplit="42" ySplit="5" topLeftCell="AQ6" activePane="bottomRight" state="frozen"/>
      <selection pane="topRight" activeCell="AQ1" sqref="AQ1"/>
      <selection pane="bottomLeft" activeCell="A6" sqref="A6"/>
      <selection pane="bottomRight" activeCell="AT14" sqref="AT14"/>
    </sheetView>
  </sheetViews>
  <sheetFormatPr defaultRowHeight="12.75"/>
  <cols>
    <col min="1" max="1" width="54.140625" style="811" customWidth="1"/>
    <col min="2" max="39" width="8.7109375" style="811" hidden="1" customWidth="1"/>
    <col min="40" max="40" width="15.42578125" style="811" hidden="1" customWidth="1"/>
    <col min="41" max="42" width="14.7109375" style="811" hidden="1" customWidth="1"/>
    <col min="43" max="55" width="14.7109375" style="811" customWidth="1"/>
    <col min="56" max="256" width="9.140625" style="811"/>
    <col min="257" max="257" width="54.140625" style="811" customWidth="1"/>
    <col min="258" max="295" width="0" style="811" hidden="1" customWidth="1"/>
    <col min="296" max="308" width="8.7109375" style="811" customWidth="1"/>
    <col min="309" max="512" width="9.140625" style="811"/>
    <col min="513" max="513" width="54.140625" style="811" customWidth="1"/>
    <col min="514" max="551" width="0" style="811" hidden="1" customWidth="1"/>
    <col min="552" max="564" width="8.7109375" style="811" customWidth="1"/>
    <col min="565" max="768" width="9.140625" style="811"/>
    <col min="769" max="769" width="54.140625" style="811" customWidth="1"/>
    <col min="770" max="807" width="0" style="811" hidden="1" customWidth="1"/>
    <col min="808" max="820" width="8.7109375" style="811" customWidth="1"/>
    <col min="821" max="1024" width="9.140625" style="811"/>
    <col min="1025" max="1025" width="54.140625" style="811" customWidth="1"/>
    <col min="1026" max="1063" width="0" style="811" hidden="1" customWidth="1"/>
    <col min="1064" max="1076" width="8.7109375" style="811" customWidth="1"/>
    <col min="1077" max="1280" width="9.140625" style="811"/>
    <col min="1281" max="1281" width="54.140625" style="811" customWidth="1"/>
    <col min="1282" max="1319" width="0" style="811" hidden="1" customWidth="1"/>
    <col min="1320" max="1332" width="8.7109375" style="811" customWidth="1"/>
    <col min="1333" max="1536" width="9.140625" style="811"/>
    <col min="1537" max="1537" width="54.140625" style="811" customWidth="1"/>
    <col min="1538" max="1575" width="0" style="811" hidden="1" customWidth="1"/>
    <col min="1576" max="1588" width="8.7109375" style="811" customWidth="1"/>
    <col min="1589" max="1792" width="9.140625" style="811"/>
    <col min="1793" max="1793" width="54.140625" style="811" customWidth="1"/>
    <col min="1794" max="1831" width="0" style="811" hidden="1" customWidth="1"/>
    <col min="1832" max="1844" width="8.7109375" style="811" customWidth="1"/>
    <col min="1845" max="2048" width="9.140625" style="811"/>
    <col min="2049" max="2049" width="54.140625" style="811" customWidth="1"/>
    <col min="2050" max="2087" width="0" style="811" hidden="1" customWidth="1"/>
    <col min="2088" max="2100" width="8.7109375" style="811" customWidth="1"/>
    <col min="2101" max="2304" width="9.140625" style="811"/>
    <col min="2305" max="2305" width="54.140625" style="811" customWidth="1"/>
    <col min="2306" max="2343" width="0" style="811" hidden="1" customWidth="1"/>
    <col min="2344" max="2356" width="8.7109375" style="811" customWidth="1"/>
    <col min="2357" max="2560" width="9.140625" style="811"/>
    <col min="2561" max="2561" width="54.140625" style="811" customWidth="1"/>
    <col min="2562" max="2599" width="0" style="811" hidden="1" customWidth="1"/>
    <col min="2600" max="2612" width="8.7109375" style="811" customWidth="1"/>
    <col min="2613" max="2816" width="9.140625" style="811"/>
    <col min="2817" max="2817" width="54.140625" style="811" customWidth="1"/>
    <col min="2818" max="2855" width="0" style="811" hidden="1" customWidth="1"/>
    <col min="2856" max="2868" width="8.7109375" style="811" customWidth="1"/>
    <col min="2869" max="3072" width="9.140625" style="811"/>
    <col min="3073" max="3073" width="54.140625" style="811" customWidth="1"/>
    <col min="3074" max="3111" width="0" style="811" hidden="1" customWidth="1"/>
    <col min="3112" max="3124" width="8.7109375" style="811" customWidth="1"/>
    <col min="3125" max="3328" width="9.140625" style="811"/>
    <col min="3329" max="3329" width="54.140625" style="811" customWidth="1"/>
    <col min="3330" max="3367" width="0" style="811" hidden="1" customWidth="1"/>
    <col min="3368" max="3380" width="8.7109375" style="811" customWidth="1"/>
    <col min="3381" max="3584" width="9.140625" style="811"/>
    <col min="3585" max="3585" width="54.140625" style="811" customWidth="1"/>
    <col min="3586" max="3623" width="0" style="811" hidden="1" customWidth="1"/>
    <col min="3624" max="3636" width="8.7109375" style="811" customWidth="1"/>
    <col min="3637" max="3840" width="9.140625" style="811"/>
    <col min="3841" max="3841" width="54.140625" style="811" customWidth="1"/>
    <col min="3842" max="3879" width="0" style="811" hidden="1" customWidth="1"/>
    <col min="3880" max="3892" width="8.7109375" style="811" customWidth="1"/>
    <col min="3893" max="4096" width="9.140625" style="811"/>
    <col min="4097" max="4097" width="54.140625" style="811" customWidth="1"/>
    <col min="4098" max="4135" width="0" style="811" hidden="1" customWidth="1"/>
    <col min="4136" max="4148" width="8.7109375" style="811" customWidth="1"/>
    <col min="4149" max="4352" width="9.140625" style="811"/>
    <col min="4353" max="4353" width="54.140625" style="811" customWidth="1"/>
    <col min="4354" max="4391" width="0" style="811" hidden="1" customWidth="1"/>
    <col min="4392" max="4404" width="8.7109375" style="811" customWidth="1"/>
    <col min="4405" max="4608" width="9.140625" style="811"/>
    <col min="4609" max="4609" width="54.140625" style="811" customWidth="1"/>
    <col min="4610" max="4647" width="0" style="811" hidden="1" customWidth="1"/>
    <col min="4648" max="4660" width="8.7109375" style="811" customWidth="1"/>
    <col min="4661" max="4864" width="9.140625" style="811"/>
    <col min="4865" max="4865" width="54.140625" style="811" customWidth="1"/>
    <col min="4866" max="4903" width="0" style="811" hidden="1" customWidth="1"/>
    <col min="4904" max="4916" width="8.7109375" style="811" customWidth="1"/>
    <col min="4917" max="5120" width="9.140625" style="811"/>
    <col min="5121" max="5121" width="54.140625" style="811" customWidth="1"/>
    <col min="5122" max="5159" width="0" style="811" hidden="1" customWidth="1"/>
    <col min="5160" max="5172" width="8.7109375" style="811" customWidth="1"/>
    <col min="5173" max="5376" width="9.140625" style="811"/>
    <col min="5377" max="5377" width="54.140625" style="811" customWidth="1"/>
    <col min="5378" max="5415" width="0" style="811" hidden="1" customWidth="1"/>
    <col min="5416" max="5428" width="8.7109375" style="811" customWidth="1"/>
    <col min="5429" max="5632" width="9.140625" style="811"/>
    <col min="5633" max="5633" width="54.140625" style="811" customWidth="1"/>
    <col min="5634" max="5671" width="0" style="811" hidden="1" customWidth="1"/>
    <col min="5672" max="5684" width="8.7109375" style="811" customWidth="1"/>
    <col min="5685" max="5888" width="9.140625" style="811"/>
    <col min="5889" max="5889" width="54.140625" style="811" customWidth="1"/>
    <col min="5890" max="5927" width="0" style="811" hidden="1" customWidth="1"/>
    <col min="5928" max="5940" width="8.7109375" style="811" customWidth="1"/>
    <col min="5941" max="6144" width="9.140625" style="811"/>
    <col min="6145" max="6145" width="54.140625" style="811" customWidth="1"/>
    <col min="6146" max="6183" width="0" style="811" hidden="1" customWidth="1"/>
    <col min="6184" max="6196" width="8.7109375" style="811" customWidth="1"/>
    <col min="6197" max="6400" width="9.140625" style="811"/>
    <col min="6401" max="6401" width="54.140625" style="811" customWidth="1"/>
    <col min="6402" max="6439" width="0" style="811" hidden="1" customWidth="1"/>
    <col min="6440" max="6452" width="8.7109375" style="811" customWidth="1"/>
    <col min="6453" max="6656" width="9.140625" style="811"/>
    <col min="6657" max="6657" width="54.140625" style="811" customWidth="1"/>
    <col min="6658" max="6695" width="0" style="811" hidden="1" customWidth="1"/>
    <col min="6696" max="6708" width="8.7109375" style="811" customWidth="1"/>
    <col min="6709" max="6912" width="9.140625" style="811"/>
    <col min="6913" max="6913" width="54.140625" style="811" customWidth="1"/>
    <col min="6914" max="6951" width="0" style="811" hidden="1" customWidth="1"/>
    <col min="6952" max="6964" width="8.7109375" style="811" customWidth="1"/>
    <col min="6965" max="7168" width="9.140625" style="811"/>
    <col min="7169" max="7169" width="54.140625" style="811" customWidth="1"/>
    <col min="7170" max="7207" width="0" style="811" hidden="1" customWidth="1"/>
    <col min="7208" max="7220" width="8.7109375" style="811" customWidth="1"/>
    <col min="7221" max="7424" width="9.140625" style="811"/>
    <col min="7425" max="7425" width="54.140625" style="811" customWidth="1"/>
    <col min="7426" max="7463" width="0" style="811" hidden="1" customWidth="1"/>
    <col min="7464" max="7476" width="8.7109375" style="811" customWidth="1"/>
    <col min="7477" max="7680" width="9.140625" style="811"/>
    <col min="7681" max="7681" width="54.140625" style="811" customWidth="1"/>
    <col min="7682" max="7719" width="0" style="811" hidden="1" customWidth="1"/>
    <col min="7720" max="7732" width="8.7109375" style="811" customWidth="1"/>
    <col min="7733" max="7936" width="9.140625" style="811"/>
    <col min="7937" max="7937" width="54.140625" style="811" customWidth="1"/>
    <col min="7938" max="7975" width="0" style="811" hidden="1" customWidth="1"/>
    <col min="7976" max="7988" width="8.7109375" style="811" customWidth="1"/>
    <col min="7989" max="8192" width="9.140625" style="811"/>
    <col min="8193" max="8193" width="54.140625" style="811" customWidth="1"/>
    <col min="8194" max="8231" width="0" style="811" hidden="1" customWidth="1"/>
    <col min="8232" max="8244" width="8.7109375" style="811" customWidth="1"/>
    <col min="8245" max="8448" width="9.140625" style="811"/>
    <col min="8449" max="8449" width="54.140625" style="811" customWidth="1"/>
    <col min="8450" max="8487" width="0" style="811" hidden="1" customWidth="1"/>
    <col min="8488" max="8500" width="8.7109375" style="811" customWidth="1"/>
    <col min="8501" max="8704" width="9.140625" style="811"/>
    <col min="8705" max="8705" width="54.140625" style="811" customWidth="1"/>
    <col min="8706" max="8743" width="0" style="811" hidden="1" customWidth="1"/>
    <col min="8744" max="8756" width="8.7109375" style="811" customWidth="1"/>
    <col min="8757" max="8960" width="9.140625" style="811"/>
    <col min="8961" max="8961" width="54.140625" style="811" customWidth="1"/>
    <col min="8962" max="8999" width="0" style="811" hidden="1" customWidth="1"/>
    <col min="9000" max="9012" width="8.7109375" style="811" customWidth="1"/>
    <col min="9013" max="9216" width="9.140625" style="811"/>
    <col min="9217" max="9217" width="54.140625" style="811" customWidth="1"/>
    <col min="9218" max="9255" width="0" style="811" hidden="1" customWidth="1"/>
    <col min="9256" max="9268" width="8.7109375" style="811" customWidth="1"/>
    <col min="9269" max="9472" width="9.140625" style="811"/>
    <col min="9473" max="9473" width="54.140625" style="811" customWidth="1"/>
    <col min="9474" max="9511" width="0" style="811" hidden="1" customWidth="1"/>
    <col min="9512" max="9524" width="8.7109375" style="811" customWidth="1"/>
    <col min="9525" max="9728" width="9.140625" style="811"/>
    <col min="9729" max="9729" width="54.140625" style="811" customWidth="1"/>
    <col min="9730" max="9767" width="0" style="811" hidden="1" customWidth="1"/>
    <col min="9768" max="9780" width="8.7109375" style="811" customWidth="1"/>
    <col min="9781" max="9984" width="9.140625" style="811"/>
    <col min="9985" max="9985" width="54.140625" style="811" customWidth="1"/>
    <col min="9986" max="10023" width="0" style="811" hidden="1" customWidth="1"/>
    <col min="10024" max="10036" width="8.7109375" style="811" customWidth="1"/>
    <col min="10037" max="10240" width="9.140625" style="811"/>
    <col min="10241" max="10241" width="54.140625" style="811" customWidth="1"/>
    <col min="10242" max="10279" width="0" style="811" hidden="1" customWidth="1"/>
    <col min="10280" max="10292" width="8.7109375" style="811" customWidth="1"/>
    <col min="10293" max="10496" width="9.140625" style="811"/>
    <col min="10497" max="10497" width="54.140625" style="811" customWidth="1"/>
    <col min="10498" max="10535" width="0" style="811" hidden="1" customWidth="1"/>
    <col min="10536" max="10548" width="8.7109375" style="811" customWidth="1"/>
    <col min="10549" max="10752" width="9.140625" style="811"/>
    <col min="10753" max="10753" width="54.140625" style="811" customWidth="1"/>
    <col min="10754" max="10791" width="0" style="811" hidden="1" customWidth="1"/>
    <col min="10792" max="10804" width="8.7109375" style="811" customWidth="1"/>
    <col min="10805" max="11008" width="9.140625" style="811"/>
    <col min="11009" max="11009" width="54.140625" style="811" customWidth="1"/>
    <col min="11010" max="11047" width="0" style="811" hidden="1" customWidth="1"/>
    <col min="11048" max="11060" width="8.7109375" style="811" customWidth="1"/>
    <col min="11061" max="11264" width="9.140625" style="811"/>
    <col min="11265" max="11265" width="54.140625" style="811" customWidth="1"/>
    <col min="11266" max="11303" width="0" style="811" hidden="1" customWidth="1"/>
    <col min="11304" max="11316" width="8.7109375" style="811" customWidth="1"/>
    <col min="11317" max="11520" width="9.140625" style="811"/>
    <col min="11521" max="11521" width="54.140625" style="811" customWidth="1"/>
    <col min="11522" max="11559" width="0" style="811" hidden="1" customWidth="1"/>
    <col min="11560" max="11572" width="8.7109375" style="811" customWidth="1"/>
    <col min="11573" max="11776" width="9.140625" style="811"/>
    <col min="11777" max="11777" width="54.140625" style="811" customWidth="1"/>
    <col min="11778" max="11815" width="0" style="811" hidden="1" customWidth="1"/>
    <col min="11816" max="11828" width="8.7109375" style="811" customWidth="1"/>
    <col min="11829" max="12032" width="9.140625" style="811"/>
    <col min="12033" max="12033" width="54.140625" style="811" customWidth="1"/>
    <col min="12034" max="12071" width="0" style="811" hidden="1" customWidth="1"/>
    <col min="12072" max="12084" width="8.7109375" style="811" customWidth="1"/>
    <col min="12085" max="12288" width="9.140625" style="811"/>
    <col min="12289" max="12289" width="54.140625" style="811" customWidth="1"/>
    <col min="12290" max="12327" width="0" style="811" hidden="1" customWidth="1"/>
    <col min="12328" max="12340" width="8.7109375" style="811" customWidth="1"/>
    <col min="12341" max="12544" width="9.140625" style="811"/>
    <col min="12545" max="12545" width="54.140625" style="811" customWidth="1"/>
    <col min="12546" max="12583" width="0" style="811" hidden="1" customWidth="1"/>
    <col min="12584" max="12596" width="8.7109375" style="811" customWidth="1"/>
    <col min="12597" max="12800" width="9.140625" style="811"/>
    <col min="12801" max="12801" width="54.140625" style="811" customWidth="1"/>
    <col min="12802" max="12839" width="0" style="811" hidden="1" customWidth="1"/>
    <col min="12840" max="12852" width="8.7109375" style="811" customWidth="1"/>
    <col min="12853" max="13056" width="9.140625" style="811"/>
    <col min="13057" max="13057" width="54.140625" style="811" customWidth="1"/>
    <col min="13058" max="13095" width="0" style="811" hidden="1" customWidth="1"/>
    <col min="13096" max="13108" width="8.7109375" style="811" customWidth="1"/>
    <col min="13109" max="13312" width="9.140625" style="811"/>
    <col min="13313" max="13313" width="54.140625" style="811" customWidth="1"/>
    <col min="13314" max="13351" width="0" style="811" hidden="1" customWidth="1"/>
    <col min="13352" max="13364" width="8.7109375" style="811" customWidth="1"/>
    <col min="13365" max="13568" width="9.140625" style="811"/>
    <col min="13569" max="13569" width="54.140625" style="811" customWidth="1"/>
    <col min="13570" max="13607" width="0" style="811" hidden="1" customWidth="1"/>
    <col min="13608" max="13620" width="8.7109375" style="811" customWidth="1"/>
    <col min="13621" max="13824" width="9.140625" style="811"/>
    <col min="13825" max="13825" width="54.140625" style="811" customWidth="1"/>
    <col min="13826" max="13863" width="0" style="811" hidden="1" customWidth="1"/>
    <col min="13864" max="13876" width="8.7109375" style="811" customWidth="1"/>
    <col min="13877" max="14080" width="9.140625" style="811"/>
    <col min="14081" max="14081" width="54.140625" style="811" customWidth="1"/>
    <col min="14082" max="14119" width="0" style="811" hidden="1" customWidth="1"/>
    <col min="14120" max="14132" width="8.7109375" style="811" customWidth="1"/>
    <col min="14133" max="14336" width="9.140625" style="811"/>
    <col min="14337" max="14337" width="54.140625" style="811" customWidth="1"/>
    <col min="14338" max="14375" width="0" style="811" hidden="1" customWidth="1"/>
    <col min="14376" max="14388" width="8.7109375" style="811" customWidth="1"/>
    <col min="14389" max="14592" width="9.140625" style="811"/>
    <col min="14593" max="14593" width="54.140625" style="811" customWidth="1"/>
    <col min="14594" max="14631" width="0" style="811" hidden="1" customWidth="1"/>
    <col min="14632" max="14644" width="8.7109375" style="811" customWidth="1"/>
    <col min="14645" max="14848" width="9.140625" style="811"/>
    <col min="14849" max="14849" width="54.140625" style="811" customWidth="1"/>
    <col min="14850" max="14887" width="0" style="811" hidden="1" customWidth="1"/>
    <col min="14888" max="14900" width="8.7109375" style="811" customWidth="1"/>
    <col min="14901" max="15104" width="9.140625" style="811"/>
    <col min="15105" max="15105" width="54.140625" style="811" customWidth="1"/>
    <col min="15106" max="15143" width="0" style="811" hidden="1" customWidth="1"/>
    <col min="15144" max="15156" width="8.7109375" style="811" customWidth="1"/>
    <col min="15157" max="15360" width="9.140625" style="811"/>
    <col min="15361" max="15361" width="54.140625" style="811" customWidth="1"/>
    <col min="15362" max="15399" width="0" style="811" hidden="1" customWidth="1"/>
    <col min="15400" max="15412" width="8.7109375" style="811" customWidth="1"/>
    <col min="15413" max="15616" width="9.140625" style="811"/>
    <col min="15617" max="15617" width="54.140625" style="811" customWidth="1"/>
    <col min="15618" max="15655" width="0" style="811" hidden="1" customWidth="1"/>
    <col min="15656" max="15668" width="8.7109375" style="811" customWidth="1"/>
    <col min="15669" max="15872" width="9.140625" style="811"/>
    <col min="15873" max="15873" width="54.140625" style="811" customWidth="1"/>
    <col min="15874" max="15911" width="0" style="811" hidden="1" customWidth="1"/>
    <col min="15912" max="15924" width="8.7109375" style="811" customWidth="1"/>
    <col min="15925" max="16128" width="9.140625" style="811"/>
    <col min="16129" max="16129" width="54.140625" style="811" customWidth="1"/>
    <col min="16130" max="16167" width="0" style="811" hidden="1" customWidth="1"/>
    <col min="16168" max="16180" width="8.7109375" style="811" customWidth="1"/>
    <col min="16181" max="16384" width="9.140625" style="811"/>
  </cols>
  <sheetData>
    <row r="1" spans="1:59" ht="24">
      <c r="A1" s="808" t="s">
        <v>572</v>
      </c>
      <c r="B1" s="809"/>
      <c r="C1" s="809"/>
      <c r="D1" s="809"/>
      <c r="E1" s="809"/>
      <c r="F1" s="809"/>
      <c r="G1" s="809"/>
      <c r="H1" s="809"/>
      <c r="I1" s="809"/>
      <c r="J1" s="809"/>
      <c r="K1" s="809"/>
      <c r="L1" s="809"/>
      <c r="M1" s="809"/>
      <c r="N1" s="809"/>
      <c r="O1" s="809"/>
      <c r="P1" s="809"/>
      <c r="Q1" s="809"/>
      <c r="R1" s="809"/>
      <c r="S1" s="809"/>
      <c r="T1" s="809"/>
      <c r="U1" s="809"/>
      <c r="V1" s="809"/>
      <c r="W1" s="809"/>
      <c r="X1" s="809"/>
      <c r="Y1" s="809"/>
      <c r="Z1" s="810"/>
      <c r="AA1" s="809"/>
      <c r="AB1" s="809"/>
      <c r="AC1" s="809"/>
      <c r="AD1" s="809"/>
      <c r="AE1" s="809"/>
      <c r="AF1" s="809"/>
      <c r="AG1" s="809"/>
      <c r="AH1" s="809"/>
      <c r="AI1" s="809"/>
      <c r="AJ1" s="809"/>
      <c r="AK1" s="809"/>
      <c r="AL1" s="809"/>
      <c r="AM1" s="809"/>
      <c r="AN1" s="809"/>
      <c r="AO1" s="809"/>
      <c r="AP1" s="809"/>
      <c r="AQ1" s="809"/>
    </row>
    <row r="2" spans="1:59" s="812" customFormat="1" ht="15" thickBot="1">
      <c r="B2" s="813"/>
      <c r="F2" s="813"/>
      <c r="G2" s="813"/>
      <c r="H2" s="813"/>
      <c r="I2" s="813"/>
      <c r="J2" s="813"/>
      <c r="K2" s="813"/>
      <c r="T2" s="814"/>
      <c r="U2" s="814"/>
      <c r="V2" s="814"/>
      <c r="AA2" s="812" t="s">
        <v>573</v>
      </c>
      <c r="AB2" s="815"/>
      <c r="AD2" s="815"/>
      <c r="AH2" s="815"/>
      <c r="AI2" s="815"/>
      <c r="AM2" s="815"/>
      <c r="AN2" s="815"/>
      <c r="AP2" s="815"/>
      <c r="AQ2" s="815"/>
      <c r="AR2" s="815"/>
      <c r="AU2" s="815"/>
      <c r="AV2" s="815"/>
      <c r="AX2" s="815"/>
      <c r="AY2" s="815"/>
      <c r="BB2" s="816"/>
      <c r="BC2" s="816" t="s">
        <v>74</v>
      </c>
    </row>
    <row r="3" spans="1:59" s="821" customFormat="1" ht="18.75" customHeight="1" thickTop="1" thickBot="1">
      <c r="A3" s="817"/>
      <c r="B3" s="818">
        <v>40193</v>
      </c>
      <c r="C3" s="818">
        <v>40224</v>
      </c>
      <c r="D3" s="818">
        <v>40252</v>
      </c>
      <c r="E3" s="818">
        <v>40284</v>
      </c>
      <c r="F3" s="818">
        <v>40316</v>
      </c>
      <c r="G3" s="818">
        <v>40347</v>
      </c>
      <c r="H3" s="818">
        <v>40377</v>
      </c>
      <c r="I3" s="818">
        <v>40408</v>
      </c>
      <c r="J3" s="818">
        <v>40439</v>
      </c>
      <c r="K3" s="818">
        <v>40469</v>
      </c>
      <c r="L3" s="818">
        <v>40500</v>
      </c>
      <c r="M3" s="818">
        <v>40530</v>
      </c>
      <c r="N3" s="818">
        <v>40561</v>
      </c>
      <c r="O3" s="818">
        <v>40592</v>
      </c>
      <c r="P3" s="818">
        <v>40620</v>
      </c>
      <c r="Q3" s="818">
        <v>40651</v>
      </c>
      <c r="R3" s="818">
        <v>40681</v>
      </c>
      <c r="S3" s="818">
        <v>40712</v>
      </c>
      <c r="T3" s="818">
        <v>40742</v>
      </c>
      <c r="U3" s="818">
        <v>40773</v>
      </c>
      <c r="V3" s="818">
        <v>40804</v>
      </c>
      <c r="W3" s="818">
        <v>40834</v>
      </c>
      <c r="X3" s="818">
        <v>40865</v>
      </c>
      <c r="Y3" s="819">
        <v>40895</v>
      </c>
      <c r="Z3" s="818">
        <v>40926</v>
      </c>
      <c r="AA3" s="819">
        <v>40957</v>
      </c>
      <c r="AB3" s="818">
        <v>40986</v>
      </c>
      <c r="AC3" s="818">
        <v>41017</v>
      </c>
      <c r="AD3" s="818">
        <v>41047</v>
      </c>
      <c r="AE3" s="818">
        <v>41078</v>
      </c>
      <c r="AF3" s="818">
        <v>41108</v>
      </c>
      <c r="AG3" s="818">
        <v>41139</v>
      </c>
      <c r="AH3" s="818">
        <v>41170</v>
      </c>
      <c r="AI3" s="818">
        <v>41200</v>
      </c>
      <c r="AJ3" s="818">
        <v>41231</v>
      </c>
      <c r="AK3" s="818">
        <v>41261</v>
      </c>
      <c r="AL3" s="818">
        <v>41292</v>
      </c>
      <c r="AM3" s="818">
        <v>41323</v>
      </c>
      <c r="AN3" s="820">
        <v>41351</v>
      </c>
      <c r="AO3" s="820">
        <v>41382</v>
      </c>
      <c r="AP3" s="820">
        <v>41412</v>
      </c>
      <c r="AQ3" s="820">
        <v>41443</v>
      </c>
      <c r="AR3" s="820">
        <v>41473</v>
      </c>
      <c r="AS3" s="820">
        <v>41504</v>
      </c>
      <c r="AT3" s="820">
        <v>41535</v>
      </c>
      <c r="AU3" s="820">
        <v>41565</v>
      </c>
      <c r="AV3" s="820">
        <v>41596</v>
      </c>
      <c r="AW3" s="820">
        <v>41626</v>
      </c>
      <c r="AX3" s="820">
        <v>41657</v>
      </c>
      <c r="AY3" s="820">
        <v>41688</v>
      </c>
      <c r="AZ3" s="820">
        <v>41716</v>
      </c>
      <c r="BA3" s="820">
        <v>41748</v>
      </c>
      <c r="BB3" s="820">
        <v>41780</v>
      </c>
      <c r="BC3" s="820">
        <v>41812</v>
      </c>
    </row>
    <row r="4" spans="1:59" ht="21" customHeight="1" thickTop="1" thickBot="1">
      <c r="A4" s="822" t="s">
        <v>574</v>
      </c>
      <c r="B4" s="823"/>
      <c r="C4" s="823"/>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4"/>
      <c r="AO4" s="824"/>
      <c r="AP4" s="824"/>
      <c r="AQ4" s="824"/>
      <c r="AR4" s="824"/>
      <c r="AS4" s="824"/>
      <c r="AT4" s="824"/>
      <c r="AU4" s="824"/>
      <c r="AV4" s="824"/>
      <c r="AW4" s="824"/>
      <c r="AX4" s="824"/>
      <c r="AY4" s="824"/>
      <c r="AZ4" s="824"/>
      <c r="BA4" s="824"/>
      <c r="BB4" s="824"/>
      <c r="BC4" s="824"/>
    </row>
    <row r="5" spans="1:59" ht="17.100000000000001" customHeight="1" thickTop="1">
      <c r="A5" s="825"/>
      <c r="B5" s="826"/>
      <c r="C5" s="826"/>
      <c r="D5" s="826"/>
      <c r="E5" s="826"/>
      <c r="F5" s="826"/>
      <c r="G5" s="826"/>
      <c r="H5" s="826"/>
      <c r="I5" s="826"/>
      <c r="J5" s="826"/>
      <c r="K5" s="826"/>
      <c r="L5" s="826"/>
      <c r="M5" s="826"/>
      <c r="N5" s="826"/>
      <c r="O5" s="826"/>
      <c r="P5" s="826"/>
      <c r="Q5" s="826"/>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c r="AX5" s="826"/>
      <c r="AY5" s="826"/>
      <c r="AZ5" s="826"/>
      <c r="BA5" s="826"/>
      <c r="BB5" s="826"/>
      <c r="BC5" s="826"/>
    </row>
    <row r="6" spans="1:59" ht="17.100000000000001" customHeight="1">
      <c r="A6" s="827" t="s">
        <v>575</v>
      </c>
      <c r="B6" s="828">
        <v>16171.960026841443</v>
      </c>
      <c r="C6" s="828">
        <v>15979.918504390556</v>
      </c>
      <c r="D6" s="828">
        <v>15845.174678718537</v>
      </c>
      <c r="E6" s="828">
        <v>16036.327574022573</v>
      </c>
      <c r="F6" s="828">
        <v>16227.254416493004</v>
      </c>
      <c r="G6" s="828">
        <v>15904.557043885216</v>
      </c>
      <c r="H6" s="828">
        <v>16369.721227265134</v>
      </c>
      <c r="I6" s="828">
        <v>16281.24484228429</v>
      </c>
      <c r="J6" s="828">
        <v>16241.980758452173</v>
      </c>
      <c r="K6" s="828">
        <v>16473.996105313156</v>
      </c>
      <c r="L6" s="828">
        <v>16722.43897559122</v>
      </c>
      <c r="M6" s="828">
        <v>18975.006270668913</v>
      </c>
      <c r="N6" s="828">
        <v>18010.593082900665</v>
      </c>
      <c r="O6" s="828">
        <v>17749.329653375997</v>
      </c>
      <c r="P6" s="828">
        <v>17492.407133231845</v>
      </c>
      <c r="Q6" s="828">
        <v>17646.497592686108</v>
      </c>
      <c r="R6" s="828">
        <v>17594.772439179418</v>
      </c>
      <c r="S6" s="828">
        <v>17516.570954198032</v>
      </c>
      <c r="T6" s="828">
        <v>18045.280669068587</v>
      </c>
      <c r="U6" s="828">
        <v>18269.489570318754</v>
      </c>
      <c r="V6" s="828">
        <v>17957.873646394448</v>
      </c>
      <c r="W6" s="828">
        <v>18294.304306683174</v>
      </c>
      <c r="X6" s="828">
        <v>17891.407119467123</v>
      </c>
      <c r="Y6" s="828">
        <v>20307.786446312803</v>
      </c>
      <c r="Z6" s="828">
        <v>19209.573208944614</v>
      </c>
      <c r="AA6" s="828">
        <v>18923.022119759324</v>
      </c>
      <c r="AB6" s="828">
        <v>18978.695497382185</v>
      </c>
      <c r="AC6" s="828">
        <v>18961.549992068223</v>
      </c>
      <c r="AD6" s="828">
        <v>18678.032246711129</v>
      </c>
      <c r="AE6" s="828">
        <v>19013.633662171222</v>
      </c>
      <c r="AF6" s="828">
        <v>19228.031835841684</v>
      </c>
      <c r="AG6" s="828">
        <v>19287.1599017013</v>
      </c>
      <c r="AH6" s="828">
        <v>19233.798105900336</v>
      </c>
      <c r="AI6" s="828">
        <v>19257.554559318654</v>
      </c>
      <c r="AJ6" s="828">
        <v>19629.552590686864</v>
      </c>
      <c r="AK6" s="828">
        <v>22169.717386902448</v>
      </c>
      <c r="AL6" s="828">
        <v>20964.304899561892</v>
      </c>
      <c r="AM6" s="828">
        <v>20780.286985424955</v>
      </c>
      <c r="AN6" s="829">
        <v>20987.016268127656</v>
      </c>
      <c r="AO6" s="830">
        <v>20656.089712851328</v>
      </c>
      <c r="AP6" s="830">
        <v>20557.306859228109</v>
      </c>
      <c r="AQ6" s="830">
        <v>20523.48661882988</v>
      </c>
      <c r="AR6" s="830">
        <v>20820.159883091204</v>
      </c>
      <c r="AS6" s="830">
        <v>20987.512445111654</v>
      </c>
      <c r="AT6" s="830">
        <v>20664.185177378316</v>
      </c>
      <c r="AU6" s="830">
        <v>20702.891560809614</v>
      </c>
      <c r="AV6" s="830">
        <v>20888.105552438185</v>
      </c>
      <c r="AW6" s="830">
        <v>23316.684992015878</v>
      </c>
      <c r="AX6" s="830">
        <v>22265.883860057205</v>
      </c>
      <c r="AY6" s="830">
        <v>22077.566872167037</v>
      </c>
      <c r="AZ6" s="830">
        <v>22090.400144122301</v>
      </c>
      <c r="BA6" s="830">
        <v>21718.536421617555</v>
      </c>
      <c r="BB6" s="830">
        <v>21737.2264592838</v>
      </c>
      <c r="BC6" s="830">
        <v>21684.992832060678</v>
      </c>
      <c r="BE6" s="831"/>
      <c r="BF6" s="831"/>
      <c r="BG6" s="831"/>
    </row>
    <row r="7" spans="1:59" ht="17.100000000000001" customHeight="1">
      <c r="A7" s="827" t="s">
        <v>576</v>
      </c>
      <c r="B7" s="828">
        <v>2780.4818602185578</v>
      </c>
      <c r="C7" s="828">
        <v>2661.1428895894414</v>
      </c>
      <c r="D7" s="828">
        <v>2898.1288821314602</v>
      </c>
      <c r="E7" s="828">
        <v>2715.3582111474238</v>
      </c>
      <c r="F7" s="828">
        <v>2684.0971327969955</v>
      </c>
      <c r="G7" s="828">
        <v>2744.9043118847831</v>
      </c>
      <c r="H7" s="828">
        <v>2589.750992474867</v>
      </c>
      <c r="I7" s="828">
        <v>2818.4901145357067</v>
      </c>
      <c r="J7" s="828">
        <v>2854.1944993078255</v>
      </c>
      <c r="K7" s="828">
        <v>2652.7364417868403</v>
      </c>
      <c r="L7" s="828">
        <v>2792.7197988087805</v>
      </c>
      <c r="M7" s="828">
        <v>3616.7552011710859</v>
      </c>
      <c r="N7" s="828">
        <v>3226.065290569335</v>
      </c>
      <c r="O7" s="828">
        <v>2789.5613597740057</v>
      </c>
      <c r="P7" s="828">
        <v>3064.4438332881532</v>
      </c>
      <c r="Q7" s="828">
        <v>2706.3366797338899</v>
      </c>
      <c r="R7" s="828">
        <v>3000.4766235805801</v>
      </c>
      <c r="S7" s="828">
        <v>2937.2266495119648</v>
      </c>
      <c r="T7" s="828">
        <v>2860.3833820514105</v>
      </c>
      <c r="U7" s="828">
        <v>3375.9320411612475</v>
      </c>
      <c r="V7" s="828">
        <v>3198.9278438555507</v>
      </c>
      <c r="W7" s="828">
        <v>3543.8328578868231</v>
      </c>
      <c r="X7" s="828">
        <v>3523.5380632228726</v>
      </c>
      <c r="Y7" s="828">
        <v>4161.9693968671954</v>
      </c>
      <c r="Z7" s="828">
        <v>3378.484805855383</v>
      </c>
      <c r="AA7" s="828">
        <v>3248.2380390606745</v>
      </c>
      <c r="AB7" s="828">
        <v>2883.3512458578157</v>
      </c>
      <c r="AC7" s="828">
        <v>2977.8079643617739</v>
      </c>
      <c r="AD7" s="828">
        <v>3403.9576576288719</v>
      </c>
      <c r="AE7" s="828">
        <v>2731.8580123987772</v>
      </c>
      <c r="AF7" s="828">
        <v>2921.5951604483175</v>
      </c>
      <c r="AG7" s="828">
        <v>3285.2655863486962</v>
      </c>
      <c r="AH7" s="828">
        <v>3218.9780038196668</v>
      </c>
      <c r="AI7" s="828">
        <v>3775.3428060113479</v>
      </c>
      <c r="AJ7" s="828">
        <v>3586.6000795631339</v>
      </c>
      <c r="AK7" s="828">
        <v>4791.5966149175529</v>
      </c>
      <c r="AL7" s="828">
        <v>4198.8004375281098</v>
      </c>
      <c r="AM7" s="828">
        <v>3718.4681231650479</v>
      </c>
      <c r="AN7" s="829">
        <v>3968.0071440123438</v>
      </c>
      <c r="AO7" s="830">
        <v>4263.4817446186689</v>
      </c>
      <c r="AP7" s="830">
        <v>4030.7237780018918</v>
      </c>
      <c r="AQ7" s="830">
        <v>3881.5519780801178</v>
      </c>
      <c r="AR7" s="830">
        <v>4400.6176584587956</v>
      </c>
      <c r="AS7" s="830">
        <v>4329.7500811983455</v>
      </c>
      <c r="AT7" s="830">
        <v>4242.0866869116808</v>
      </c>
      <c r="AU7" s="830">
        <v>4812.0552422003866</v>
      </c>
      <c r="AV7" s="830">
        <v>4467.8940639118146</v>
      </c>
      <c r="AW7" s="830">
        <v>6810.9656838341225</v>
      </c>
      <c r="AX7" s="830">
        <v>5069.9095430427915</v>
      </c>
      <c r="AY7" s="830">
        <v>4859.8693030329596</v>
      </c>
      <c r="AZ7" s="830">
        <v>4678.5999159676958</v>
      </c>
      <c r="BA7" s="830">
        <v>5002.6420686924439</v>
      </c>
      <c r="BB7" s="830">
        <v>4285.1118852461977</v>
      </c>
      <c r="BC7" s="830">
        <v>4659.9065244093199</v>
      </c>
    </row>
    <row r="8" spans="1:59" ht="17.100000000000001" customHeight="1">
      <c r="A8" s="827" t="s">
        <v>577</v>
      </c>
      <c r="B8" s="828">
        <v>13354.1369304</v>
      </c>
      <c r="C8" s="828">
        <v>15547.269751184082</v>
      </c>
      <c r="D8" s="828">
        <v>16275.622386438796</v>
      </c>
      <c r="E8" s="828">
        <v>15221.23032284</v>
      </c>
      <c r="F8" s="828">
        <v>16093.601333399249</v>
      </c>
      <c r="G8" s="828">
        <v>16999.361531195795</v>
      </c>
      <c r="H8" s="828">
        <v>19152.045058170501</v>
      </c>
      <c r="I8" s="828">
        <v>17322.563515917751</v>
      </c>
      <c r="J8" s="828">
        <v>17348.093718887878</v>
      </c>
      <c r="K8" s="828">
        <v>19741.48304675605</v>
      </c>
      <c r="L8" s="828">
        <v>20508.300298751532</v>
      </c>
      <c r="M8" s="828">
        <v>22343.765787940167</v>
      </c>
      <c r="N8" s="828">
        <v>22984.200542913426</v>
      </c>
      <c r="O8" s="828">
        <v>22919.075251580765</v>
      </c>
      <c r="P8" s="828">
        <v>22059.179417132509</v>
      </c>
      <c r="Q8" s="828">
        <v>23166.702863040875</v>
      </c>
      <c r="R8" s="828">
        <v>20938.908755252636</v>
      </c>
      <c r="S8" s="828">
        <v>21782.913917106107</v>
      </c>
      <c r="T8" s="828">
        <v>21168.268613999975</v>
      </c>
      <c r="U8" s="828">
        <v>22548.75644605832</v>
      </c>
      <c r="V8" s="828">
        <v>21135.314750968126</v>
      </c>
      <c r="W8" s="828">
        <v>20621.053342979791</v>
      </c>
      <c r="X8" s="828">
        <v>20552.26384958261</v>
      </c>
      <c r="Y8" s="828">
        <v>23811.115484457412</v>
      </c>
      <c r="Z8" s="828">
        <v>21262.747211979215</v>
      </c>
      <c r="AA8" s="828">
        <v>22729.78389618911</v>
      </c>
      <c r="AB8" s="828">
        <v>22777.196732427616</v>
      </c>
      <c r="AC8" s="828">
        <v>22587.705621703659</v>
      </c>
      <c r="AD8" s="828">
        <v>22581.00185845033</v>
      </c>
      <c r="AE8" s="828">
        <v>24165.476965627764</v>
      </c>
      <c r="AF8" s="828">
        <v>23900.002767059999</v>
      </c>
      <c r="AG8" s="828">
        <v>23612.924114190002</v>
      </c>
      <c r="AH8" s="828">
        <v>24815.184473119996</v>
      </c>
      <c r="AI8" s="828">
        <v>23406.22358813</v>
      </c>
      <c r="AJ8" s="828">
        <v>22282.956181639998</v>
      </c>
      <c r="AK8" s="828">
        <v>25661.61601234</v>
      </c>
      <c r="AL8" s="828">
        <v>24923.575304820002</v>
      </c>
      <c r="AM8" s="828">
        <v>27863.721685230001</v>
      </c>
      <c r="AN8" s="829">
        <v>27008.273728829998</v>
      </c>
      <c r="AO8" s="830">
        <v>23896.042957950001</v>
      </c>
      <c r="AP8" s="830">
        <v>28157.483017939998</v>
      </c>
      <c r="AQ8" s="830">
        <v>28688.974320559999</v>
      </c>
      <c r="AR8" s="830">
        <v>28935.587960119999</v>
      </c>
      <c r="AS8" s="830">
        <v>26134.653011400002</v>
      </c>
      <c r="AT8" s="830">
        <v>25278.962214350006</v>
      </c>
      <c r="AU8" s="830">
        <v>26462.917852329996</v>
      </c>
      <c r="AV8" s="830">
        <v>28401.248003600002</v>
      </c>
      <c r="AW8" s="830">
        <v>32222.361538929999</v>
      </c>
      <c r="AX8" s="830">
        <v>31332.858156099996</v>
      </c>
      <c r="AY8" s="830">
        <v>37154.273890489996</v>
      </c>
      <c r="AZ8" s="830">
        <v>35714.452707160002</v>
      </c>
      <c r="BA8" s="830">
        <v>35349.192402590001</v>
      </c>
      <c r="BB8" s="830">
        <v>36559.695734500005</v>
      </c>
      <c r="BC8" s="830">
        <v>35792.13994986</v>
      </c>
    </row>
    <row r="9" spans="1:59" ht="17.100000000000001" customHeight="1">
      <c r="A9" s="827" t="s">
        <v>578</v>
      </c>
      <c r="B9" s="828"/>
      <c r="C9" s="828"/>
      <c r="D9" s="828"/>
      <c r="E9" s="828"/>
      <c r="F9" s="828"/>
      <c r="G9" s="828"/>
      <c r="H9" s="828"/>
      <c r="I9" s="828"/>
      <c r="J9" s="828"/>
      <c r="K9" s="828"/>
      <c r="L9" s="828"/>
      <c r="M9" s="828"/>
      <c r="N9" s="828"/>
      <c r="O9" s="828"/>
      <c r="P9" s="828"/>
      <c r="Q9" s="828"/>
      <c r="R9" s="828"/>
      <c r="S9" s="828"/>
      <c r="T9" s="828"/>
      <c r="U9" s="828"/>
      <c r="V9" s="828"/>
      <c r="W9" s="828"/>
      <c r="X9" s="828"/>
      <c r="Y9" s="828"/>
      <c r="Z9" s="828"/>
      <c r="AA9" s="828"/>
      <c r="AB9" s="828"/>
      <c r="AC9" s="828"/>
      <c r="AD9" s="828"/>
      <c r="AE9" s="828"/>
      <c r="AF9" s="828"/>
      <c r="AG9" s="828"/>
      <c r="AH9" s="828"/>
      <c r="AI9" s="828"/>
      <c r="AJ9" s="828"/>
      <c r="AK9" s="828"/>
      <c r="AL9" s="828"/>
      <c r="AM9" s="828"/>
      <c r="AN9" s="829"/>
      <c r="AO9" s="830"/>
      <c r="AP9" s="830"/>
      <c r="AQ9" s="830"/>
      <c r="AR9" s="830"/>
      <c r="AS9" s="830"/>
      <c r="AT9" s="830"/>
      <c r="AU9" s="830"/>
      <c r="AV9" s="830"/>
      <c r="AW9" s="830"/>
      <c r="AX9" s="830"/>
      <c r="AY9" s="830"/>
      <c r="AZ9" s="830"/>
      <c r="BA9" s="830"/>
      <c r="BB9" s="830"/>
      <c r="BC9" s="830"/>
    </row>
    <row r="10" spans="1:59" s="812" customFormat="1" ht="17.100000000000001" customHeight="1">
      <c r="A10" s="832" t="s">
        <v>579</v>
      </c>
      <c r="B10" s="833">
        <v>13180.361091909999</v>
      </c>
      <c r="C10" s="833">
        <v>15445.119449369999</v>
      </c>
      <c r="D10" s="833">
        <v>16168.046902009999</v>
      </c>
      <c r="E10" s="833">
        <v>15124.25977701</v>
      </c>
      <c r="F10" s="833">
        <v>16001.144004809998</v>
      </c>
      <c r="G10" s="833">
        <v>16558.544007380002</v>
      </c>
      <c r="H10" s="833">
        <v>19007.349950509997</v>
      </c>
      <c r="I10" s="833">
        <v>17182.945034510001</v>
      </c>
      <c r="J10" s="833">
        <v>17080.954378169998</v>
      </c>
      <c r="K10" s="833">
        <v>19601.086913409999</v>
      </c>
      <c r="L10" s="833">
        <v>20360.644917080001</v>
      </c>
      <c r="M10" s="833">
        <v>22187.582204819999</v>
      </c>
      <c r="N10" s="833">
        <v>22842.828379009999</v>
      </c>
      <c r="O10" s="833">
        <v>22753.930035100002</v>
      </c>
      <c r="P10" s="833">
        <v>21902.896262459999</v>
      </c>
      <c r="Q10" s="833">
        <v>22996.164349359999</v>
      </c>
      <c r="R10" s="833">
        <v>20819.986171249999</v>
      </c>
      <c r="S10" s="833">
        <v>21555.850004669999</v>
      </c>
      <c r="T10" s="833">
        <v>21020.661866890001</v>
      </c>
      <c r="U10" s="833">
        <v>22403.703741509999</v>
      </c>
      <c r="V10" s="833">
        <v>20956.707757559998</v>
      </c>
      <c r="W10" s="833">
        <v>20392.186258429996</v>
      </c>
      <c r="X10" s="833">
        <v>20406.316159820002</v>
      </c>
      <c r="Y10" s="833">
        <v>23666.373667289998</v>
      </c>
      <c r="Z10" s="833">
        <v>21128.55688815</v>
      </c>
      <c r="AA10" s="833">
        <v>22606.986195919999</v>
      </c>
      <c r="AB10" s="833">
        <v>22648.888231509998</v>
      </c>
      <c r="AC10" s="833">
        <v>22462.387835019999</v>
      </c>
      <c r="AD10" s="833">
        <v>22476.149191739998</v>
      </c>
      <c r="AE10" s="833">
        <v>23977.369481069996</v>
      </c>
      <c r="AF10" s="833">
        <v>23701.931139239998</v>
      </c>
      <c r="AG10" s="833">
        <v>23541.113787940001</v>
      </c>
      <c r="AH10" s="833">
        <v>24591.544820159997</v>
      </c>
      <c r="AI10" s="833">
        <v>23167.60481945</v>
      </c>
      <c r="AJ10" s="833">
        <v>22131.482146099999</v>
      </c>
      <c r="AK10" s="833">
        <v>25515.138641540001</v>
      </c>
      <c r="AL10" s="833">
        <v>24854.226564650002</v>
      </c>
      <c r="AM10" s="833">
        <v>27797.761466790002</v>
      </c>
      <c r="AN10" s="834">
        <v>26943.295328619999</v>
      </c>
      <c r="AO10" s="835">
        <v>23830.458748830002</v>
      </c>
      <c r="AP10" s="835">
        <v>28088.96964996</v>
      </c>
      <c r="AQ10" s="835">
        <v>28377.491470929999</v>
      </c>
      <c r="AR10" s="835">
        <v>28845.220740209999</v>
      </c>
      <c r="AS10" s="835">
        <v>26045.912519270001</v>
      </c>
      <c r="AT10" s="835">
        <v>25113.663529400004</v>
      </c>
      <c r="AU10" s="835">
        <v>26366.097784619997</v>
      </c>
      <c r="AV10" s="835">
        <v>28225.168882770002</v>
      </c>
      <c r="AW10" s="835">
        <v>31894.798558349998</v>
      </c>
      <c r="AX10" s="835">
        <v>31263.989790459997</v>
      </c>
      <c r="AY10" s="835">
        <v>37062.201626349997</v>
      </c>
      <c r="AZ10" s="835">
        <v>35626.74721275</v>
      </c>
      <c r="BA10" s="835">
        <v>35263.900715039999</v>
      </c>
      <c r="BB10" s="835">
        <v>36480.672927440006</v>
      </c>
      <c r="BC10" s="835">
        <v>35505.536266570001</v>
      </c>
    </row>
    <row r="11" spans="1:59" s="812" customFormat="1" ht="17.100000000000001" customHeight="1">
      <c r="A11" s="832" t="s">
        <v>284</v>
      </c>
      <c r="B11" s="833">
        <v>173.77583848999998</v>
      </c>
      <c r="C11" s="833">
        <v>102.15030181408299</v>
      </c>
      <c r="D11" s="833">
        <v>107.57548442879599</v>
      </c>
      <c r="E11" s="833">
        <v>96.970545829999992</v>
      </c>
      <c r="F11" s="833">
        <v>92.457328589252</v>
      </c>
      <c r="G11" s="833">
        <v>440.817523815794</v>
      </c>
      <c r="H11" s="833">
        <v>144.695107660503</v>
      </c>
      <c r="I11" s="833">
        <v>139.61848140775101</v>
      </c>
      <c r="J11" s="833">
        <v>267.13934071788196</v>
      </c>
      <c r="K11" s="833">
        <v>140.39613334605099</v>
      </c>
      <c r="L11" s="833">
        <v>147.65538167153198</v>
      </c>
      <c r="M11" s="833">
        <v>156.18358312016798</v>
      </c>
      <c r="N11" s="833">
        <v>141.37216390342701</v>
      </c>
      <c r="O11" s="833">
        <v>165.14521648076197</v>
      </c>
      <c r="P11" s="833">
        <v>156.283154672509</v>
      </c>
      <c r="Q11" s="833">
        <v>170.538513680878</v>
      </c>
      <c r="R11" s="833">
        <v>118.92258400263799</v>
      </c>
      <c r="S11" s="833">
        <v>227.06391243610898</v>
      </c>
      <c r="T11" s="833">
        <v>147.606747109975</v>
      </c>
      <c r="U11" s="833">
        <v>145.05270454831998</v>
      </c>
      <c r="V11" s="833">
        <v>178.60699340812801</v>
      </c>
      <c r="W11" s="833">
        <v>228.86708454979401</v>
      </c>
      <c r="X11" s="833">
        <v>145.94768976260698</v>
      </c>
      <c r="Y11" s="833">
        <v>144.74181716741302</v>
      </c>
      <c r="Z11" s="833">
        <v>134.190323829216</v>
      </c>
      <c r="AA11" s="833">
        <v>122.79770026911299</v>
      </c>
      <c r="AB11" s="833">
        <v>128.30850091761698</v>
      </c>
      <c r="AC11" s="833">
        <v>125.31778668365899</v>
      </c>
      <c r="AD11" s="833">
        <v>104.85266671033099</v>
      </c>
      <c r="AE11" s="833">
        <v>188.10748455776599</v>
      </c>
      <c r="AF11" s="833">
        <v>198.07162782</v>
      </c>
      <c r="AG11" s="833">
        <v>71.810326250000003</v>
      </c>
      <c r="AH11" s="833">
        <v>223.63965296000001</v>
      </c>
      <c r="AI11" s="833">
        <v>238.61876867999996</v>
      </c>
      <c r="AJ11" s="833">
        <v>151.47403553999999</v>
      </c>
      <c r="AK11" s="833">
        <v>146.47737080000002</v>
      </c>
      <c r="AL11" s="833">
        <v>69.348740169999985</v>
      </c>
      <c r="AM11" s="833">
        <v>65.960218440000006</v>
      </c>
      <c r="AN11" s="834">
        <v>64.97840020999999</v>
      </c>
      <c r="AO11" s="835">
        <v>65.584209119999997</v>
      </c>
      <c r="AP11" s="835">
        <v>68.513367979999998</v>
      </c>
      <c r="AQ11" s="835">
        <v>311.48284962999998</v>
      </c>
      <c r="AR11" s="835">
        <v>90.367219909999989</v>
      </c>
      <c r="AS11" s="835">
        <v>88.740492129999993</v>
      </c>
      <c r="AT11" s="835">
        <v>165.29868494999999</v>
      </c>
      <c r="AU11" s="835">
        <v>96.820067709999989</v>
      </c>
      <c r="AV11" s="835">
        <v>176.07912083000002</v>
      </c>
      <c r="AW11" s="835">
        <v>327.56298057999999</v>
      </c>
      <c r="AX11" s="835">
        <v>68.868365640000007</v>
      </c>
      <c r="AY11" s="835">
        <v>92.072264139999987</v>
      </c>
      <c r="AZ11" s="835">
        <v>87.70549441</v>
      </c>
      <c r="BA11" s="835">
        <v>85.291687549999992</v>
      </c>
      <c r="BB11" s="835">
        <v>79.022807060000005</v>
      </c>
      <c r="BC11" s="835">
        <v>286.60368328999999</v>
      </c>
    </row>
    <row r="12" spans="1:59" ht="17.100000000000001" customHeight="1">
      <c r="A12" s="827"/>
      <c r="B12" s="828"/>
      <c r="C12" s="828"/>
      <c r="D12" s="828"/>
      <c r="E12" s="828"/>
      <c r="F12" s="828"/>
      <c r="G12" s="828"/>
      <c r="H12" s="828"/>
      <c r="I12" s="828"/>
      <c r="J12" s="828"/>
      <c r="K12" s="828"/>
      <c r="L12" s="828"/>
      <c r="M12" s="828"/>
      <c r="N12" s="828"/>
      <c r="O12" s="828"/>
      <c r="P12" s="828"/>
      <c r="Q12" s="828"/>
      <c r="R12" s="828"/>
      <c r="S12" s="828"/>
      <c r="T12" s="828"/>
      <c r="U12" s="828"/>
      <c r="V12" s="828"/>
      <c r="W12" s="828"/>
      <c r="X12" s="828"/>
      <c r="Y12" s="828"/>
      <c r="Z12" s="828"/>
      <c r="AA12" s="828"/>
      <c r="AB12" s="828"/>
      <c r="AC12" s="828"/>
      <c r="AD12" s="828"/>
      <c r="AE12" s="828"/>
      <c r="AF12" s="828"/>
      <c r="AG12" s="828"/>
      <c r="AH12" s="828"/>
      <c r="AI12" s="828"/>
      <c r="AJ12" s="828"/>
      <c r="AK12" s="828"/>
      <c r="AL12" s="828"/>
      <c r="AM12" s="828"/>
      <c r="AN12" s="829"/>
      <c r="AO12" s="830"/>
      <c r="AP12" s="830"/>
      <c r="AQ12" s="830"/>
      <c r="AR12" s="830"/>
      <c r="AS12" s="830"/>
      <c r="AT12" s="830"/>
      <c r="AU12" s="830"/>
      <c r="AV12" s="830"/>
      <c r="AW12" s="830"/>
      <c r="AX12" s="830"/>
      <c r="AY12" s="830"/>
      <c r="AZ12" s="830"/>
      <c r="BA12" s="830"/>
      <c r="BB12" s="830"/>
      <c r="BC12" s="830"/>
    </row>
    <row r="13" spans="1:59" s="840" customFormat="1" ht="17.100000000000001" customHeight="1">
      <c r="A13" s="836" t="s">
        <v>580</v>
      </c>
      <c r="B13" s="837">
        <v>32306.578817460002</v>
      </c>
      <c r="C13" s="837">
        <v>34188.331145164077</v>
      </c>
      <c r="D13" s="837">
        <v>35018.925947288793</v>
      </c>
      <c r="E13" s="837">
        <v>33972.916108009995</v>
      </c>
      <c r="F13" s="837">
        <v>35004.952882689249</v>
      </c>
      <c r="G13" s="837">
        <v>35648.822886965791</v>
      </c>
      <c r="H13" s="837">
        <v>38111.517277910505</v>
      </c>
      <c r="I13" s="837">
        <v>36422.298472737748</v>
      </c>
      <c r="J13" s="837">
        <v>36444.268976647872</v>
      </c>
      <c r="K13" s="837">
        <v>38868.215593856046</v>
      </c>
      <c r="L13" s="837">
        <v>40023.459073151535</v>
      </c>
      <c r="M13" s="837">
        <v>44935.527259780167</v>
      </c>
      <c r="N13" s="837">
        <v>44220.858916383426</v>
      </c>
      <c r="O13" s="837">
        <v>43457.96626473077</v>
      </c>
      <c r="P13" s="837">
        <v>42616.030383652513</v>
      </c>
      <c r="Q13" s="837">
        <v>43519.537135460872</v>
      </c>
      <c r="R13" s="837">
        <v>41534.157818012638</v>
      </c>
      <c r="S13" s="837">
        <v>42236.711520816105</v>
      </c>
      <c r="T13" s="837">
        <v>42073.932665119974</v>
      </c>
      <c r="U13" s="837">
        <v>44194.178057538316</v>
      </c>
      <c r="V13" s="837">
        <v>42292.116241218129</v>
      </c>
      <c r="W13" s="837">
        <v>42459.190507549793</v>
      </c>
      <c r="X13" s="837">
        <v>41967.209032272607</v>
      </c>
      <c r="Y13" s="837">
        <v>48280.871327637411</v>
      </c>
      <c r="Z13" s="837">
        <v>43850.805226779208</v>
      </c>
      <c r="AA13" s="837">
        <v>44901.044055009108</v>
      </c>
      <c r="AB13" s="837">
        <v>44639.243475667616</v>
      </c>
      <c r="AC13" s="837">
        <v>44527.06357813366</v>
      </c>
      <c r="AD13" s="837">
        <v>44662.991762790334</v>
      </c>
      <c r="AE13" s="837">
        <v>45910.968640197767</v>
      </c>
      <c r="AF13" s="837">
        <v>46049.62976335</v>
      </c>
      <c r="AG13" s="837">
        <v>46185.349602239992</v>
      </c>
      <c r="AH13" s="837">
        <v>47267.960582839994</v>
      </c>
      <c r="AI13" s="837">
        <v>46439.120953460006</v>
      </c>
      <c r="AJ13" s="837">
        <v>45499.108851889992</v>
      </c>
      <c r="AK13" s="837">
        <v>52622.930014159996</v>
      </c>
      <c r="AL13" s="837">
        <v>50086.680641910003</v>
      </c>
      <c r="AM13" s="837">
        <v>52362.476793820002</v>
      </c>
      <c r="AN13" s="838">
        <v>51963.297140969997</v>
      </c>
      <c r="AO13" s="839">
        <v>48815.614415420001</v>
      </c>
      <c r="AP13" s="839">
        <v>52745.513655169998</v>
      </c>
      <c r="AQ13" s="839">
        <v>53094.012917469998</v>
      </c>
      <c r="AR13" s="839">
        <v>54156.36550167</v>
      </c>
      <c r="AS13" s="839">
        <v>51451.915537709996</v>
      </c>
      <c r="AT13" s="839">
        <v>50185.234078640002</v>
      </c>
      <c r="AU13" s="839">
        <v>51977.864655339996</v>
      </c>
      <c r="AV13" s="839">
        <v>53757.247619950002</v>
      </c>
      <c r="AW13" s="839">
        <v>62350.012214779999</v>
      </c>
      <c r="AX13" s="839">
        <v>58668.651559199992</v>
      </c>
      <c r="AY13" s="839">
        <v>64091.710065689993</v>
      </c>
      <c r="AZ13" s="839">
        <v>62483.452767249997</v>
      </c>
      <c r="BA13" s="839">
        <v>62070.370892899999</v>
      </c>
      <c r="BB13" s="839">
        <v>62582.034079030003</v>
      </c>
      <c r="BC13" s="839">
        <v>62137.03930633</v>
      </c>
    </row>
    <row r="14" spans="1:59" ht="17.100000000000001" customHeight="1" thickBot="1">
      <c r="A14" s="841"/>
      <c r="B14" s="828"/>
      <c r="C14" s="828"/>
      <c r="D14" s="828"/>
      <c r="E14" s="828"/>
      <c r="F14" s="828"/>
      <c r="G14" s="828"/>
      <c r="H14" s="828"/>
      <c r="I14" s="828"/>
      <c r="J14" s="828"/>
      <c r="K14" s="828"/>
      <c r="L14" s="828"/>
      <c r="M14" s="828"/>
      <c r="N14" s="828"/>
      <c r="O14" s="828"/>
      <c r="P14" s="828"/>
      <c r="Q14" s="828"/>
      <c r="R14" s="828"/>
      <c r="S14" s="828"/>
      <c r="T14" s="828"/>
      <c r="U14" s="828"/>
      <c r="V14" s="828"/>
      <c r="W14" s="828"/>
      <c r="X14" s="828"/>
      <c r="Y14" s="828"/>
      <c r="Z14" s="828"/>
      <c r="AA14" s="828"/>
      <c r="AB14" s="828"/>
      <c r="AC14" s="828"/>
      <c r="AD14" s="828"/>
      <c r="AE14" s="828"/>
      <c r="AF14" s="828"/>
      <c r="AG14" s="828"/>
      <c r="AH14" s="828"/>
      <c r="AI14" s="828"/>
      <c r="AJ14" s="828"/>
      <c r="AK14" s="828"/>
      <c r="AL14" s="828"/>
      <c r="AM14" s="828"/>
      <c r="AN14" s="829"/>
      <c r="AO14" s="830"/>
      <c r="AP14" s="830"/>
      <c r="AQ14" s="830"/>
      <c r="AR14" s="830"/>
      <c r="AS14" s="830"/>
      <c r="AT14" s="830"/>
      <c r="AU14" s="830"/>
      <c r="AV14" s="830"/>
      <c r="AW14" s="830"/>
      <c r="AX14" s="830"/>
      <c r="AY14" s="830"/>
      <c r="AZ14" s="830"/>
      <c r="BA14" s="830"/>
      <c r="BB14" s="830"/>
      <c r="BC14" s="830"/>
    </row>
    <row r="15" spans="1:59" ht="17.100000000000001" customHeight="1" thickTop="1" thickBot="1">
      <c r="A15" s="822" t="s">
        <v>581</v>
      </c>
      <c r="B15" s="842"/>
      <c r="C15" s="842"/>
      <c r="D15" s="842"/>
      <c r="E15" s="842"/>
      <c r="F15" s="842"/>
      <c r="G15" s="842"/>
      <c r="H15" s="842"/>
      <c r="I15" s="842"/>
      <c r="J15" s="842"/>
      <c r="K15" s="842"/>
      <c r="L15" s="842"/>
      <c r="M15" s="842"/>
      <c r="N15" s="842"/>
      <c r="O15" s="842"/>
      <c r="P15" s="842"/>
      <c r="Q15" s="842"/>
      <c r="R15" s="842"/>
      <c r="S15" s="842"/>
      <c r="T15" s="842"/>
      <c r="U15" s="842"/>
      <c r="V15" s="842"/>
      <c r="W15" s="842"/>
      <c r="X15" s="842"/>
      <c r="Y15" s="842"/>
      <c r="Z15" s="842"/>
      <c r="AA15" s="842"/>
      <c r="AB15" s="842"/>
      <c r="AC15" s="842"/>
      <c r="AD15" s="842"/>
      <c r="AE15" s="842"/>
      <c r="AF15" s="842"/>
      <c r="AG15" s="842"/>
      <c r="AH15" s="842"/>
      <c r="AI15" s="842"/>
      <c r="AJ15" s="842"/>
      <c r="AK15" s="842"/>
      <c r="AL15" s="842"/>
      <c r="AM15" s="842"/>
      <c r="AN15" s="843"/>
      <c r="AO15" s="844"/>
      <c r="AP15" s="844"/>
      <c r="AQ15" s="844"/>
      <c r="AR15" s="844"/>
      <c r="AS15" s="844"/>
      <c r="AT15" s="844"/>
      <c r="AU15" s="844"/>
      <c r="AV15" s="844"/>
      <c r="AW15" s="844"/>
      <c r="AX15" s="844"/>
      <c r="AY15" s="844"/>
      <c r="AZ15" s="844"/>
      <c r="BA15" s="844"/>
      <c r="BB15" s="844"/>
      <c r="BC15" s="844"/>
    </row>
    <row r="16" spans="1:59" ht="17.100000000000001" customHeight="1" thickTop="1">
      <c r="A16" s="841"/>
      <c r="B16" s="828"/>
      <c r="C16" s="828"/>
      <c r="D16" s="828"/>
      <c r="E16" s="828"/>
      <c r="F16" s="828"/>
      <c r="G16" s="828"/>
      <c r="H16" s="828"/>
      <c r="I16" s="828"/>
      <c r="J16" s="828"/>
      <c r="K16" s="828"/>
      <c r="L16" s="828"/>
      <c r="M16" s="828"/>
      <c r="N16" s="828"/>
      <c r="O16" s="828"/>
      <c r="P16" s="828"/>
      <c r="Q16" s="828"/>
      <c r="R16" s="828"/>
      <c r="S16" s="828"/>
      <c r="T16" s="828"/>
      <c r="U16" s="828"/>
      <c r="V16" s="828"/>
      <c r="W16" s="828"/>
      <c r="X16" s="828"/>
      <c r="Y16" s="828"/>
      <c r="Z16" s="828"/>
      <c r="AA16" s="828"/>
      <c r="AB16" s="828"/>
      <c r="AC16" s="828"/>
      <c r="AD16" s="828"/>
      <c r="AE16" s="828"/>
      <c r="AF16" s="828"/>
      <c r="AG16" s="828"/>
      <c r="AH16" s="828"/>
      <c r="AI16" s="828"/>
      <c r="AJ16" s="828"/>
      <c r="AK16" s="828"/>
      <c r="AL16" s="828"/>
      <c r="AM16" s="828"/>
      <c r="AN16" s="829"/>
      <c r="AO16" s="830"/>
      <c r="AP16" s="830"/>
      <c r="AQ16" s="830"/>
      <c r="AR16" s="830"/>
      <c r="AS16" s="830"/>
      <c r="AT16" s="830"/>
      <c r="AU16" s="830"/>
      <c r="AV16" s="830"/>
      <c r="AW16" s="830"/>
      <c r="AX16" s="830"/>
      <c r="AY16" s="830"/>
      <c r="AZ16" s="830"/>
      <c r="BA16" s="830"/>
      <c r="BB16" s="830"/>
      <c r="BC16" s="830"/>
    </row>
    <row r="17" spans="1:55" ht="17.100000000000001" customHeight="1">
      <c r="A17" s="827" t="s">
        <v>582</v>
      </c>
      <c r="B17" s="828">
        <v>66426.303235972882</v>
      </c>
      <c r="C17" s="828">
        <v>67813.347178623269</v>
      </c>
      <c r="D17" s="828">
        <v>67350.55298928589</v>
      </c>
      <c r="E17" s="828">
        <v>67898.424276395206</v>
      </c>
      <c r="F17" s="828">
        <v>70563.533940011592</v>
      </c>
      <c r="G17" s="828">
        <v>69029.206086238628</v>
      </c>
      <c r="H17" s="828">
        <v>69173.827566074178</v>
      </c>
      <c r="I17" s="828">
        <v>70109.753901685341</v>
      </c>
      <c r="J17" s="828">
        <v>73222.669057128718</v>
      </c>
      <c r="K17" s="828">
        <v>72628.910586909114</v>
      </c>
      <c r="L17" s="828">
        <v>74948.541309052278</v>
      </c>
      <c r="M17" s="828">
        <v>77907.26620021234</v>
      </c>
      <c r="N17" s="828">
        <v>74640.649942564065</v>
      </c>
      <c r="O17" s="828">
        <v>74618.615312754191</v>
      </c>
      <c r="P17" s="828">
        <v>76376.735414886105</v>
      </c>
      <c r="Q17" s="828">
        <v>75700.789623743025</v>
      </c>
      <c r="R17" s="828">
        <v>77269.692369705648</v>
      </c>
      <c r="S17" s="828">
        <v>79953.017943437662</v>
      </c>
      <c r="T17" s="828">
        <v>79074.75525046949</v>
      </c>
      <c r="U17" s="828">
        <v>79520.667822633579</v>
      </c>
      <c r="V17" s="828">
        <v>78671.260029511788</v>
      </c>
      <c r="W17" s="828">
        <v>81199.667306703283</v>
      </c>
      <c r="X17" s="828">
        <v>77556.049942866448</v>
      </c>
      <c r="Y17" s="828">
        <v>80100.875885288551</v>
      </c>
      <c r="Z17" s="828">
        <v>80040.746933815622</v>
      </c>
      <c r="AA17" s="828">
        <v>79939.581236785903</v>
      </c>
      <c r="AB17" s="828">
        <v>79411.668224062698</v>
      </c>
      <c r="AC17" s="828">
        <v>79032.748513622151</v>
      </c>
      <c r="AD17" s="828">
        <v>78098.527743300889</v>
      </c>
      <c r="AE17" s="828">
        <v>85159.248901662751</v>
      </c>
      <c r="AF17" s="828">
        <v>86394.874568552084</v>
      </c>
      <c r="AG17" s="828">
        <v>86880.112743733043</v>
      </c>
      <c r="AH17" s="828">
        <v>87928.224802783152</v>
      </c>
      <c r="AI17" s="828">
        <v>88106.871545446251</v>
      </c>
      <c r="AJ17" s="828">
        <v>90488.3945909303</v>
      </c>
      <c r="AK17" s="828">
        <v>91559.825805914632</v>
      </c>
      <c r="AL17" s="828">
        <v>94098.106945505308</v>
      </c>
      <c r="AM17" s="828">
        <v>93549.31388682939</v>
      </c>
      <c r="AN17" s="829">
        <v>96754.802980609718</v>
      </c>
      <c r="AO17" s="830">
        <v>95870.007278678371</v>
      </c>
      <c r="AP17" s="830">
        <v>104072.51915873688</v>
      </c>
      <c r="AQ17" s="830">
        <v>103579.9323233067</v>
      </c>
      <c r="AR17" s="830">
        <v>100694.20800170788</v>
      </c>
      <c r="AS17" s="830">
        <v>99291.769986535714</v>
      </c>
      <c r="AT17" s="830">
        <v>100933.44968334469</v>
      </c>
      <c r="AU17" s="830">
        <v>100229.18125081969</v>
      </c>
      <c r="AV17" s="830">
        <v>99261.274187500021</v>
      </c>
      <c r="AW17" s="830">
        <v>103497.94482550361</v>
      </c>
      <c r="AX17" s="830">
        <v>102921.43799632388</v>
      </c>
      <c r="AY17" s="830">
        <v>108544.33997084292</v>
      </c>
      <c r="AZ17" s="830">
        <v>110343.08859754098</v>
      </c>
      <c r="BA17" s="830">
        <v>114721.20755311572</v>
      </c>
      <c r="BB17" s="830">
        <v>117055.21513527753</v>
      </c>
      <c r="BC17" s="830">
        <v>119619.60702976644</v>
      </c>
    </row>
    <row r="18" spans="1:55" ht="17.100000000000001" customHeight="1">
      <c r="A18" s="827" t="s">
        <v>583</v>
      </c>
      <c r="B18" s="828">
        <v>-16094.591653099998</v>
      </c>
      <c r="C18" s="828">
        <v>-15133.990915980001</v>
      </c>
      <c r="D18" s="828">
        <v>-10574.257390679999</v>
      </c>
      <c r="E18" s="828">
        <v>-13160.13132181</v>
      </c>
      <c r="F18" s="828">
        <v>-13184.197336680001</v>
      </c>
      <c r="G18" s="828">
        <v>-12603.214470860001</v>
      </c>
      <c r="H18" s="828">
        <v>-12649.402737140001</v>
      </c>
      <c r="I18" s="828">
        <v>-13999.36386032</v>
      </c>
      <c r="J18" s="828">
        <v>-12309.791425859999</v>
      </c>
      <c r="K18" s="828">
        <v>-9506.4930552200003</v>
      </c>
      <c r="L18" s="828">
        <v>-11316.247423609999</v>
      </c>
      <c r="M18" s="828">
        <v>-9687.6799926800013</v>
      </c>
      <c r="N18" s="828">
        <v>-8384.2803368000004</v>
      </c>
      <c r="O18" s="828">
        <v>-7735.6408573600002</v>
      </c>
      <c r="P18" s="828">
        <v>-11176.693028849997</v>
      </c>
      <c r="Q18" s="828">
        <v>-9606.6951597400002</v>
      </c>
      <c r="R18" s="828">
        <v>-11320.184787369999</v>
      </c>
      <c r="S18" s="828">
        <v>-10168.74607549</v>
      </c>
      <c r="T18" s="828">
        <v>-11201.799995440004</v>
      </c>
      <c r="U18" s="828">
        <v>-8361.1217992800011</v>
      </c>
      <c r="V18" s="828">
        <v>-10561.849022570001</v>
      </c>
      <c r="W18" s="828">
        <v>-11253.339342660001</v>
      </c>
      <c r="X18" s="828">
        <v>-9436.6171233200002</v>
      </c>
      <c r="Y18" s="828">
        <v>-7837.3001372700001</v>
      </c>
      <c r="Z18" s="828">
        <v>-10079.960773000003</v>
      </c>
      <c r="AA18" s="828">
        <v>-8692.3302772299994</v>
      </c>
      <c r="AB18" s="828">
        <v>-9372.881900270002</v>
      </c>
      <c r="AC18" s="828">
        <v>-8880.1699302400029</v>
      </c>
      <c r="AD18" s="828">
        <v>-8780.1530179400033</v>
      </c>
      <c r="AE18" s="828">
        <v>-11179.910112040001</v>
      </c>
      <c r="AF18" s="828">
        <v>-11456.030725809998</v>
      </c>
      <c r="AG18" s="828">
        <v>-13179.341982179998</v>
      </c>
      <c r="AH18" s="828">
        <v>-11879.09227354</v>
      </c>
      <c r="AI18" s="828">
        <v>-13350.546611650003</v>
      </c>
      <c r="AJ18" s="828">
        <v>-16898.939951499997</v>
      </c>
      <c r="AK18" s="828">
        <v>-11466.967172649998</v>
      </c>
      <c r="AL18" s="828">
        <v>-13650.276193949998</v>
      </c>
      <c r="AM18" s="828">
        <v>-12018.874950829999</v>
      </c>
      <c r="AN18" s="829">
        <v>-12476.195903029999</v>
      </c>
      <c r="AO18" s="830">
        <v>-14313.36957282</v>
      </c>
      <c r="AP18" s="830">
        <v>-17374.062681929754</v>
      </c>
      <c r="AQ18" s="830">
        <v>-18112.053482993684</v>
      </c>
      <c r="AR18" s="830">
        <v>-14044.60487612374</v>
      </c>
      <c r="AS18" s="830">
        <v>-13816.06028582856</v>
      </c>
      <c r="AT18" s="830">
        <v>-17341.511666418828</v>
      </c>
      <c r="AU18" s="830">
        <v>-15217.901120033093</v>
      </c>
      <c r="AV18" s="830">
        <v>-13552.266238281474</v>
      </c>
      <c r="AW18" s="830">
        <v>-10932.694839660657</v>
      </c>
      <c r="AX18" s="830">
        <v>-13197.887711877294</v>
      </c>
      <c r="AY18" s="830">
        <v>-12463.583303451964</v>
      </c>
      <c r="AZ18" s="830">
        <v>-13387.690245879574</v>
      </c>
      <c r="BA18" s="830">
        <v>-17897.114501728862</v>
      </c>
      <c r="BB18" s="830">
        <v>-16472.475734490621</v>
      </c>
      <c r="BC18" s="830">
        <v>-18912.303265928196</v>
      </c>
    </row>
    <row r="19" spans="1:55" ht="17.100000000000001" customHeight="1">
      <c r="A19" s="827" t="s">
        <v>584</v>
      </c>
      <c r="B19" s="828">
        <v>416.39877228</v>
      </c>
      <c r="C19" s="828">
        <v>398.98351687999997</v>
      </c>
      <c r="D19" s="828">
        <v>464.59303090000003</v>
      </c>
      <c r="E19" s="828">
        <v>369.60301450999998</v>
      </c>
      <c r="F19" s="828">
        <v>408.48481404999995</v>
      </c>
      <c r="G19" s="828">
        <v>451.59551101999995</v>
      </c>
      <c r="H19" s="828">
        <v>445.53247376000002</v>
      </c>
      <c r="I19" s="828">
        <v>375.32156171000003</v>
      </c>
      <c r="J19" s="828">
        <v>729.0334312199999</v>
      </c>
      <c r="K19" s="828">
        <v>725.01450312999987</v>
      </c>
      <c r="L19" s="828">
        <v>1098.9094759899999</v>
      </c>
      <c r="M19" s="828">
        <v>992.11887309000008</v>
      </c>
      <c r="N19" s="828">
        <v>1201.4398751599999</v>
      </c>
      <c r="O19" s="828">
        <v>986.17518556999994</v>
      </c>
      <c r="P19" s="828">
        <v>242.02596110999997</v>
      </c>
      <c r="Q19" s="828">
        <v>265.07175250999995</v>
      </c>
      <c r="R19" s="828">
        <v>629.2786777099999</v>
      </c>
      <c r="S19" s="828">
        <v>246.32987396999999</v>
      </c>
      <c r="T19" s="828">
        <v>1772.48621953</v>
      </c>
      <c r="U19" s="828">
        <v>1112.8485640200001</v>
      </c>
      <c r="V19" s="828">
        <v>719.99327042000004</v>
      </c>
      <c r="W19" s="828">
        <v>955.00277437</v>
      </c>
      <c r="X19" s="828">
        <v>1127.9270470100003</v>
      </c>
      <c r="Y19" s="828">
        <v>1138.7372729100002</v>
      </c>
      <c r="Z19" s="828">
        <v>1211.1530704200002</v>
      </c>
      <c r="AA19" s="828">
        <v>1131.4411226499999</v>
      </c>
      <c r="AB19" s="828">
        <v>1179.4819348599999</v>
      </c>
      <c r="AC19" s="828">
        <v>1157.8965479799999</v>
      </c>
      <c r="AD19" s="828">
        <v>218.86825797</v>
      </c>
      <c r="AE19" s="828">
        <v>450.09873363999998</v>
      </c>
      <c r="AF19" s="828">
        <v>152.5676181</v>
      </c>
      <c r="AG19" s="828">
        <v>445.32254952000005</v>
      </c>
      <c r="AH19" s="828">
        <v>763.68187892000003</v>
      </c>
      <c r="AI19" s="828">
        <v>1163.6323081500002</v>
      </c>
      <c r="AJ19" s="828">
        <v>1325.8463739199999</v>
      </c>
      <c r="AK19" s="828">
        <v>1804.5649623700001</v>
      </c>
      <c r="AL19" s="828">
        <v>2146.9082228399998</v>
      </c>
      <c r="AM19" s="828">
        <v>2114.7532336799995</v>
      </c>
      <c r="AN19" s="829">
        <v>2108.0848065299997</v>
      </c>
      <c r="AO19" s="830">
        <v>2342.2126538799998</v>
      </c>
      <c r="AP19" s="830">
        <v>1233.3859579699999</v>
      </c>
      <c r="AQ19" s="830">
        <v>1546.1322582800001</v>
      </c>
      <c r="AR19" s="830">
        <v>1729.84466681</v>
      </c>
      <c r="AS19" s="830">
        <v>2100.3866184399999</v>
      </c>
      <c r="AT19" s="830">
        <v>2973.8737531799998</v>
      </c>
      <c r="AU19" s="830">
        <v>2466.6333634100001</v>
      </c>
      <c r="AV19" s="830">
        <v>2627.7498871299995</v>
      </c>
      <c r="AW19" s="830">
        <v>2715.6635386299995</v>
      </c>
      <c r="AX19" s="830">
        <v>3505.64319918</v>
      </c>
      <c r="AY19" s="830">
        <v>3459.2269215600004</v>
      </c>
      <c r="AZ19" s="830">
        <v>3529.4347085599993</v>
      </c>
      <c r="BA19" s="830">
        <v>3453.8968748400002</v>
      </c>
      <c r="BB19" s="830">
        <v>2412.4059201499999</v>
      </c>
      <c r="BC19" s="830">
        <v>2414.3403686699999</v>
      </c>
    </row>
    <row r="20" spans="1:55" ht="17.100000000000001" customHeight="1">
      <c r="A20" s="827" t="s">
        <v>585</v>
      </c>
      <c r="B20" s="828">
        <v>153.19780331999999</v>
      </c>
      <c r="C20" s="828">
        <v>154.31596911</v>
      </c>
      <c r="D20" s="828">
        <v>138.70587049999997</v>
      </c>
      <c r="E20" s="828">
        <v>145.20146566999998</v>
      </c>
      <c r="F20" s="828">
        <v>139.64907062999998</v>
      </c>
      <c r="G20" s="828">
        <v>144.54348844999998</v>
      </c>
      <c r="H20" s="828">
        <v>136.46690247999999</v>
      </c>
      <c r="I20" s="828">
        <v>137.70103456999999</v>
      </c>
      <c r="J20" s="828">
        <v>166.28222216</v>
      </c>
      <c r="K20" s="828">
        <v>164.10271523999998</v>
      </c>
      <c r="L20" s="828">
        <v>188.36966712999998</v>
      </c>
      <c r="M20" s="828">
        <v>289.10614802999993</v>
      </c>
      <c r="N20" s="828">
        <v>325.25928297999997</v>
      </c>
      <c r="O20" s="828">
        <v>266.26099159999995</v>
      </c>
      <c r="P20" s="828">
        <v>282.16233682000001</v>
      </c>
      <c r="Q20" s="828">
        <v>326.19289162000001</v>
      </c>
      <c r="R20" s="828">
        <v>355.96613649</v>
      </c>
      <c r="S20" s="828">
        <v>144.95301177000002</v>
      </c>
      <c r="T20" s="828">
        <v>145.04960496999999</v>
      </c>
      <c r="U20" s="828">
        <v>146.18456738</v>
      </c>
      <c r="V20" s="828">
        <v>147.98835771</v>
      </c>
      <c r="W20" s="828">
        <v>189.87692557</v>
      </c>
      <c r="X20" s="828">
        <v>188.68572480999998</v>
      </c>
      <c r="Y20" s="828">
        <v>187.66180904000001</v>
      </c>
      <c r="Z20" s="828">
        <v>184.76241243000001</v>
      </c>
      <c r="AA20" s="828">
        <v>235.96431477000002</v>
      </c>
      <c r="AB20" s="828">
        <v>228.80128807000003</v>
      </c>
      <c r="AC20" s="828">
        <v>202.30284356000001</v>
      </c>
      <c r="AD20" s="828">
        <v>207.31680611000002</v>
      </c>
      <c r="AE20" s="828">
        <v>142.31707372000002</v>
      </c>
      <c r="AF20" s="828">
        <v>246.29880878</v>
      </c>
      <c r="AG20" s="828">
        <v>157.61338316000001</v>
      </c>
      <c r="AH20" s="828">
        <v>186.53756657</v>
      </c>
      <c r="AI20" s="828">
        <v>186.00266166</v>
      </c>
      <c r="AJ20" s="828">
        <v>148.20166657000001</v>
      </c>
      <c r="AK20" s="828">
        <v>184.47326498999999</v>
      </c>
      <c r="AL20" s="828">
        <v>158.50110899000001</v>
      </c>
      <c r="AM20" s="828">
        <v>151.81138362999999</v>
      </c>
      <c r="AN20" s="829">
        <v>144.74117856000001</v>
      </c>
      <c r="AO20" s="830">
        <v>154.39851223000002</v>
      </c>
      <c r="AP20" s="830">
        <v>135.40763834000001</v>
      </c>
      <c r="AQ20" s="830">
        <v>198.07188681</v>
      </c>
      <c r="AR20" s="830">
        <v>126.59522910000001</v>
      </c>
      <c r="AS20" s="830">
        <v>150.84449430999999</v>
      </c>
      <c r="AT20" s="830">
        <v>162.74188365000003</v>
      </c>
      <c r="AU20" s="830">
        <v>164.49673319999999</v>
      </c>
      <c r="AV20" s="830">
        <v>163.62766462999997</v>
      </c>
      <c r="AW20" s="830">
        <v>172.66457023999999</v>
      </c>
      <c r="AX20" s="830">
        <v>134.78201322999996</v>
      </c>
      <c r="AY20" s="830">
        <v>146.16603488000001</v>
      </c>
      <c r="AZ20" s="830">
        <v>154.80724961999994</v>
      </c>
      <c r="BA20" s="830">
        <v>158.50427366000002</v>
      </c>
      <c r="BB20" s="830">
        <v>161.91662781999997</v>
      </c>
      <c r="BC20" s="830">
        <v>159.59387422</v>
      </c>
    </row>
    <row r="21" spans="1:55" ht="17.100000000000001" customHeight="1">
      <c r="A21" s="827" t="s">
        <v>586</v>
      </c>
      <c r="B21" s="828">
        <v>18594.729341072874</v>
      </c>
      <c r="C21" s="828">
        <v>19044.324603401274</v>
      </c>
      <c r="D21" s="828">
        <v>22360.668552649873</v>
      </c>
      <c r="E21" s="828">
        <v>21280.181327235212</v>
      </c>
      <c r="F21" s="828">
        <v>22922.517605351597</v>
      </c>
      <c r="G21" s="828">
        <v>21373.307422236627</v>
      </c>
      <c r="H21" s="828">
        <v>18994.907343880179</v>
      </c>
      <c r="I21" s="828">
        <v>20201.11458074515</v>
      </c>
      <c r="J21" s="828">
        <v>25363.924309142734</v>
      </c>
      <c r="K21" s="828">
        <v>25143.319156730104</v>
      </c>
      <c r="L21" s="828">
        <v>24896.11395498427</v>
      </c>
      <c r="M21" s="828">
        <v>24565.283968943342</v>
      </c>
      <c r="N21" s="828">
        <v>23562.209847259786</v>
      </c>
      <c r="O21" s="828">
        <v>24677.444186577806</v>
      </c>
      <c r="P21" s="828">
        <v>23108.200299823584</v>
      </c>
      <c r="Q21" s="828">
        <v>23165.82197285549</v>
      </c>
      <c r="R21" s="828">
        <v>25400.594578360418</v>
      </c>
      <c r="S21" s="828">
        <v>27938.843234947642</v>
      </c>
      <c r="T21" s="828">
        <v>27716.558216280049</v>
      </c>
      <c r="U21" s="828">
        <v>28224.401098000351</v>
      </c>
      <c r="V21" s="828">
        <v>26685.276395961795</v>
      </c>
      <c r="W21" s="828">
        <v>28632.017156241829</v>
      </c>
      <c r="X21" s="828">
        <v>27468.836560251591</v>
      </c>
      <c r="Y21" s="828">
        <v>25309.103500960551</v>
      </c>
      <c r="Z21" s="828">
        <v>27505.896416856463</v>
      </c>
      <c r="AA21" s="828">
        <v>27713.612342122353</v>
      </c>
      <c r="AB21" s="828">
        <v>26807.826071009738</v>
      </c>
      <c r="AC21" s="828">
        <v>26985.714396542317</v>
      </c>
      <c r="AD21" s="828">
        <v>25081.56802680812</v>
      </c>
      <c r="AE21" s="828">
        <v>28660.785956678155</v>
      </c>
      <c r="AF21" s="828">
        <v>29288.080506300139</v>
      </c>
      <c r="AG21" s="828">
        <v>28118.357092553313</v>
      </c>
      <c r="AH21" s="828">
        <v>29731.391392921221</v>
      </c>
      <c r="AI21" s="828">
        <v>29666.838950144462</v>
      </c>
      <c r="AJ21" s="828">
        <v>29564.39343112606</v>
      </c>
      <c r="AK21" s="828">
        <v>29458.966505068092</v>
      </c>
      <c r="AL21" s="828">
        <v>32666.559441311121</v>
      </c>
      <c r="AM21" s="828">
        <v>31434.526478312724</v>
      </c>
      <c r="AN21" s="829">
        <v>34568.136052714675</v>
      </c>
      <c r="AO21" s="830">
        <v>35237.634672762681</v>
      </c>
      <c r="AP21" s="830">
        <v>35321.736417755252</v>
      </c>
      <c r="AQ21" s="830">
        <v>34118.070068315443</v>
      </c>
      <c r="AR21" s="830">
        <v>34349.677520039455</v>
      </c>
      <c r="AS21" s="830">
        <v>36275.025275776556</v>
      </c>
      <c r="AT21" s="830">
        <v>36543.319575843278</v>
      </c>
      <c r="AU21" s="830">
        <v>35664.545571807263</v>
      </c>
      <c r="AV21" s="830">
        <v>34743.13788053047</v>
      </c>
      <c r="AW21" s="830">
        <v>33103.565879656737</v>
      </c>
      <c r="AX21" s="830">
        <v>34695.323937723748</v>
      </c>
      <c r="AY21" s="830">
        <v>35594.439558382459</v>
      </c>
      <c r="AZ21" s="830">
        <v>38156.187542883796</v>
      </c>
      <c r="BA21" s="830">
        <v>38366.123306714959</v>
      </c>
      <c r="BB21" s="830">
        <v>40575.027869459576</v>
      </c>
      <c r="BC21" s="830">
        <v>41144.198700293819</v>
      </c>
    </row>
    <row r="22" spans="1:55" ht="17.100000000000001" customHeight="1">
      <c r="A22" s="827"/>
      <c r="B22" s="828"/>
      <c r="C22" s="828"/>
      <c r="D22" s="828"/>
      <c r="E22" s="828"/>
      <c r="F22" s="828"/>
      <c r="G22" s="828"/>
      <c r="H22" s="828"/>
      <c r="I22" s="828"/>
      <c r="J22" s="828"/>
      <c r="K22" s="828"/>
      <c r="L22" s="828"/>
      <c r="M22" s="828"/>
      <c r="N22" s="828"/>
      <c r="O22" s="828"/>
      <c r="P22" s="828"/>
      <c r="Q22" s="828"/>
      <c r="R22" s="828"/>
      <c r="S22" s="828"/>
      <c r="T22" s="828"/>
      <c r="U22" s="828"/>
      <c r="V22" s="828"/>
      <c r="W22" s="828"/>
      <c r="X22" s="828"/>
      <c r="Y22" s="828"/>
      <c r="Z22" s="828"/>
      <c r="AA22" s="828"/>
      <c r="AB22" s="828"/>
      <c r="AC22" s="828"/>
      <c r="AD22" s="828"/>
      <c r="AE22" s="828"/>
      <c r="AF22" s="828"/>
      <c r="AG22" s="828"/>
      <c r="AH22" s="828"/>
      <c r="AI22" s="828"/>
      <c r="AJ22" s="828"/>
      <c r="AK22" s="828"/>
      <c r="AL22" s="828"/>
      <c r="AM22" s="828"/>
      <c r="AN22" s="829"/>
      <c r="AO22" s="830"/>
      <c r="AP22" s="830"/>
      <c r="AQ22" s="830"/>
      <c r="AR22" s="830"/>
      <c r="AS22" s="830"/>
      <c r="AT22" s="830"/>
      <c r="AU22" s="830"/>
      <c r="AV22" s="830"/>
      <c r="AW22" s="830"/>
      <c r="AX22" s="830"/>
      <c r="AY22" s="830"/>
      <c r="AZ22" s="830"/>
      <c r="BA22" s="830"/>
      <c r="BB22" s="830"/>
      <c r="BC22" s="830"/>
    </row>
    <row r="23" spans="1:55" s="840" customFormat="1" ht="17.100000000000001" customHeight="1">
      <c r="A23" s="836" t="s">
        <v>587</v>
      </c>
      <c r="B23" s="837">
        <v>32306.578817400012</v>
      </c>
      <c r="C23" s="837">
        <v>34188.33114523199</v>
      </c>
      <c r="D23" s="837">
        <v>35018.925947356023</v>
      </c>
      <c r="E23" s="837">
        <v>33972.916107529993</v>
      </c>
      <c r="F23" s="837">
        <v>35004.95288266</v>
      </c>
      <c r="G23" s="837">
        <v>35648.823192611999</v>
      </c>
      <c r="H23" s="837">
        <v>38111.516861294003</v>
      </c>
      <c r="I23" s="837">
        <v>36422.298056900181</v>
      </c>
      <c r="J23" s="837">
        <v>36444.268975505984</v>
      </c>
      <c r="K23" s="837">
        <v>38868.215593329005</v>
      </c>
      <c r="L23" s="837">
        <v>40023.459073578015</v>
      </c>
      <c r="M23" s="837">
        <v>44935.527259708993</v>
      </c>
      <c r="N23" s="837">
        <v>44220.858916644269</v>
      </c>
      <c r="O23" s="837">
        <v>43457.966445986371</v>
      </c>
      <c r="P23" s="837">
        <v>42616.030384142519</v>
      </c>
      <c r="Q23" s="837">
        <v>43519.537135277533</v>
      </c>
      <c r="R23" s="837">
        <v>41534.157818175219</v>
      </c>
      <c r="S23" s="837">
        <v>42236.711518740027</v>
      </c>
      <c r="T23" s="837">
        <v>42073.932863249436</v>
      </c>
      <c r="U23" s="837">
        <v>44194.178056753226</v>
      </c>
      <c r="V23" s="837">
        <v>42292.116239109986</v>
      </c>
      <c r="W23" s="837">
        <v>42459.190507741456</v>
      </c>
      <c r="X23" s="837">
        <v>41967.209031114857</v>
      </c>
      <c r="Y23" s="837">
        <v>48280.871329008005</v>
      </c>
      <c r="Z23" s="837">
        <v>43850.805226809163</v>
      </c>
      <c r="AA23" s="837">
        <v>44901.044054853548</v>
      </c>
      <c r="AB23" s="837">
        <v>44639.243475712952</v>
      </c>
      <c r="AC23" s="837">
        <v>44527.063578379821</v>
      </c>
      <c r="AD23" s="837">
        <v>44662.991762632766</v>
      </c>
      <c r="AE23" s="837">
        <v>45910.968640304593</v>
      </c>
      <c r="AF23" s="837">
        <v>46049.629763321958</v>
      </c>
      <c r="AG23" s="837">
        <v>46185.349601679744</v>
      </c>
      <c r="AH23" s="837">
        <v>47267.960581811938</v>
      </c>
      <c r="AI23" s="837">
        <v>46439.120953461781</v>
      </c>
      <c r="AJ23" s="837">
        <v>45499.109248794244</v>
      </c>
      <c r="AK23" s="837">
        <v>52622.930355556542</v>
      </c>
      <c r="AL23" s="837">
        <v>50086.680642074178</v>
      </c>
      <c r="AM23" s="837">
        <v>52362.47707499667</v>
      </c>
      <c r="AN23" s="838">
        <v>51963.297009955029</v>
      </c>
      <c r="AO23" s="839">
        <v>48815.61419920568</v>
      </c>
      <c r="AP23" s="839">
        <v>52745.513655361865</v>
      </c>
      <c r="AQ23" s="839">
        <v>53094.012917087573</v>
      </c>
      <c r="AR23" s="839">
        <v>54156.365501454675</v>
      </c>
      <c r="AS23" s="839">
        <v>51451.915537680601</v>
      </c>
      <c r="AT23" s="839">
        <v>50185.234077912588</v>
      </c>
      <c r="AU23" s="839">
        <v>51977.864655589321</v>
      </c>
      <c r="AV23" s="839">
        <v>53757.247620448077</v>
      </c>
      <c r="AW23" s="839">
        <v>62350.012215056217</v>
      </c>
      <c r="AX23" s="839">
        <v>58668.651559132835</v>
      </c>
      <c r="AY23" s="839">
        <v>64091.710065448504</v>
      </c>
      <c r="AZ23" s="839">
        <v>62483.452766957605</v>
      </c>
      <c r="BA23" s="839">
        <v>62070.370893171887</v>
      </c>
      <c r="BB23" s="839">
        <v>62582.034079297329</v>
      </c>
      <c r="BC23" s="839">
        <v>62137.039306434432</v>
      </c>
    </row>
    <row r="24" spans="1:55" ht="15.6" customHeight="1" thickBot="1">
      <c r="A24" s="845"/>
      <c r="B24" s="846"/>
      <c r="C24" s="846"/>
      <c r="D24" s="846"/>
      <c r="E24" s="846"/>
      <c r="F24" s="846"/>
      <c r="G24" s="846"/>
      <c r="H24" s="846"/>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6"/>
      <c r="AG24" s="846"/>
      <c r="AH24" s="846"/>
      <c r="AI24" s="846"/>
      <c r="AJ24" s="846"/>
      <c r="AK24" s="846"/>
      <c r="AL24" s="846"/>
      <c r="AM24" s="846"/>
      <c r="AN24" s="846"/>
      <c r="AO24" s="846"/>
      <c r="AP24" s="846"/>
      <c r="AQ24" s="846"/>
      <c r="AR24" s="846"/>
      <c r="AS24" s="846"/>
      <c r="AT24" s="846"/>
      <c r="AU24" s="846"/>
      <c r="AV24" s="846"/>
      <c r="AW24" s="846"/>
      <c r="AX24" s="846"/>
      <c r="AY24" s="846"/>
      <c r="AZ24" s="846"/>
      <c r="BA24" s="846"/>
      <c r="BB24" s="846"/>
      <c r="BC24" s="846"/>
    </row>
    <row r="25" spans="1:55" ht="15.75" thickTop="1">
      <c r="A25" s="847" t="s">
        <v>240</v>
      </c>
      <c r="B25" s="848"/>
      <c r="C25" s="848"/>
      <c r="D25" s="849"/>
      <c r="E25" s="849"/>
      <c r="F25" s="849"/>
      <c r="G25" s="849"/>
      <c r="H25" s="849"/>
      <c r="I25" s="849"/>
      <c r="J25" s="849"/>
      <c r="K25" s="849"/>
      <c r="L25" s="849"/>
      <c r="M25" s="849"/>
      <c r="N25" s="849"/>
      <c r="O25" s="849"/>
      <c r="P25" s="849"/>
      <c r="Q25" s="849"/>
      <c r="R25" s="849"/>
      <c r="S25" s="849"/>
      <c r="T25" s="849"/>
      <c r="U25" s="849"/>
      <c r="V25" s="849"/>
      <c r="W25" s="849"/>
      <c r="X25" s="849"/>
      <c r="Y25" s="849"/>
      <c r="Z25" s="849"/>
      <c r="AA25" s="849"/>
      <c r="AB25" s="849"/>
      <c r="AC25" s="849"/>
      <c r="AD25" s="849"/>
      <c r="AE25" s="849"/>
      <c r="AF25" s="849"/>
      <c r="AG25" s="849"/>
      <c r="AH25" s="849"/>
      <c r="AI25" s="849"/>
      <c r="AJ25" s="849"/>
      <c r="AK25" s="849"/>
      <c r="AL25" s="849"/>
      <c r="AM25" s="849"/>
      <c r="AN25" s="849"/>
      <c r="AO25" s="849"/>
      <c r="AP25" s="849"/>
      <c r="AQ25" s="849"/>
      <c r="AR25" s="849"/>
      <c r="AS25" s="849"/>
      <c r="AT25" s="849"/>
      <c r="AU25" s="849"/>
      <c r="AV25" s="849"/>
    </row>
    <row r="26" spans="1:55" ht="18">
      <c r="A26" s="850" t="s">
        <v>588</v>
      </c>
      <c r="B26" s="851"/>
      <c r="C26" s="852"/>
      <c r="D26" s="852"/>
      <c r="E26" s="852"/>
      <c r="F26" s="852"/>
      <c r="G26" s="852"/>
      <c r="H26" s="852"/>
      <c r="I26" s="852"/>
      <c r="J26" s="852"/>
      <c r="K26" s="852"/>
      <c r="L26" s="852"/>
      <c r="M26" s="852"/>
      <c r="N26" s="852"/>
      <c r="O26" s="852"/>
      <c r="P26" s="852"/>
      <c r="Q26" s="852"/>
      <c r="R26" s="852"/>
      <c r="S26" s="852"/>
      <c r="T26" s="852"/>
      <c r="U26" s="852"/>
      <c r="V26" s="852"/>
      <c r="W26" s="852"/>
      <c r="X26" s="852"/>
      <c r="Y26" s="852"/>
      <c r="Z26" s="852"/>
      <c r="AA26" s="848"/>
      <c r="AB26" s="848"/>
      <c r="AC26" s="848"/>
      <c r="AD26" s="848"/>
      <c r="AE26" s="848"/>
      <c r="AF26" s="848"/>
      <c r="AG26" s="848"/>
      <c r="AH26" s="848"/>
      <c r="AI26" s="848"/>
      <c r="AJ26" s="848"/>
      <c r="AK26" s="848"/>
      <c r="AL26" s="848"/>
      <c r="AM26" s="848"/>
      <c r="AN26" s="848"/>
      <c r="AO26" s="848"/>
      <c r="AP26" s="848"/>
      <c r="AQ26" s="848"/>
      <c r="AR26" s="848"/>
      <c r="AS26" s="848"/>
      <c r="AT26" s="848"/>
      <c r="AU26" s="848"/>
      <c r="AV26" s="848"/>
      <c r="AW26" s="831"/>
      <c r="AX26" s="831"/>
      <c r="AY26" s="831"/>
      <c r="AZ26" s="831"/>
    </row>
    <row r="27" spans="1:55" ht="15">
      <c r="A27" s="850" t="s">
        <v>542</v>
      </c>
      <c r="B27" s="851"/>
      <c r="C27" s="852"/>
      <c r="D27" s="852"/>
      <c r="E27" s="852"/>
      <c r="F27" s="852"/>
      <c r="G27" s="852"/>
      <c r="H27" s="852"/>
      <c r="I27" s="852"/>
      <c r="J27" s="852"/>
      <c r="K27" s="852"/>
      <c r="L27" s="852"/>
      <c r="M27" s="852"/>
      <c r="N27" s="852"/>
      <c r="O27" s="852"/>
      <c r="P27" s="852"/>
      <c r="Q27" s="852"/>
      <c r="R27" s="852"/>
      <c r="S27" s="852"/>
      <c r="T27" s="852"/>
      <c r="U27" s="852"/>
      <c r="V27" s="852"/>
      <c r="W27" s="852"/>
      <c r="X27" s="852"/>
      <c r="Y27" s="852"/>
      <c r="Z27" s="852"/>
      <c r="AA27" s="848"/>
      <c r="AB27" s="848"/>
      <c r="AC27" s="848"/>
      <c r="AD27" s="848"/>
      <c r="AE27" s="848"/>
      <c r="AF27" s="848"/>
      <c r="AG27" s="848"/>
      <c r="AH27" s="848"/>
      <c r="AI27" s="848"/>
      <c r="AJ27" s="848"/>
      <c r="AK27" s="848"/>
      <c r="AL27" s="848"/>
      <c r="AM27" s="848"/>
      <c r="AN27" s="848"/>
      <c r="AO27" s="848"/>
      <c r="AP27" s="848"/>
      <c r="AQ27" s="848"/>
      <c r="AR27" s="848"/>
      <c r="AS27" s="848"/>
      <c r="AT27" s="848"/>
      <c r="AU27" s="848"/>
      <c r="AV27" s="848"/>
      <c r="AW27" s="831"/>
      <c r="AX27" s="831"/>
      <c r="AY27" s="831"/>
      <c r="AZ27" s="831"/>
    </row>
    <row r="28" spans="1:55" ht="15">
      <c r="A28" s="847" t="s">
        <v>180</v>
      </c>
      <c r="B28" s="848"/>
      <c r="C28" s="848"/>
      <c r="D28" s="849"/>
      <c r="E28" s="849"/>
      <c r="F28" s="849"/>
      <c r="G28" s="849"/>
      <c r="H28" s="849"/>
      <c r="I28" s="849"/>
      <c r="J28" s="849"/>
      <c r="K28" s="849"/>
      <c r="L28" s="849"/>
      <c r="M28" s="849"/>
      <c r="N28" s="849"/>
      <c r="O28" s="849"/>
      <c r="P28" s="849"/>
      <c r="Q28" s="849"/>
      <c r="R28" s="849"/>
      <c r="S28" s="849"/>
      <c r="T28" s="849"/>
      <c r="U28" s="849"/>
      <c r="V28" s="849"/>
      <c r="W28" s="849"/>
      <c r="X28" s="849"/>
      <c r="Y28" s="849"/>
      <c r="Z28" s="849"/>
      <c r="AA28" s="849"/>
      <c r="AB28" s="849"/>
      <c r="AC28" s="849"/>
      <c r="AD28" s="849"/>
      <c r="AE28" s="849"/>
      <c r="AF28" s="849"/>
      <c r="AG28" s="849"/>
      <c r="AH28" s="849"/>
      <c r="AI28" s="849"/>
      <c r="AJ28" s="849"/>
      <c r="AK28" s="849"/>
      <c r="AL28" s="849"/>
      <c r="AM28" s="849"/>
      <c r="AN28" s="849"/>
      <c r="AO28" s="849"/>
      <c r="AP28" s="849"/>
      <c r="AQ28" s="849"/>
      <c r="AR28" s="849"/>
      <c r="AS28" s="849"/>
      <c r="AT28" s="849"/>
      <c r="AU28" s="849"/>
      <c r="AV28" s="849"/>
    </row>
    <row r="29" spans="1:55" ht="15">
      <c r="A29" s="849"/>
      <c r="B29" s="848"/>
      <c r="C29" s="848"/>
      <c r="D29" s="849"/>
      <c r="E29" s="849"/>
      <c r="F29" s="849"/>
      <c r="G29" s="849"/>
      <c r="H29" s="849"/>
      <c r="I29" s="849"/>
      <c r="J29" s="849"/>
      <c r="K29" s="849"/>
      <c r="L29" s="849"/>
      <c r="M29" s="849"/>
      <c r="N29" s="849"/>
      <c r="O29" s="849"/>
      <c r="P29" s="849"/>
      <c r="Q29" s="849"/>
      <c r="R29" s="849"/>
      <c r="S29" s="849"/>
      <c r="T29" s="849"/>
      <c r="U29" s="849"/>
      <c r="V29" s="849"/>
      <c r="W29" s="849"/>
      <c r="X29" s="849"/>
      <c r="Y29" s="849"/>
      <c r="Z29" s="849"/>
      <c r="AA29" s="849"/>
      <c r="AB29" s="849"/>
      <c r="AC29" s="849"/>
      <c r="AD29" s="849"/>
      <c r="AE29" s="849"/>
      <c r="AF29" s="849"/>
      <c r="AG29" s="849"/>
      <c r="AH29" s="849"/>
      <c r="AI29" s="849"/>
      <c r="AJ29" s="849"/>
      <c r="AK29" s="849"/>
      <c r="AL29" s="849"/>
      <c r="AM29" s="849"/>
      <c r="AN29" s="849"/>
      <c r="AO29" s="849"/>
      <c r="AP29" s="849"/>
      <c r="AQ29" s="849"/>
      <c r="AR29" s="849"/>
      <c r="AS29" s="849"/>
      <c r="AT29" s="849"/>
      <c r="AU29" s="849"/>
      <c r="AV29" s="849"/>
    </row>
    <row r="30" spans="1:55" ht="21.75">
      <c r="A30" s="808" t="s">
        <v>589</v>
      </c>
      <c r="B30" s="831"/>
      <c r="C30" s="831"/>
      <c r="AQ30" s="808"/>
      <c r="AR30" s="831"/>
      <c r="AS30" s="831"/>
    </row>
    <row r="31" spans="1:55" ht="6" customHeight="1">
      <c r="B31" s="831"/>
      <c r="C31" s="831"/>
    </row>
    <row r="32" spans="1:55" s="812" customFormat="1" ht="15" thickBot="1">
      <c r="B32" s="813"/>
      <c r="C32" s="813"/>
      <c r="F32" s="813"/>
      <c r="U32" s="815"/>
      <c r="V32" s="815"/>
      <c r="AA32" s="812" t="s">
        <v>573</v>
      </c>
      <c r="AB32" s="815"/>
      <c r="AD32" s="815"/>
      <c r="AF32" s="815"/>
      <c r="AH32" s="815"/>
      <c r="AI32" s="815"/>
      <c r="AM32" s="815"/>
      <c r="AN32" s="815"/>
      <c r="AP32" s="815"/>
      <c r="AQ32" s="815"/>
      <c r="AR32" s="815"/>
      <c r="AU32" s="815"/>
      <c r="AV32" s="815"/>
      <c r="AX32" s="815"/>
      <c r="AY32" s="815"/>
      <c r="BB32" s="816"/>
      <c r="BC32" s="816" t="s">
        <v>74</v>
      </c>
    </row>
    <row r="33" spans="1:57" ht="18.75" thickTop="1" thickBot="1">
      <c r="A33" s="853"/>
      <c r="B33" s="854">
        <f t="shared" ref="B33:J33" si="0">B3</f>
        <v>40193</v>
      </c>
      <c r="C33" s="854">
        <f t="shared" si="0"/>
        <v>40224</v>
      </c>
      <c r="D33" s="854">
        <f t="shared" si="0"/>
        <v>40252</v>
      </c>
      <c r="E33" s="854">
        <f t="shared" si="0"/>
        <v>40284</v>
      </c>
      <c r="F33" s="854">
        <f t="shared" si="0"/>
        <v>40316</v>
      </c>
      <c r="G33" s="854">
        <f t="shared" si="0"/>
        <v>40347</v>
      </c>
      <c r="H33" s="854">
        <f t="shared" si="0"/>
        <v>40377</v>
      </c>
      <c r="I33" s="854">
        <f t="shared" si="0"/>
        <v>40408</v>
      </c>
      <c r="J33" s="854">
        <f t="shared" si="0"/>
        <v>40439</v>
      </c>
      <c r="K33" s="854">
        <v>40452</v>
      </c>
      <c r="L33" s="854">
        <v>40483</v>
      </c>
      <c r="M33" s="855">
        <f t="shared" ref="M33:R33" si="1">M3</f>
        <v>40530</v>
      </c>
      <c r="N33" s="856">
        <f t="shared" si="1"/>
        <v>40561</v>
      </c>
      <c r="O33" s="856">
        <f t="shared" si="1"/>
        <v>40592</v>
      </c>
      <c r="P33" s="856">
        <f t="shared" si="1"/>
        <v>40620</v>
      </c>
      <c r="Q33" s="856">
        <f t="shared" si="1"/>
        <v>40651</v>
      </c>
      <c r="R33" s="856">
        <f t="shared" si="1"/>
        <v>40681</v>
      </c>
      <c r="S33" s="856">
        <f>S3</f>
        <v>40712</v>
      </c>
      <c r="T33" s="856">
        <f>T3</f>
        <v>40742</v>
      </c>
      <c r="U33" s="856">
        <f>U3</f>
        <v>40773</v>
      </c>
      <c r="V33" s="856">
        <f>V3</f>
        <v>40804</v>
      </c>
      <c r="W33" s="856">
        <f>W3</f>
        <v>40834</v>
      </c>
      <c r="X33" s="856">
        <v>40848</v>
      </c>
      <c r="Y33" s="856">
        <f t="shared" ref="Y33:AP33" si="2">Y3</f>
        <v>40895</v>
      </c>
      <c r="Z33" s="856">
        <f t="shared" si="2"/>
        <v>40926</v>
      </c>
      <c r="AA33" s="856">
        <f t="shared" si="2"/>
        <v>40957</v>
      </c>
      <c r="AB33" s="856">
        <f t="shared" si="2"/>
        <v>40986</v>
      </c>
      <c r="AC33" s="856">
        <f t="shared" si="2"/>
        <v>41017</v>
      </c>
      <c r="AD33" s="856">
        <f t="shared" si="2"/>
        <v>41047</v>
      </c>
      <c r="AE33" s="856">
        <f>AE3</f>
        <v>41078</v>
      </c>
      <c r="AF33" s="856">
        <f t="shared" si="2"/>
        <v>41108</v>
      </c>
      <c r="AG33" s="856">
        <f>AG3</f>
        <v>41139</v>
      </c>
      <c r="AH33" s="856">
        <f t="shared" si="2"/>
        <v>41170</v>
      </c>
      <c r="AI33" s="856">
        <f t="shared" si="2"/>
        <v>41200</v>
      </c>
      <c r="AJ33" s="856">
        <f t="shared" si="2"/>
        <v>41231</v>
      </c>
      <c r="AK33" s="856">
        <f t="shared" si="2"/>
        <v>41261</v>
      </c>
      <c r="AL33" s="856">
        <f t="shared" si="2"/>
        <v>41292</v>
      </c>
      <c r="AM33" s="856">
        <f t="shared" si="2"/>
        <v>41323</v>
      </c>
      <c r="AN33" s="856">
        <f t="shared" si="2"/>
        <v>41351</v>
      </c>
      <c r="AO33" s="820">
        <f>AO3</f>
        <v>41382</v>
      </c>
      <c r="AP33" s="820">
        <f t="shared" si="2"/>
        <v>41412</v>
      </c>
      <c r="AQ33" s="820">
        <f>AQ3</f>
        <v>41443</v>
      </c>
      <c r="AR33" s="820">
        <f>AR3</f>
        <v>41473</v>
      </c>
      <c r="AS33" s="820">
        <f>AS3</f>
        <v>41504</v>
      </c>
      <c r="AT33" s="820">
        <v>41535</v>
      </c>
      <c r="AU33" s="820">
        <f t="shared" ref="AU33:BC33" si="3">AU3</f>
        <v>41565</v>
      </c>
      <c r="AV33" s="820">
        <f t="shared" si="3"/>
        <v>41596</v>
      </c>
      <c r="AW33" s="820">
        <f t="shared" si="3"/>
        <v>41626</v>
      </c>
      <c r="AX33" s="820">
        <f t="shared" si="3"/>
        <v>41657</v>
      </c>
      <c r="AY33" s="820">
        <f t="shared" si="3"/>
        <v>41688</v>
      </c>
      <c r="AZ33" s="820">
        <f t="shared" si="3"/>
        <v>41716</v>
      </c>
      <c r="BA33" s="820">
        <f t="shared" si="3"/>
        <v>41748</v>
      </c>
      <c r="BB33" s="820">
        <f t="shared" si="3"/>
        <v>41780</v>
      </c>
      <c r="BC33" s="820">
        <f t="shared" si="3"/>
        <v>41812</v>
      </c>
    </row>
    <row r="34" spans="1:57" ht="18.75" thickTop="1" thickBot="1">
      <c r="A34" s="822" t="s">
        <v>590</v>
      </c>
      <c r="B34" s="824"/>
      <c r="C34" s="824"/>
      <c r="D34" s="824"/>
      <c r="E34" s="824"/>
      <c r="F34" s="824"/>
      <c r="G34" s="824"/>
      <c r="H34" s="824"/>
      <c r="I34" s="824"/>
      <c r="J34" s="824"/>
      <c r="K34" s="824"/>
      <c r="L34" s="824"/>
      <c r="M34" s="824"/>
      <c r="N34" s="824"/>
      <c r="O34" s="824"/>
      <c r="P34" s="824"/>
      <c r="Q34" s="824"/>
      <c r="R34" s="824"/>
      <c r="S34" s="824"/>
      <c r="T34" s="824"/>
      <c r="U34" s="824"/>
      <c r="V34" s="824"/>
      <c r="W34" s="824"/>
      <c r="X34" s="824"/>
      <c r="Y34" s="824"/>
      <c r="Z34" s="824"/>
      <c r="AA34" s="824"/>
      <c r="AB34" s="824"/>
      <c r="AC34" s="824"/>
      <c r="AD34" s="824"/>
      <c r="AE34" s="824"/>
      <c r="AF34" s="824"/>
      <c r="AG34" s="824"/>
      <c r="AH34" s="824"/>
      <c r="AI34" s="824"/>
      <c r="AJ34" s="824"/>
      <c r="AK34" s="824"/>
      <c r="AL34" s="824"/>
      <c r="AM34" s="824"/>
      <c r="AN34" s="824"/>
      <c r="AO34" s="824"/>
      <c r="AP34" s="824"/>
      <c r="AQ34" s="824"/>
      <c r="AR34" s="824"/>
      <c r="AS34" s="824"/>
      <c r="AT34" s="824"/>
      <c r="AU34" s="824"/>
      <c r="AV34" s="824"/>
      <c r="AW34" s="824"/>
      <c r="AX34" s="824"/>
      <c r="AY34" s="824"/>
      <c r="AZ34" s="824"/>
      <c r="BA34" s="824"/>
      <c r="BB34" s="824"/>
      <c r="BC34" s="824"/>
    </row>
    <row r="35" spans="1:57" ht="17.100000000000001" customHeight="1" thickTop="1">
      <c r="A35" s="825"/>
      <c r="B35" s="826"/>
      <c r="C35" s="826"/>
      <c r="D35" s="826"/>
      <c r="E35" s="826"/>
      <c r="F35" s="826"/>
      <c r="G35" s="826"/>
      <c r="H35" s="826"/>
      <c r="I35" s="826"/>
      <c r="J35" s="826"/>
      <c r="K35" s="826"/>
      <c r="L35" s="826"/>
      <c r="M35" s="826"/>
      <c r="N35" s="826"/>
      <c r="O35" s="826"/>
      <c r="P35" s="826"/>
      <c r="Q35" s="826"/>
      <c r="R35" s="826"/>
      <c r="S35" s="826"/>
      <c r="T35" s="826"/>
      <c r="U35" s="826"/>
      <c r="V35" s="826"/>
      <c r="W35" s="826"/>
      <c r="X35" s="857"/>
      <c r="Y35" s="857"/>
      <c r="Z35" s="857"/>
      <c r="AA35" s="857"/>
      <c r="AB35" s="857"/>
      <c r="AC35" s="857"/>
      <c r="AD35" s="857"/>
      <c r="AE35" s="857"/>
      <c r="AF35" s="857"/>
      <c r="AG35" s="857"/>
      <c r="AH35" s="857"/>
      <c r="AI35" s="857"/>
      <c r="AJ35" s="857"/>
      <c r="AK35" s="857"/>
      <c r="AL35" s="857"/>
      <c r="AM35" s="857"/>
      <c r="AN35" s="857"/>
      <c r="AO35" s="857"/>
      <c r="AP35" s="857"/>
      <c r="AQ35" s="857"/>
      <c r="AR35" s="857"/>
      <c r="AS35" s="857"/>
      <c r="AT35" s="857"/>
      <c r="AU35" s="857"/>
      <c r="AV35" s="857"/>
      <c r="AW35" s="857"/>
      <c r="AX35" s="857"/>
      <c r="AY35" s="857"/>
      <c r="AZ35" s="857"/>
      <c r="BA35" s="857"/>
      <c r="BB35" s="857"/>
      <c r="BC35" s="857"/>
    </row>
    <row r="36" spans="1:57" ht="17.100000000000001" customHeight="1">
      <c r="A36" s="827" t="s">
        <v>575</v>
      </c>
      <c r="B36" s="858">
        <v>16171.960026841443</v>
      </c>
      <c r="C36" s="858">
        <v>15979.918504390556</v>
      </c>
      <c r="D36" s="858">
        <v>15845.174678718537</v>
      </c>
      <c r="E36" s="858">
        <v>16036.327574022573</v>
      </c>
      <c r="F36" s="858">
        <v>16227.254416493004</v>
      </c>
      <c r="G36" s="858">
        <v>15904.557043885216</v>
      </c>
      <c r="H36" s="858">
        <v>16369.721227265134</v>
      </c>
      <c r="I36" s="858">
        <v>16281.24484228429</v>
      </c>
      <c r="J36" s="858">
        <v>16241.980758452173</v>
      </c>
      <c r="K36" s="858">
        <v>16473.996105313156</v>
      </c>
      <c r="L36" s="858">
        <v>16722.43897559122</v>
      </c>
      <c r="M36" s="828">
        <v>18975.006270668913</v>
      </c>
      <c r="N36" s="828">
        <v>18010.593082900665</v>
      </c>
      <c r="O36" s="828">
        <v>17749.329653375997</v>
      </c>
      <c r="P36" s="828">
        <v>17492.407133231845</v>
      </c>
      <c r="Q36" s="828">
        <v>17646.497592686108</v>
      </c>
      <c r="R36" s="828">
        <v>17594.772439179418</v>
      </c>
      <c r="S36" s="828">
        <v>17516.570954198032</v>
      </c>
      <c r="T36" s="828">
        <v>18045.280669068587</v>
      </c>
      <c r="U36" s="828">
        <v>18269.489570318754</v>
      </c>
      <c r="V36" s="828">
        <v>17957.873646394448</v>
      </c>
      <c r="W36" s="828">
        <v>18294.304306683174</v>
      </c>
      <c r="X36" s="828">
        <v>17891.407119467123</v>
      </c>
      <c r="Y36" s="828">
        <v>20307.786446312803</v>
      </c>
      <c r="Z36" s="828">
        <v>19209.573208944614</v>
      </c>
      <c r="AA36" s="828">
        <v>18923.022119759324</v>
      </c>
      <c r="AB36" s="828">
        <v>18978.695497382185</v>
      </c>
      <c r="AC36" s="828">
        <v>18961.549992068223</v>
      </c>
      <c r="AD36" s="828">
        <v>18678.032246711129</v>
      </c>
      <c r="AE36" s="828">
        <v>19013.633662171222</v>
      </c>
      <c r="AF36" s="828">
        <v>19228.031835841684</v>
      </c>
      <c r="AG36" s="828">
        <v>19287.1599017013</v>
      </c>
      <c r="AH36" s="828">
        <v>19233.798105900336</v>
      </c>
      <c r="AI36" s="828">
        <v>19257.554559318654</v>
      </c>
      <c r="AJ36" s="828">
        <v>19629.552590686864</v>
      </c>
      <c r="AK36" s="828">
        <v>22169.717386902448</v>
      </c>
      <c r="AL36" s="828">
        <v>20964.304899561892</v>
      </c>
      <c r="AM36" s="828">
        <v>20780.286985424955</v>
      </c>
      <c r="AN36" s="829">
        <v>20987.016268127656</v>
      </c>
      <c r="AO36" s="830">
        <v>20656.089712851328</v>
      </c>
      <c r="AP36" s="830">
        <v>20557.306859228109</v>
      </c>
      <c r="AQ36" s="830">
        <v>20523.48661882988</v>
      </c>
      <c r="AR36" s="830">
        <v>20820.159883091204</v>
      </c>
      <c r="AS36" s="830">
        <v>20987.512445111654</v>
      </c>
      <c r="AT36" s="830">
        <v>20664.185177378316</v>
      </c>
      <c r="AU36" s="830">
        <v>20702.891560809614</v>
      </c>
      <c r="AV36" s="830">
        <v>20888.105552438185</v>
      </c>
      <c r="AW36" s="830">
        <v>23316.684992015878</v>
      </c>
      <c r="AX36" s="830">
        <v>22265.883860057205</v>
      </c>
      <c r="AY36" s="830">
        <v>22077.566872167037</v>
      </c>
      <c r="AZ36" s="830">
        <v>22090.400144122301</v>
      </c>
      <c r="BA36" s="830">
        <v>21718.536421617555</v>
      </c>
      <c r="BB36" s="830">
        <v>21737.2264592838</v>
      </c>
      <c r="BC36" s="830">
        <v>21684.992832060678</v>
      </c>
    </row>
    <row r="37" spans="1:57" ht="17.100000000000001" customHeight="1">
      <c r="A37" s="827" t="s">
        <v>591</v>
      </c>
      <c r="B37" s="828">
        <v>40778.275187430925</v>
      </c>
      <c r="C37" s="828">
        <v>41253.842961923954</v>
      </c>
      <c r="D37" s="828">
        <v>41718.903483492526</v>
      </c>
      <c r="E37" s="828">
        <v>40728.664471195079</v>
      </c>
      <c r="F37" s="828">
        <v>42338.899104886746</v>
      </c>
      <c r="G37" s="828">
        <v>42597.162427818723</v>
      </c>
      <c r="H37" s="828">
        <v>41525.17017672865</v>
      </c>
      <c r="I37" s="859">
        <v>39239.536296707149</v>
      </c>
      <c r="J37" s="828">
        <v>40109.351808269705</v>
      </c>
      <c r="K37" s="828">
        <v>39347.771079334299</v>
      </c>
      <c r="L37" s="828">
        <v>40898.313682190288</v>
      </c>
      <c r="M37" s="828">
        <v>43000.069884701174</v>
      </c>
      <c r="N37" s="828">
        <v>41841.148543764917</v>
      </c>
      <c r="O37" s="828">
        <v>41301.664667729528</v>
      </c>
      <c r="P37" s="828">
        <v>41296.012984383786</v>
      </c>
      <c r="Q37" s="828">
        <v>41679.869806559705</v>
      </c>
      <c r="R37" s="828">
        <v>41985.889497661832</v>
      </c>
      <c r="S37" s="828">
        <v>42755.141006629812</v>
      </c>
      <c r="T37" s="828">
        <v>42254.834489744389</v>
      </c>
      <c r="U37" s="828">
        <v>42980.805637260957</v>
      </c>
      <c r="V37" s="828">
        <v>44148.611416947999</v>
      </c>
      <c r="W37" s="828">
        <v>43832.130459692009</v>
      </c>
      <c r="X37" s="828">
        <v>44641.021211180429</v>
      </c>
      <c r="Y37" s="828">
        <v>46046.070744401644</v>
      </c>
      <c r="Z37" s="828">
        <v>45729.838909944905</v>
      </c>
      <c r="AA37" s="828">
        <v>44941.375797335313</v>
      </c>
      <c r="AB37" s="828">
        <v>44614.429885332036</v>
      </c>
      <c r="AC37" s="828">
        <v>45519.946839365526</v>
      </c>
      <c r="AD37" s="828">
        <v>45432.568413154608</v>
      </c>
      <c r="AE37" s="828">
        <v>46717.272459071974</v>
      </c>
      <c r="AF37" s="828">
        <v>46052.205065638824</v>
      </c>
      <c r="AG37" s="828">
        <v>46389.7022310256</v>
      </c>
      <c r="AH37" s="828">
        <v>47672.224048485099</v>
      </c>
      <c r="AI37" s="828">
        <v>47585.347023981885</v>
      </c>
      <c r="AJ37" s="828">
        <v>48727.457930327677</v>
      </c>
      <c r="AK37" s="828">
        <v>50420.556341701784</v>
      </c>
      <c r="AL37" s="828">
        <v>48297.992423417483</v>
      </c>
      <c r="AM37" s="828">
        <v>48361.353137456848</v>
      </c>
      <c r="AN37" s="829">
        <v>49236.471153001934</v>
      </c>
      <c r="AO37" s="830">
        <v>48632.236213688921</v>
      </c>
      <c r="AP37" s="830">
        <v>48083.418249956274</v>
      </c>
      <c r="AQ37" s="830">
        <v>49267.611315663285</v>
      </c>
      <c r="AR37" s="830">
        <v>50717.364258537877</v>
      </c>
      <c r="AS37" s="830">
        <v>50162.956167679818</v>
      </c>
      <c r="AT37" s="830">
        <v>50320.436850313919</v>
      </c>
      <c r="AU37" s="830">
        <v>49934.383856665176</v>
      </c>
      <c r="AV37" s="830">
        <v>51340.812181635367</v>
      </c>
      <c r="AW37" s="830">
        <v>53738.075257476179</v>
      </c>
      <c r="AX37" s="830">
        <v>54650.663169846477</v>
      </c>
      <c r="AY37" s="830">
        <v>55420.236272043381</v>
      </c>
      <c r="AZ37" s="830">
        <v>53032.526998978967</v>
      </c>
      <c r="BA37" s="830">
        <v>55480.542473895475</v>
      </c>
      <c r="BB37" s="830">
        <v>56140.632312318136</v>
      </c>
      <c r="BC37" s="830">
        <v>56163.12871379526</v>
      </c>
    </row>
    <row r="38" spans="1:57" s="863" customFormat="1" ht="17.100000000000001" customHeight="1">
      <c r="A38" s="827" t="s">
        <v>592</v>
      </c>
      <c r="B38" s="860">
        <v>56950.235214272368</v>
      </c>
      <c r="C38" s="860">
        <v>57233.761466314507</v>
      </c>
      <c r="D38" s="860">
        <v>57564.078162211066</v>
      </c>
      <c r="E38" s="860">
        <v>56764.992045217652</v>
      </c>
      <c r="F38" s="860">
        <v>58566.153521379747</v>
      </c>
      <c r="G38" s="860">
        <v>58501.719471703938</v>
      </c>
      <c r="H38" s="860">
        <v>57894.891403993781</v>
      </c>
      <c r="I38" s="860">
        <v>55520.781138991442</v>
      </c>
      <c r="J38" s="860">
        <v>56351.332566721874</v>
      </c>
      <c r="K38" s="860">
        <v>55821.767184647455</v>
      </c>
      <c r="L38" s="860">
        <v>57620.752657781508</v>
      </c>
      <c r="M38" s="860">
        <v>61975.076155370087</v>
      </c>
      <c r="N38" s="860">
        <v>59851.741626665578</v>
      </c>
      <c r="O38" s="860">
        <v>59050.994321105522</v>
      </c>
      <c r="P38" s="860">
        <v>58788.420117615635</v>
      </c>
      <c r="Q38" s="860">
        <v>59326.367399245813</v>
      </c>
      <c r="R38" s="860">
        <v>59580.66193684125</v>
      </c>
      <c r="S38" s="860">
        <v>60271.711960827844</v>
      </c>
      <c r="T38" s="860">
        <v>60300.115158812972</v>
      </c>
      <c r="U38" s="860">
        <v>61250.295207579707</v>
      </c>
      <c r="V38" s="860">
        <v>62106.48506334245</v>
      </c>
      <c r="W38" s="860">
        <v>62126.434766375183</v>
      </c>
      <c r="X38" s="860">
        <v>62532.428330647555</v>
      </c>
      <c r="Y38" s="860">
        <v>66353.857190714451</v>
      </c>
      <c r="Z38" s="860">
        <v>64939.412118889522</v>
      </c>
      <c r="AA38" s="860">
        <v>63864.39791709464</v>
      </c>
      <c r="AB38" s="860">
        <v>63593.125382714221</v>
      </c>
      <c r="AC38" s="860">
        <v>64481.496831433746</v>
      </c>
      <c r="AD38" s="860">
        <v>64110.60065986574</v>
      </c>
      <c r="AE38" s="860">
        <v>65730.906121243199</v>
      </c>
      <c r="AF38" s="860">
        <v>65280.236901480508</v>
      </c>
      <c r="AG38" s="860">
        <v>65676.862132726907</v>
      </c>
      <c r="AH38" s="860">
        <v>66906.022154385428</v>
      </c>
      <c r="AI38" s="860">
        <v>66842.90158330054</v>
      </c>
      <c r="AJ38" s="860">
        <v>68357.010521014541</v>
      </c>
      <c r="AK38" s="860">
        <v>72590.273728604225</v>
      </c>
      <c r="AL38" s="860">
        <v>69262.297322979372</v>
      </c>
      <c r="AM38" s="860">
        <v>69141.640122881799</v>
      </c>
      <c r="AN38" s="861">
        <v>70223.487421129597</v>
      </c>
      <c r="AO38" s="862">
        <v>69288.325926540245</v>
      </c>
      <c r="AP38" s="862">
        <v>68640.225109184379</v>
      </c>
      <c r="AQ38" s="862">
        <v>69791.097934493169</v>
      </c>
      <c r="AR38" s="862">
        <v>71537.524141629081</v>
      </c>
      <c r="AS38" s="862">
        <v>71150.468612791476</v>
      </c>
      <c r="AT38" s="862">
        <v>70983.622027692239</v>
      </c>
      <c r="AU38" s="862">
        <v>70637.275417474797</v>
      </c>
      <c r="AV38" s="862">
        <v>72228.917734073548</v>
      </c>
      <c r="AW38" s="862">
        <v>77054.760249492057</v>
      </c>
      <c r="AX38" s="862">
        <v>76916.547029903682</v>
      </c>
      <c r="AY38" s="862">
        <v>77497.803144210426</v>
      </c>
      <c r="AZ38" s="862">
        <v>75122.92714310126</v>
      </c>
      <c r="BA38" s="862">
        <v>77199.078895513027</v>
      </c>
      <c r="BB38" s="862">
        <v>77877.858771601939</v>
      </c>
      <c r="BC38" s="862">
        <v>77848.121545855945</v>
      </c>
    </row>
    <row r="39" spans="1:57" ht="17.100000000000001" customHeight="1">
      <c r="A39" s="827"/>
      <c r="B39" s="828"/>
      <c r="C39" s="828"/>
      <c r="D39" s="828"/>
      <c r="E39" s="828"/>
      <c r="F39" s="828"/>
      <c r="G39" s="828"/>
      <c r="H39" s="828"/>
      <c r="I39" s="828"/>
      <c r="J39" s="828"/>
      <c r="K39" s="828"/>
      <c r="L39" s="828"/>
      <c r="M39" s="828"/>
      <c r="N39" s="828"/>
      <c r="O39" s="828"/>
      <c r="P39" s="828"/>
      <c r="Q39" s="828"/>
      <c r="R39" s="828"/>
      <c r="S39" s="828"/>
      <c r="T39" s="828"/>
      <c r="U39" s="828"/>
      <c r="V39" s="828"/>
      <c r="W39" s="828"/>
      <c r="X39" s="828"/>
      <c r="Y39" s="828"/>
      <c r="Z39" s="828"/>
      <c r="AA39" s="828"/>
      <c r="AB39" s="828"/>
      <c r="AC39" s="828"/>
      <c r="AD39" s="828"/>
      <c r="AE39" s="828"/>
      <c r="AF39" s="828"/>
      <c r="AG39" s="828"/>
      <c r="AH39" s="828"/>
      <c r="AI39" s="828"/>
      <c r="AJ39" s="828"/>
      <c r="AK39" s="828"/>
      <c r="AL39" s="828"/>
      <c r="AM39" s="828"/>
      <c r="AN39" s="829"/>
      <c r="AO39" s="830"/>
      <c r="AP39" s="830"/>
      <c r="AQ39" s="830"/>
      <c r="AR39" s="830"/>
      <c r="AS39" s="830"/>
      <c r="AT39" s="830"/>
      <c r="AU39" s="830"/>
      <c r="AV39" s="830"/>
      <c r="AW39" s="830"/>
      <c r="AX39" s="830"/>
      <c r="AY39" s="830"/>
      <c r="AZ39" s="830"/>
      <c r="BA39" s="830"/>
      <c r="BB39" s="830"/>
      <c r="BC39" s="830"/>
    </row>
    <row r="40" spans="1:57" ht="17.100000000000001" customHeight="1">
      <c r="A40" s="827" t="s">
        <v>593</v>
      </c>
      <c r="B40" s="828">
        <v>84708.888798928223</v>
      </c>
      <c r="C40" s="828">
        <v>85303.081961723554</v>
      </c>
      <c r="D40" s="828">
        <v>86183.41877644448</v>
      </c>
      <c r="E40" s="828">
        <v>87467.42655853185</v>
      </c>
      <c r="F40" s="828">
        <v>87622.204916083836</v>
      </c>
      <c r="G40" s="828">
        <v>87950.616967074457</v>
      </c>
      <c r="H40" s="828">
        <v>89338.366139071659</v>
      </c>
      <c r="I40" s="859">
        <v>92503.736026057421</v>
      </c>
      <c r="J40" s="828">
        <v>94237.955423521795</v>
      </c>
      <c r="K40" s="828">
        <v>95666.592606090897</v>
      </c>
      <c r="L40" s="828">
        <v>95411.557678932993</v>
      </c>
      <c r="M40" s="828">
        <v>100290.33233481737</v>
      </c>
      <c r="N40" s="828">
        <v>101885.82301106308</v>
      </c>
      <c r="O40" s="828">
        <v>104159.78080644018</v>
      </c>
      <c r="P40" s="828">
        <v>104357.01863046354</v>
      </c>
      <c r="Q40" s="828">
        <v>105855.28348435565</v>
      </c>
      <c r="R40" s="828">
        <v>104309.25120018126</v>
      </c>
      <c r="S40" s="828">
        <v>105302.14385852481</v>
      </c>
      <c r="T40" s="828">
        <v>105778.42652432683</v>
      </c>
      <c r="U40" s="828">
        <v>106245.4148441188</v>
      </c>
      <c r="V40" s="828">
        <v>105948.70098045115</v>
      </c>
      <c r="W40" s="828">
        <v>106885.05937539408</v>
      </c>
      <c r="X40" s="828">
        <v>107202.33582523318</v>
      </c>
      <c r="Y40" s="828">
        <v>111554.9212985452</v>
      </c>
      <c r="Z40" s="828">
        <v>111669.19068124476</v>
      </c>
      <c r="AA40" s="828">
        <v>114121.28884853281</v>
      </c>
      <c r="AB40" s="828">
        <v>115387.87684685792</v>
      </c>
      <c r="AC40" s="828">
        <v>113773.8850952483</v>
      </c>
      <c r="AD40" s="828">
        <v>113843.13760300442</v>
      </c>
      <c r="AE40" s="828">
        <v>115642.36013410815</v>
      </c>
      <c r="AF40" s="828">
        <v>115414.81193544043</v>
      </c>
      <c r="AG40" s="828">
        <v>114561.48606329848</v>
      </c>
      <c r="AH40" s="828">
        <v>115564.07278266887</v>
      </c>
      <c r="AI40" s="828">
        <v>115956.83600753456</v>
      </c>
      <c r="AJ40" s="828">
        <v>117732.53591192998</v>
      </c>
      <c r="AK40" s="828">
        <v>121520.62713277756</v>
      </c>
      <c r="AL40" s="828">
        <v>123525.81852772045</v>
      </c>
      <c r="AM40" s="828">
        <v>125146.59847238859</v>
      </c>
      <c r="AN40" s="829">
        <v>127760.77472187042</v>
      </c>
      <c r="AO40" s="830">
        <v>126985.0239905825</v>
      </c>
      <c r="AP40" s="830">
        <v>128207.22984370649</v>
      </c>
      <c r="AQ40" s="830">
        <v>129766.60506159849</v>
      </c>
      <c r="AR40" s="830">
        <v>130895.67001582403</v>
      </c>
      <c r="AS40" s="830">
        <v>129618.43657458531</v>
      </c>
      <c r="AT40" s="830">
        <v>129655.03571494574</v>
      </c>
      <c r="AU40" s="830">
        <v>129449.25741223895</v>
      </c>
      <c r="AV40" s="830">
        <v>130690.80930362914</v>
      </c>
      <c r="AW40" s="830">
        <v>134558.46119208238</v>
      </c>
      <c r="AX40" s="830">
        <v>136638.89372577387</v>
      </c>
      <c r="AY40" s="830">
        <v>138671.19852711965</v>
      </c>
      <c r="AZ40" s="830">
        <v>140679.7779494655</v>
      </c>
      <c r="BA40" s="830">
        <v>140050.51378952517</v>
      </c>
      <c r="BB40" s="830">
        <v>140202.23101607966</v>
      </c>
      <c r="BC40" s="830">
        <v>142458.85179460078</v>
      </c>
    </row>
    <row r="41" spans="1:57" ht="17.100000000000001" customHeight="1">
      <c r="A41" s="827" t="s">
        <v>594</v>
      </c>
      <c r="B41" s="828">
        <v>88033.919707852503</v>
      </c>
      <c r="C41" s="828">
        <v>87595.597272252911</v>
      </c>
      <c r="D41" s="828">
        <v>87094.575146037823</v>
      </c>
      <c r="E41" s="828">
        <v>87872.56928867074</v>
      </c>
      <c r="F41" s="828">
        <v>88604.328410649949</v>
      </c>
      <c r="G41" s="828">
        <v>89196.648900156899</v>
      </c>
      <c r="H41" s="828">
        <v>89163.007720999783</v>
      </c>
      <c r="I41" s="859">
        <v>87779.088912985782</v>
      </c>
      <c r="J41" s="828">
        <v>88659.528460428715</v>
      </c>
      <c r="K41" s="828">
        <v>89551.32666992642</v>
      </c>
      <c r="L41" s="828">
        <v>91012.691122724966</v>
      </c>
      <c r="M41" s="828">
        <v>90503.081980320552</v>
      </c>
      <c r="N41" s="828">
        <v>89169.964147685227</v>
      </c>
      <c r="O41" s="828">
        <v>88125.847609521763</v>
      </c>
      <c r="P41" s="828">
        <v>87777.048754055402</v>
      </c>
      <c r="Q41" s="828">
        <v>88198.588928961952</v>
      </c>
      <c r="R41" s="828">
        <v>88997.791558121171</v>
      </c>
      <c r="S41" s="828">
        <v>91228.686807754842</v>
      </c>
      <c r="T41" s="828">
        <v>91653.49063992119</v>
      </c>
      <c r="U41" s="828">
        <v>92535.865377640628</v>
      </c>
      <c r="V41" s="828">
        <v>93687.733545954165</v>
      </c>
      <c r="W41" s="828">
        <v>94068.676403494406</v>
      </c>
      <c r="X41" s="828">
        <v>94931.147408340825</v>
      </c>
      <c r="Y41" s="828">
        <v>94750.387628322438</v>
      </c>
      <c r="Z41" s="828">
        <v>93675.025632091143</v>
      </c>
      <c r="AA41" s="828">
        <v>92212.211434556506</v>
      </c>
      <c r="AB41" s="828">
        <v>94183.027712675277</v>
      </c>
      <c r="AC41" s="828">
        <v>94539.531721276056</v>
      </c>
      <c r="AD41" s="828">
        <v>96150.059688464884</v>
      </c>
      <c r="AE41" s="828">
        <v>95448.901969766099</v>
      </c>
      <c r="AF41" s="828">
        <v>97784.541182805726</v>
      </c>
      <c r="AG41" s="828">
        <v>99221.192270834857</v>
      </c>
      <c r="AH41" s="828">
        <v>99581.321830339715</v>
      </c>
      <c r="AI41" s="828">
        <v>102142.8821188071</v>
      </c>
      <c r="AJ41" s="828">
        <v>100385.83658792941</v>
      </c>
      <c r="AK41" s="828">
        <v>101759.47061146743</v>
      </c>
      <c r="AL41" s="828">
        <v>100351.94119757833</v>
      </c>
      <c r="AM41" s="828">
        <v>101899.09077410959</v>
      </c>
      <c r="AN41" s="829">
        <v>100349.11264163053</v>
      </c>
      <c r="AO41" s="830">
        <v>100008.29948157554</v>
      </c>
      <c r="AP41" s="830">
        <v>99526.974884931988</v>
      </c>
      <c r="AQ41" s="830">
        <v>100691.16624490175</v>
      </c>
      <c r="AR41" s="830">
        <v>99555.673894470136</v>
      </c>
      <c r="AS41" s="830">
        <v>99439.284949562032</v>
      </c>
      <c r="AT41" s="830">
        <v>98963.382581244732</v>
      </c>
      <c r="AU41" s="830">
        <v>101742.58586138851</v>
      </c>
      <c r="AV41" s="830">
        <v>102545.55073009052</v>
      </c>
      <c r="AW41" s="830">
        <v>103943.39869986512</v>
      </c>
      <c r="AX41" s="830">
        <v>102012.35656845158</v>
      </c>
      <c r="AY41" s="864">
        <v>102831.27191880395</v>
      </c>
      <c r="AZ41" s="864">
        <v>104062.41104694171</v>
      </c>
      <c r="BA41" s="864">
        <v>104079.78658560679</v>
      </c>
      <c r="BB41" s="864">
        <v>104499.25590228116</v>
      </c>
      <c r="BC41" s="864">
        <v>105404.2805823214</v>
      </c>
    </row>
    <row r="42" spans="1:57" ht="17.100000000000001" customHeight="1">
      <c r="A42" s="827" t="s">
        <v>595</v>
      </c>
      <c r="B42" s="828">
        <v>49258.417869002995</v>
      </c>
      <c r="C42" s="828">
        <v>49905.241202386365</v>
      </c>
      <c r="D42" s="828">
        <v>49779.150295192965</v>
      </c>
      <c r="E42" s="828">
        <v>49131.780081597477</v>
      </c>
      <c r="F42" s="828">
        <v>50539.372975817263</v>
      </c>
      <c r="G42" s="828">
        <v>50361.996650153487</v>
      </c>
      <c r="H42" s="828">
        <v>44743.141953190068</v>
      </c>
      <c r="I42" s="828">
        <v>45147.25922715092</v>
      </c>
      <c r="J42" s="828">
        <v>42969.561303465794</v>
      </c>
      <c r="K42" s="828">
        <v>45005.639883146825</v>
      </c>
      <c r="L42" s="828">
        <v>42706.567911581544</v>
      </c>
      <c r="M42" s="828">
        <v>46093.510639780267</v>
      </c>
      <c r="N42" s="828">
        <v>46222.822685739731</v>
      </c>
      <c r="O42" s="828">
        <v>45556.667818897025</v>
      </c>
      <c r="P42" s="828">
        <v>45602.971516696918</v>
      </c>
      <c r="Q42" s="828">
        <v>43989.544810661188</v>
      </c>
      <c r="R42" s="828">
        <v>44707.07878920075</v>
      </c>
      <c r="S42" s="828">
        <v>47361.864365966161</v>
      </c>
      <c r="T42" s="828">
        <v>45288.935946662117</v>
      </c>
      <c r="U42" s="828">
        <v>46432.023247352321</v>
      </c>
      <c r="V42" s="828">
        <v>45321.233268820164</v>
      </c>
      <c r="W42" s="828">
        <v>44389.668231614007</v>
      </c>
      <c r="X42" s="828">
        <v>46041.537606656202</v>
      </c>
      <c r="Y42" s="828">
        <v>44915.655954230228</v>
      </c>
      <c r="Z42" s="828">
        <v>45906.481258167805</v>
      </c>
      <c r="AA42" s="828">
        <v>46117.66667465643</v>
      </c>
      <c r="AB42" s="828">
        <v>45858.158939868867</v>
      </c>
      <c r="AC42" s="828">
        <v>46456.39775397937</v>
      </c>
      <c r="AD42" s="828">
        <v>48041.084759244921</v>
      </c>
      <c r="AE42" s="828">
        <v>49153.52088637487</v>
      </c>
      <c r="AF42" s="828">
        <v>48457.25725118519</v>
      </c>
      <c r="AG42" s="828">
        <v>47899.374725031601</v>
      </c>
      <c r="AH42" s="828">
        <v>47397.612288635704</v>
      </c>
      <c r="AI42" s="828">
        <v>47694.246768833138</v>
      </c>
      <c r="AJ42" s="828">
        <v>48291.393876379254</v>
      </c>
      <c r="AK42" s="828">
        <v>47772.507396118992</v>
      </c>
      <c r="AL42" s="828">
        <v>45506.419963024957</v>
      </c>
      <c r="AM42" s="828">
        <v>46287.896830036152</v>
      </c>
      <c r="AN42" s="829">
        <v>46463.585651167188</v>
      </c>
      <c r="AO42" s="830">
        <v>46539.872584008735</v>
      </c>
      <c r="AP42" s="830">
        <v>46337.875197026187</v>
      </c>
      <c r="AQ42" s="830">
        <v>47161.210554011886</v>
      </c>
      <c r="AR42" s="830">
        <v>47150.602516379113</v>
      </c>
      <c r="AS42" s="830">
        <v>47013.13650286763</v>
      </c>
      <c r="AT42" s="830">
        <v>47022.230253048561</v>
      </c>
      <c r="AU42" s="830">
        <v>44147.299385365928</v>
      </c>
      <c r="AV42" s="830">
        <v>45419.880797838174</v>
      </c>
      <c r="AW42" s="830">
        <v>46983.121383490296</v>
      </c>
      <c r="AX42" s="830">
        <v>46583.095612842248</v>
      </c>
      <c r="AY42" s="830">
        <v>47272.030599815611</v>
      </c>
      <c r="AZ42" s="830">
        <v>48999.81841010847</v>
      </c>
      <c r="BA42" s="830">
        <v>48506.955713392825</v>
      </c>
      <c r="BB42" s="830">
        <v>48613.576642963882</v>
      </c>
      <c r="BC42" s="830">
        <v>49517.590865498278</v>
      </c>
    </row>
    <row r="43" spans="1:57" s="863" customFormat="1" ht="17.100000000000001" customHeight="1">
      <c r="A43" s="836" t="s">
        <v>596</v>
      </c>
      <c r="B43" s="860">
        <v>222001.22637578371</v>
      </c>
      <c r="C43" s="860">
        <v>222803.92043636282</v>
      </c>
      <c r="D43" s="860">
        <v>223057.14421767526</v>
      </c>
      <c r="E43" s="860">
        <v>224471.77592880008</v>
      </c>
      <c r="F43" s="860">
        <v>226765.90630255107</v>
      </c>
      <c r="G43" s="860">
        <v>227509.26251738484</v>
      </c>
      <c r="H43" s="860">
        <v>223244.5158132615</v>
      </c>
      <c r="I43" s="860">
        <v>225430.08416619414</v>
      </c>
      <c r="J43" s="860">
        <v>225867.04518741631</v>
      </c>
      <c r="K43" s="860">
        <v>230223.55915916414</v>
      </c>
      <c r="L43" s="860">
        <v>229130.8167132395</v>
      </c>
      <c r="M43" s="860">
        <v>236886.92495491818</v>
      </c>
      <c r="N43" s="860">
        <v>237278.60984448803</v>
      </c>
      <c r="O43" s="860">
        <v>237842.29623485895</v>
      </c>
      <c r="P43" s="860">
        <v>237737.03890121586</v>
      </c>
      <c r="Q43" s="860">
        <v>238043.41722397879</v>
      </c>
      <c r="R43" s="860">
        <v>238014.12154750316</v>
      </c>
      <c r="S43" s="860">
        <v>243892.69503224583</v>
      </c>
      <c r="T43" s="860">
        <v>242720.85311091013</v>
      </c>
      <c r="U43" s="860">
        <v>245213.30346911174</v>
      </c>
      <c r="V43" s="860">
        <v>244957.66779522545</v>
      </c>
      <c r="W43" s="860">
        <v>245343.40401050251</v>
      </c>
      <c r="X43" s="860">
        <v>248175.02084023022</v>
      </c>
      <c r="Y43" s="860">
        <v>251220.96488109787</v>
      </c>
      <c r="Z43" s="860">
        <v>251250.6975715037</v>
      </c>
      <c r="AA43" s="860">
        <v>252451.16695774574</v>
      </c>
      <c r="AB43" s="860">
        <v>255429.06349940208</v>
      </c>
      <c r="AC43" s="860">
        <v>254769.81457050372</v>
      </c>
      <c r="AD43" s="860">
        <v>258034.28205071425</v>
      </c>
      <c r="AE43" s="860">
        <v>260244.78299024911</v>
      </c>
      <c r="AF43" s="860">
        <v>261656.61036943135</v>
      </c>
      <c r="AG43" s="860">
        <v>261682.05305916496</v>
      </c>
      <c r="AH43" s="860">
        <v>262543.00690164429</v>
      </c>
      <c r="AI43" s="860">
        <v>265793.96489517478</v>
      </c>
      <c r="AJ43" s="860">
        <v>266409.76637623867</v>
      </c>
      <c r="AK43" s="860">
        <v>271052.60514036397</v>
      </c>
      <c r="AL43" s="860">
        <v>269384.17968832375</v>
      </c>
      <c r="AM43" s="860">
        <v>273333.58607653429</v>
      </c>
      <c r="AN43" s="861">
        <v>274573.47301466815</v>
      </c>
      <c r="AO43" s="862">
        <v>273533.19605616678</v>
      </c>
      <c r="AP43" s="862">
        <v>274072.07992566464</v>
      </c>
      <c r="AQ43" s="862">
        <v>277618.98186051211</v>
      </c>
      <c r="AR43" s="862">
        <v>277601.94642667327</v>
      </c>
      <c r="AS43" s="862">
        <v>276070.858027015</v>
      </c>
      <c r="AT43" s="862">
        <v>275640.64854923903</v>
      </c>
      <c r="AU43" s="862">
        <v>275339.14265899337</v>
      </c>
      <c r="AV43" s="862">
        <v>278656.24083155784</v>
      </c>
      <c r="AW43" s="862">
        <v>285484.98127543781</v>
      </c>
      <c r="AX43" s="862">
        <v>285234.34590706771</v>
      </c>
      <c r="AY43" s="862">
        <v>288774.50104573922</v>
      </c>
      <c r="AZ43" s="862">
        <v>293742.00740651565</v>
      </c>
      <c r="BA43" s="862">
        <v>292637.25608852477</v>
      </c>
      <c r="BB43" s="862">
        <v>293315.06356132467</v>
      </c>
      <c r="BC43" s="862">
        <v>297380.72324242047</v>
      </c>
      <c r="BE43" s="865"/>
    </row>
    <row r="44" spans="1:57" ht="17.100000000000001" customHeight="1">
      <c r="A44" s="841"/>
      <c r="B44" s="828"/>
      <c r="C44" s="828"/>
      <c r="D44" s="828"/>
      <c r="E44" s="828"/>
      <c r="F44" s="828"/>
      <c r="G44" s="828"/>
      <c r="H44" s="828"/>
      <c r="I44" s="828"/>
      <c r="J44" s="828"/>
      <c r="K44" s="828"/>
      <c r="L44" s="828"/>
      <c r="M44" s="828"/>
      <c r="N44" s="828"/>
      <c r="O44" s="828"/>
      <c r="P44" s="828"/>
      <c r="Q44" s="828"/>
      <c r="R44" s="828"/>
      <c r="S44" s="828"/>
      <c r="T44" s="828"/>
      <c r="U44" s="828"/>
      <c r="V44" s="828"/>
      <c r="W44" s="828"/>
      <c r="X44" s="828"/>
      <c r="Y44" s="828"/>
      <c r="Z44" s="828"/>
      <c r="AA44" s="828"/>
      <c r="AB44" s="828"/>
      <c r="AC44" s="828"/>
      <c r="AD44" s="828"/>
      <c r="AE44" s="828"/>
      <c r="AF44" s="828"/>
      <c r="AG44" s="828"/>
      <c r="AH44" s="828"/>
      <c r="AI44" s="828"/>
      <c r="AJ44" s="828"/>
      <c r="AK44" s="828"/>
      <c r="AL44" s="828"/>
      <c r="AM44" s="828"/>
      <c r="AN44" s="829"/>
      <c r="AO44" s="830"/>
      <c r="AP44" s="830"/>
      <c r="AQ44" s="830"/>
      <c r="AR44" s="830"/>
      <c r="AS44" s="830"/>
      <c r="AT44" s="830"/>
      <c r="AU44" s="830"/>
      <c r="AV44" s="830"/>
      <c r="AW44" s="830"/>
      <c r="AX44" s="830"/>
      <c r="AY44" s="830"/>
      <c r="AZ44" s="830"/>
      <c r="BA44" s="830"/>
      <c r="BB44" s="830"/>
      <c r="BC44" s="830"/>
    </row>
    <row r="45" spans="1:57" s="863" customFormat="1" ht="17.100000000000001" customHeight="1">
      <c r="A45" s="866" t="s">
        <v>597</v>
      </c>
      <c r="B45" s="860">
        <v>783.64372534999995</v>
      </c>
      <c r="C45" s="860">
        <v>795.03426162999995</v>
      </c>
      <c r="D45" s="860">
        <v>806.36142286999996</v>
      </c>
      <c r="E45" s="860">
        <v>817.11920386999998</v>
      </c>
      <c r="F45" s="860">
        <v>829.69099342999993</v>
      </c>
      <c r="G45" s="860">
        <v>841.75958768999999</v>
      </c>
      <c r="H45" s="860">
        <v>841.34192214999996</v>
      </c>
      <c r="I45" s="860">
        <v>1154.4623700399998</v>
      </c>
      <c r="J45" s="860">
        <v>1363.0654015</v>
      </c>
      <c r="K45" s="860">
        <v>1373.6286405800001</v>
      </c>
      <c r="L45" s="860">
        <v>1384.20574319</v>
      </c>
      <c r="M45" s="860">
        <v>1369.3863073</v>
      </c>
      <c r="N45" s="860">
        <v>1426.2743159300001</v>
      </c>
      <c r="O45" s="860">
        <v>1476.03948885</v>
      </c>
      <c r="P45" s="860">
        <v>1630.0385137999997</v>
      </c>
      <c r="Q45" s="860">
        <v>1689.9994090199998</v>
      </c>
      <c r="R45" s="860">
        <v>1899.85599727</v>
      </c>
      <c r="S45" s="860">
        <v>2063.3104229999999</v>
      </c>
      <c r="T45" s="860">
        <v>2372.3748750300001</v>
      </c>
      <c r="U45" s="860">
        <v>2306.47121625</v>
      </c>
      <c r="V45" s="860">
        <v>2056.6709448299998</v>
      </c>
      <c r="W45" s="860">
        <v>2116.2009389599998</v>
      </c>
      <c r="X45" s="860">
        <v>2051.2235128499997</v>
      </c>
      <c r="Y45" s="860">
        <v>1961.8478761899999</v>
      </c>
      <c r="Z45" s="860">
        <v>1984.6860037900001</v>
      </c>
      <c r="AA45" s="860">
        <v>1995.9486257499998</v>
      </c>
      <c r="AB45" s="860">
        <v>2005.9441404300003</v>
      </c>
      <c r="AC45" s="860">
        <v>1992.1532479099997</v>
      </c>
      <c r="AD45" s="860">
        <v>1849.5591248699998</v>
      </c>
      <c r="AE45" s="860">
        <v>1875.3351060299997</v>
      </c>
      <c r="AF45" s="860">
        <v>1936.5029719600002</v>
      </c>
      <c r="AG45" s="860">
        <v>1851.673110803793</v>
      </c>
      <c r="AH45" s="860">
        <v>1814.6462352099998</v>
      </c>
      <c r="AI45" s="860">
        <v>1721.5765366799997</v>
      </c>
      <c r="AJ45" s="860">
        <v>1805.74863611</v>
      </c>
      <c r="AK45" s="860">
        <v>1974.3166444399999</v>
      </c>
      <c r="AL45" s="860">
        <v>2262.4435178399999</v>
      </c>
      <c r="AM45" s="860">
        <v>2351.3082030999999</v>
      </c>
      <c r="AN45" s="861">
        <v>3448.7304686399993</v>
      </c>
      <c r="AO45" s="862">
        <v>3743.5864957599997</v>
      </c>
      <c r="AP45" s="862">
        <v>3999.3408676136651</v>
      </c>
      <c r="AQ45" s="862">
        <v>3965.7390630241857</v>
      </c>
      <c r="AR45" s="862">
        <v>3805.2291209016812</v>
      </c>
      <c r="AS45" s="862">
        <v>4196.5119901589333</v>
      </c>
      <c r="AT45" s="862">
        <v>3873.9655759735083</v>
      </c>
      <c r="AU45" s="862">
        <v>3834.4420223342331</v>
      </c>
      <c r="AV45" s="862">
        <v>3807.9246632170971</v>
      </c>
      <c r="AW45" s="862">
        <v>3068.9962040941982</v>
      </c>
      <c r="AX45" s="862">
        <v>2829.7994003941976</v>
      </c>
      <c r="AY45" s="862">
        <v>2794.3926927264838</v>
      </c>
      <c r="AZ45" s="862">
        <v>2913.4585715098992</v>
      </c>
      <c r="BA45" s="862">
        <v>2839.1386935717792</v>
      </c>
      <c r="BB45" s="862">
        <v>3255.5148564524297</v>
      </c>
      <c r="BC45" s="862">
        <v>3227.4135863002011</v>
      </c>
    </row>
    <row r="46" spans="1:57" ht="17.100000000000001" customHeight="1">
      <c r="A46" s="841"/>
      <c r="B46" s="828"/>
      <c r="C46" s="828"/>
      <c r="D46" s="828"/>
      <c r="E46" s="828"/>
      <c r="F46" s="828"/>
      <c r="G46" s="828"/>
      <c r="H46" s="828"/>
      <c r="I46" s="828"/>
      <c r="J46" s="828"/>
      <c r="K46" s="828"/>
      <c r="L46" s="828"/>
      <c r="M46" s="828"/>
      <c r="N46" s="828"/>
      <c r="O46" s="828"/>
      <c r="P46" s="828"/>
      <c r="Q46" s="828"/>
      <c r="R46" s="828"/>
      <c r="S46" s="828"/>
      <c r="T46" s="828"/>
      <c r="U46" s="828"/>
      <c r="V46" s="828"/>
      <c r="W46" s="828"/>
      <c r="X46" s="828"/>
      <c r="Y46" s="828"/>
      <c r="Z46" s="828"/>
      <c r="AA46" s="828"/>
      <c r="AB46" s="828"/>
      <c r="AC46" s="828"/>
      <c r="AD46" s="828"/>
      <c r="AE46" s="828"/>
      <c r="AF46" s="828"/>
      <c r="AG46" s="828"/>
      <c r="AH46" s="828"/>
      <c r="AI46" s="828"/>
      <c r="AJ46" s="828"/>
      <c r="AK46" s="828"/>
      <c r="AL46" s="828"/>
      <c r="AM46" s="828"/>
      <c r="AN46" s="829"/>
      <c r="AO46" s="830"/>
      <c r="AP46" s="830"/>
      <c r="AQ46" s="830"/>
      <c r="AR46" s="830"/>
      <c r="AS46" s="830"/>
      <c r="AT46" s="830"/>
      <c r="AU46" s="830"/>
      <c r="AV46" s="830"/>
      <c r="AW46" s="830"/>
      <c r="AX46" s="830"/>
      <c r="AY46" s="830"/>
      <c r="AZ46" s="830"/>
      <c r="BA46" s="830"/>
      <c r="BB46" s="830"/>
      <c r="BC46" s="830"/>
    </row>
    <row r="47" spans="1:57" ht="17.100000000000001" customHeight="1">
      <c r="A47" s="867" t="s">
        <v>598</v>
      </c>
      <c r="B47" s="837">
        <v>279735.10531540605</v>
      </c>
      <c r="C47" s="837">
        <v>280832.71616430732</v>
      </c>
      <c r="D47" s="837">
        <v>281427.58380275633</v>
      </c>
      <c r="E47" s="837">
        <v>282053.88717788772</v>
      </c>
      <c r="F47" s="837">
        <v>286161.75081736082</v>
      </c>
      <c r="G47" s="837">
        <v>286852.74157677876</v>
      </c>
      <c r="H47" s="837">
        <v>281980.74913940526</v>
      </c>
      <c r="I47" s="837">
        <v>282105.32767522556</v>
      </c>
      <c r="J47" s="837">
        <v>283581.44315563818</v>
      </c>
      <c r="K47" s="837">
        <v>287418.95498439157</v>
      </c>
      <c r="L47" s="837">
        <v>288135.77511421102</v>
      </c>
      <c r="M47" s="837">
        <v>300231.38741758827</v>
      </c>
      <c r="N47" s="837">
        <v>298556.62578708358</v>
      </c>
      <c r="O47" s="837">
        <v>298369.33004481444</v>
      </c>
      <c r="P47" s="837">
        <v>298155.4975326315</v>
      </c>
      <c r="Q47" s="837">
        <v>299059.78403224458</v>
      </c>
      <c r="R47" s="837">
        <v>299494.6394816144</v>
      </c>
      <c r="S47" s="837">
        <v>306227.71741607366</v>
      </c>
      <c r="T47" s="837">
        <v>305393.34314475313</v>
      </c>
      <c r="U47" s="837">
        <v>308770.06989294139</v>
      </c>
      <c r="V47" s="837">
        <v>309120.82380339789</v>
      </c>
      <c r="W47" s="837">
        <v>309586.03971583769</v>
      </c>
      <c r="X47" s="837">
        <v>312758.67268372781</v>
      </c>
      <c r="Y47" s="837">
        <v>319536.66994800232</v>
      </c>
      <c r="Z47" s="837">
        <v>318174.79569418321</v>
      </c>
      <c r="AA47" s="837">
        <v>318311.5135005904</v>
      </c>
      <c r="AB47" s="837">
        <v>321028.1330225463</v>
      </c>
      <c r="AC47" s="837">
        <v>321243.46464984748</v>
      </c>
      <c r="AD47" s="837">
        <v>323994.44183545001</v>
      </c>
      <c r="AE47" s="837">
        <v>327851.0242175223</v>
      </c>
      <c r="AF47" s="837">
        <v>328873.35024287185</v>
      </c>
      <c r="AG47" s="837">
        <v>329210.58830269566</v>
      </c>
      <c r="AH47" s="837">
        <v>331263.67529123975</v>
      </c>
      <c r="AI47" s="837">
        <v>334358.44301515532</v>
      </c>
      <c r="AJ47" s="837">
        <v>336572.52553336322</v>
      </c>
      <c r="AK47" s="837">
        <v>345617.19551340822</v>
      </c>
      <c r="AL47" s="837">
        <v>340908.92052914313</v>
      </c>
      <c r="AM47" s="837">
        <v>344826.53440251609</v>
      </c>
      <c r="AN47" s="838">
        <v>348245.69090443774</v>
      </c>
      <c r="AO47" s="839">
        <v>346565.10847846704</v>
      </c>
      <c r="AP47" s="839">
        <v>346711.64590246271</v>
      </c>
      <c r="AQ47" s="839">
        <v>351375.81885802944</v>
      </c>
      <c r="AR47" s="839">
        <v>352944.69968920399</v>
      </c>
      <c r="AS47" s="839">
        <v>351417.83862996544</v>
      </c>
      <c r="AT47" s="839">
        <v>350499.23615290481</v>
      </c>
      <c r="AU47" s="839">
        <v>349810.86009880243</v>
      </c>
      <c r="AV47" s="839">
        <v>354693.08322884847</v>
      </c>
      <c r="AW47" s="839">
        <v>365608.73772902408</v>
      </c>
      <c r="AX47" s="839">
        <v>364980.69233736559</v>
      </c>
      <c r="AY47" s="839">
        <v>369066.6968826761</v>
      </c>
      <c r="AZ47" s="839">
        <v>371778.39312112681</v>
      </c>
      <c r="BA47" s="839">
        <v>372675.47367760958</v>
      </c>
      <c r="BB47" s="839">
        <v>374448.43718937901</v>
      </c>
      <c r="BC47" s="839">
        <v>378456.25837457663</v>
      </c>
      <c r="BD47" s="831"/>
    </row>
    <row r="48" spans="1:57" ht="17.100000000000001" customHeight="1" thickBot="1">
      <c r="A48" s="841"/>
      <c r="B48" s="828"/>
      <c r="C48" s="828"/>
      <c r="D48" s="828"/>
      <c r="E48" s="828"/>
      <c r="F48" s="828"/>
      <c r="G48" s="828"/>
      <c r="H48" s="828"/>
      <c r="I48" s="828"/>
      <c r="J48" s="828"/>
      <c r="K48" s="828"/>
      <c r="L48" s="828"/>
      <c r="M48" s="828"/>
      <c r="N48" s="828"/>
      <c r="O48" s="828"/>
      <c r="P48" s="828"/>
      <c r="Q48" s="828"/>
      <c r="R48" s="828"/>
      <c r="S48" s="828"/>
      <c r="T48" s="828"/>
      <c r="U48" s="828"/>
      <c r="V48" s="828"/>
      <c r="W48" s="828"/>
      <c r="X48" s="826"/>
      <c r="Y48" s="826"/>
      <c r="Z48" s="826"/>
      <c r="AA48" s="826"/>
      <c r="AB48" s="826"/>
      <c r="AC48" s="826"/>
      <c r="AD48" s="826"/>
      <c r="AE48" s="826"/>
      <c r="AF48" s="826"/>
      <c r="AG48" s="826"/>
      <c r="AH48" s="826"/>
      <c r="AI48" s="826"/>
      <c r="AJ48" s="826"/>
      <c r="AK48" s="826"/>
      <c r="AL48" s="826"/>
      <c r="AM48" s="826"/>
      <c r="AN48" s="868"/>
      <c r="AO48" s="868"/>
      <c r="AP48" s="868"/>
      <c r="AQ48" s="868"/>
      <c r="AR48" s="868"/>
      <c r="AS48" s="868"/>
      <c r="AT48" s="868"/>
      <c r="AU48" s="868"/>
      <c r="AV48" s="868"/>
      <c r="AW48" s="868"/>
      <c r="AX48" s="868"/>
      <c r="AY48" s="868"/>
      <c r="AZ48" s="868"/>
      <c r="BA48" s="868"/>
      <c r="BB48" s="868"/>
      <c r="BC48" s="868"/>
    </row>
    <row r="49" spans="1:55" ht="17.100000000000001" customHeight="1" thickTop="1" thickBot="1">
      <c r="A49" s="822" t="s">
        <v>599</v>
      </c>
      <c r="B49" s="842"/>
      <c r="C49" s="842"/>
      <c r="D49" s="842"/>
      <c r="E49" s="842"/>
      <c r="F49" s="842"/>
      <c r="G49" s="842"/>
      <c r="H49" s="842"/>
      <c r="I49" s="842"/>
      <c r="J49" s="842"/>
      <c r="K49" s="842"/>
      <c r="L49" s="842"/>
      <c r="M49" s="842"/>
      <c r="N49" s="842"/>
      <c r="O49" s="842"/>
      <c r="P49" s="842"/>
      <c r="Q49" s="842"/>
      <c r="R49" s="842"/>
      <c r="S49" s="842"/>
      <c r="T49" s="842"/>
      <c r="U49" s="842"/>
      <c r="V49" s="842"/>
      <c r="W49" s="842"/>
      <c r="X49" s="842"/>
      <c r="Y49" s="842"/>
      <c r="Z49" s="842"/>
      <c r="AA49" s="842"/>
      <c r="AB49" s="842"/>
      <c r="AC49" s="842"/>
      <c r="AD49" s="842"/>
      <c r="AE49" s="842"/>
      <c r="AF49" s="842"/>
      <c r="AG49" s="842"/>
      <c r="AH49" s="842"/>
      <c r="AI49" s="842"/>
      <c r="AJ49" s="842"/>
      <c r="AK49" s="842"/>
      <c r="AL49" s="842"/>
      <c r="AM49" s="842"/>
      <c r="AN49" s="843"/>
      <c r="AO49" s="843"/>
      <c r="AP49" s="843"/>
      <c r="AQ49" s="843"/>
      <c r="AR49" s="843"/>
      <c r="AS49" s="843"/>
      <c r="AT49" s="843"/>
      <c r="AU49" s="843"/>
      <c r="AV49" s="843"/>
      <c r="AW49" s="843"/>
      <c r="AX49" s="843"/>
      <c r="AY49" s="843"/>
      <c r="AZ49" s="843"/>
      <c r="BA49" s="843"/>
      <c r="BB49" s="843"/>
      <c r="BC49" s="843"/>
    </row>
    <row r="50" spans="1:55" ht="17.100000000000001" customHeight="1" thickTop="1">
      <c r="A50" s="841"/>
      <c r="B50" s="828"/>
      <c r="C50" s="828"/>
      <c r="D50" s="828"/>
      <c r="E50" s="828"/>
      <c r="F50" s="828"/>
      <c r="G50" s="828"/>
      <c r="H50" s="828"/>
      <c r="I50" s="828"/>
      <c r="J50" s="828"/>
      <c r="K50" s="828"/>
      <c r="L50" s="828"/>
      <c r="M50" s="828"/>
      <c r="N50" s="828"/>
      <c r="O50" s="828"/>
      <c r="P50" s="828"/>
      <c r="Q50" s="828"/>
      <c r="R50" s="828"/>
      <c r="S50" s="828"/>
      <c r="T50" s="828"/>
      <c r="U50" s="828"/>
      <c r="V50" s="828"/>
      <c r="W50" s="828"/>
      <c r="X50" s="826"/>
      <c r="Y50" s="826"/>
      <c r="Z50" s="826"/>
      <c r="AA50" s="826"/>
      <c r="AB50" s="826"/>
      <c r="AC50" s="826"/>
      <c r="AD50" s="826"/>
      <c r="AE50" s="826"/>
      <c r="AF50" s="826"/>
      <c r="AG50" s="826"/>
      <c r="AH50" s="826"/>
      <c r="AI50" s="826"/>
      <c r="AJ50" s="826"/>
      <c r="AK50" s="826"/>
      <c r="AL50" s="826"/>
      <c r="AM50" s="826"/>
      <c r="AN50" s="868"/>
      <c r="AO50" s="868"/>
      <c r="AP50" s="868"/>
      <c r="AQ50" s="868"/>
      <c r="AR50" s="868"/>
      <c r="AS50" s="868"/>
      <c r="AT50" s="868"/>
      <c r="AU50" s="868"/>
      <c r="AV50" s="868"/>
      <c r="AW50" s="868"/>
      <c r="AX50" s="868"/>
      <c r="AY50" s="868"/>
      <c r="AZ50" s="868"/>
      <c r="BA50" s="868"/>
      <c r="BB50" s="868"/>
      <c r="BC50" s="868"/>
    </row>
    <row r="51" spans="1:55" s="840" customFormat="1" ht="17.100000000000001" customHeight="1">
      <c r="A51" s="836" t="s">
        <v>600</v>
      </c>
      <c r="B51" s="837">
        <v>355837.03116140142</v>
      </c>
      <c r="C51" s="837">
        <v>360605.04953497002</v>
      </c>
      <c r="D51" s="837">
        <v>364782.59790840576</v>
      </c>
      <c r="E51" s="837">
        <v>347836.52930073522</v>
      </c>
      <c r="F51" s="837">
        <v>398474.36596555047</v>
      </c>
      <c r="G51" s="837">
        <v>389200.51288481901</v>
      </c>
      <c r="H51" s="837">
        <v>349996.3624868911</v>
      </c>
      <c r="I51" s="837">
        <v>374559.74357372645</v>
      </c>
      <c r="J51" s="837">
        <v>374311.56619276927</v>
      </c>
      <c r="K51" s="837">
        <v>375558.95299317496</v>
      </c>
      <c r="L51" s="837">
        <v>387400.46029459569</v>
      </c>
      <c r="M51" s="837">
        <v>396025.74941314518</v>
      </c>
      <c r="N51" s="837">
        <v>397868.12297975575</v>
      </c>
      <c r="O51" s="837">
        <v>391740.02392533398</v>
      </c>
      <c r="P51" s="837">
        <v>362731.64003700012</v>
      </c>
      <c r="Q51" s="837">
        <v>376961.4054074281</v>
      </c>
      <c r="R51" s="837">
        <v>368985.7930979958</v>
      </c>
      <c r="S51" s="837">
        <v>398640.04925210675</v>
      </c>
      <c r="T51" s="837">
        <v>384262.82808588771</v>
      </c>
      <c r="U51" s="837">
        <v>367127.2188200822</v>
      </c>
      <c r="V51" s="837">
        <v>372146.50669052522</v>
      </c>
      <c r="W51" s="837">
        <v>373804.4944400455</v>
      </c>
      <c r="X51" s="837">
        <v>424939.29194978258</v>
      </c>
      <c r="Y51" s="837">
        <v>370755.11539752875</v>
      </c>
      <c r="Z51" s="837">
        <v>348029.36244730791</v>
      </c>
      <c r="AA51" s="837">
        <v>354708.02445732517</v>
      </c>
      <c r="AB51" s="837">
        <v>400460.72834256146</v>
      </c>
      <c r="AC51" s="837">
        <v>400880.36506270594</v>
      </c>
      <c r="AD51" s="837">
        <v>418934.88927327795</v>
      </c>
      <c r="AE51" s="837">
        <v>358615.76786022121</v>
      </c>
      <c r="AF51" s="837">
        <v>391317.48373264499</v>
      </c>
      <c r="AG51" s="837">
        <v>349407.08494980849</v>
      </c>
      <c r="AH51" s="837">
        <v>374495.66562962084</v>
      </c>
      <c r="AI51" s="837">
        <v>394291.12349107303</v>
      </c>
      <c r="AJ51" s="837">
        <v>396660.75575007964</v>
      </c>
      <c r="AK51" s="837">
        <v>401320.90685726883</v>
      </c>
      <c r="AL51" s="837">
        <v>425209.26168858795</v>
      </c>
      <c r="AM51" s="837">
        <v>371958.7623117551</v>
      </c>
      <c r="AN51" s="838">
        <v>396287.8725248843</v>
      </c>
      <c r="AO51" s="839">
        <v>406538.14793432248</v>
      </c>
      <c r="AP51" s="839">
        <v>439271.34989535093</v>
      </c>
      <c r="AQ51" s="839">
        <v>394121.83621676941</v>
      </c>
      <c r="AR51" s="839">
        <v>408187.61987977172</v>
      </c>
      <c r="AS51" s="839">
        <v>388409.77044791594</v>
      </c>
      <c r="AT51" s="839">
        <v>381997.94592616044</v>
      </c>
      <c r="AU51" s="839">
        <v>372526.31475613813</v>
      </c>
      <c r="AV51" s="839">
        <v>375922.76888081006</v>
      </c>
      <c r="AW51" s="839">
        <v>396299.89658375003</v>
      </c>
      <c r="AX51" s="839">
        <v>371419.29907392239</v>
      </c>
      <c r="AY51" s="839">
        <v>374464.47402240866</v>
      </c>
      <c r="AZ51" s="839">
        <v>371676.94106507872</v>
      </c>
      <c r="BA51" s="839">
        <v>396120.44744818617</v>
      </c>
      <c r="BB51" s="839">
        <v>383220.66580576624</v>
      </c>
      <c r="BC51" s="839">
        <v>382241.50857958256</v>
      </c>
    </row>
    <row r="52" spans="1:55" ht="17.100000000000001" customHeight="1">
      <c r="A52" s="827" t="s">
        <v>601</v>
      </c>
      <c r="B52" s="828">
        <v>66426.303235972882</v>
      </c>
      <c r="C52" s="828">
        <v>67813.347178623269</v>
      </c>
      <c r="D52" s="828">
        <v>67350.55298928589</v>
      </c>
      <c r="E52" s="828">
        <v>67898.424276395206</v>
      </c>
      <c r="F52" s="828">
        <v>70563.533940011592</v>
      </c>
      <c r="G52" s="828">
        <v>69029.206086238628</v>
      </c>
      <c r="H52" s="828">
        <v>69173.827566074178</v>
      </c>
      <c r="I52" s="828">
        <v>70109.753901685341</v>
      </c>
      <c r="J52" s="828">
        <v>73222.669057128718</v>
      </c>
      <c r="K52" s="828">
        <v>72628.910586909114</v>
      </c>
      <c r="L52" s="828">
        <v>74948.541309052278</v>
      </c>
      <c r="M52" s="828">
        <v>77907.26620021234</v>
      </c>
      <c r="N52" s="828">
        <v>74640.649942564065</v>
      </c>
      <c r="O52" s="828">
        <v>74618.615312754191</v>
      </c>
      <c r="P52" s="828">
        <v>76376.735414886105</v>
      </c>
      <c r="Q52" s="828">
        <v>75700.789623743025</v>
      </c>
      <c r="R52" s="828">
        <v>77269.692369705648</v>
      </c>
      <c r="S52" s="828">
        <v>79953.017943437662</v>
      </c>
      <c r="T52" s="828">
        <v>79074.75525046949</v>
      </c>
      <c r="U52" s="828">
        <v>79520.667822633579</v>
      </c>
      <c r="V52" s="828">
        <v>78671.260029511788</v>
      </c>
      <c r="W52" s="828">
        <v>81199.667306703283</v>
      </c>
      <c r="X52" s="828">
        <v>77556.049942866448</v>
      </c>
      <c r="Y52" s="828">
        <v>80100.875885288551</v>
      </c>
      <c r="Z52" s="828">
        <v>80040.746933815622</v>
      </c>
      <c r="AA52" s="828">
        <v>79939.581236785903</v>
      </c>
      <c r="AB52" s="828">
        <v>79411.668224062698</v>
      </c>
      <c r="AC52" s="828">
        <v>79032.748513622151</v>
      </c>
      <c r="AD52" s="828">
        <v>78098.527743300889</v>
      </c>
      <c r="AE52" s="828">
        <v>85159.248901662751</v>
      </c>
      <c r="AF52" s="828">
        <v>86394.874568552084</v>
      </c>
      <c r="AG52" s="828">
        <v>86880.112743733043</v>
      </c>
      <c r="AH52" s="828">
        <v>87928.224802783152</v>
      </c>
      <c r="AI52" s="828">
        <v>88106.871545446251</v>
      </c>
      <c r="AJ52" s="828">
        <v>90488.3945909303</v>
      </c>
      <c r="AK52" s="828">
        <v>91559.825805914632</v>
      </c>
      <c r="AL52" s="828">
        <v>94098.106945505308</v>
      </c>
      <c r="AM52" s="828">
        <v>93549.31388682939</v>
      </c>
      <c r="AN52" s="829">
        <v>96754.802980609718</v>
      </c>
      <c r="AO52" s="830">
        <v>95870.007278678371</v>
      </c>
      <c r="AP52" s="830">
        <v>104072.51915873688</v>
      </c>
      <c r="AQ52" s="830">
        <v>103579.9323233067</v>
      </c>
      <c r="AR52" s="830">
        <v>100694.20800170788</v>
      </c>
      <c r="AS52" s="830">
        <v>99291.769986535714</v>
      </c>
      <c r="AT52" s="830">
        <v>100933.44968334469</v>
      </c>
      <c r="AU52" s="830">
        <v>100229.18125081969</v>
      </c>
      <c r="AV52" s="830">
        <v>99261.274187500021</v>
      </c>
      <c r="AW52" s="830">
        <v>103497.94482550361</v>
      </c>
      <c r="AX52" s="830">
        <v>102921.43799632388</v>
      </c>
      <c r="AY52" s="830">
        <v>108544.33997084292</v>
      </c>
      <c r="AZ52" s="830">
        <v>110343.08859754098</v>
      </c>
      <c r="BA52" s="830">
        <v>114721.20755311572</v>
      </c>
      <c r="BB52" s="830">
        <v>117055.21513527753</v>
      </c>
      <c r="BC52" s="830">
        <v>119619.60702976644</v>
      </c>
    </row>
    <row r="53" spans="1:55" ht="17.100000000000001" customHeight="1">
      <c r="A53" s="827" t="s">
        <v>602</v>
      </c>
      <c r="B53" s="828">
        <v>289410.72792542854</v>
      </c>
      <c r="C53" s="828">
        <v>292791.70235634677</v>
      </c>
      <c r="D53" s="828">
        <v>297432.04491911986</v>
      </c>
      <c r="E53" s="828">
        <v>279938.10502433998</v>
      </c>
      <c r="F53" s="828">
        <v>327910.8320255389</v>
      </c>
      <c r="G53" s="828">
        <v>320171.30679858039</v>
      </c>
      <c r="H53" s="828">
        <v>280822.53492081689</v>
      </c>
      <c r="I53" s="828">
        <v>304449.98967204109</v>
      </c>
      <c r="J53" s="828">
        <v>301088.89713564055</v>
      </c>
      <c r="K53" s="828">
        <v>302930.04240626586</v>
      </c>
      <c r="L53" s="828">
        <v>312451.91898554342</v>
      </c>
      <c r="M53" s="828">
        <v>318118.48321293283</v>
      </c>
      <c r="N53" s="828">
        <v>323227.47303719167</v>
      </c>
      <c r="O53" s="828">
        <v>317121.40861257981</v>
      </c>
      <c r="P53" s="828">
        <v>286354.90462211403</v>
      </c>
      <c r="Q53" s="828">
        <v>301260.61578368506</v>
      </c>
      <c r="R53" s="828">
        <v>291716.10072829016</v>
      </c>
      <c r="S53" s="828">
        <v>318687.03130866907</v>
      </c>
      <c r="T53" s="828">
        <v>305188.07283541822</v>
      </c>
      <c r="U53" s="828">
        <v>287606.55099744862</v>
      </c>
      <c r="V53" s="828">
        <v>293475.2466610134</v>
      </c>
      <c r="W53" s="828">
        <v>292604.82713334222</v>
      </c>
      <c r="X53" s="828">
        <v>347383.24200691615</v>
      </c>
      <c r="Y53" s="828">
        <v>290654.23951224022</v>
      </c>
      <c r="Z53" s="828">
        <v>267988.61551349226</v>
      </c>
      <c r="AA53" s="828">
        <v>274768.44322053925</v>
      </c>
      <c r="AB53" s="828">
        <v>321049.06011849875</v>
      </c>
      <c r="AC53" s="828">
        <v>321847.61654908379</v>
      </c>
      <c r="AD53" s="828">
        <v>340836.36152997706</v>
      </c>
      <c r="AE53" s="828">
        <v>273456.51895855844</v>
      </c>
      <c r="AF53" s="828">
        <v>304922.60916409292</v>
      </c>
      <c r="AG53" s="828">
        <v>262526.97220607544</v>
      </c>
      <c r="AH53" s="828">
        <v>286567.44082683767</v>
      </c>
      <c r="AI53" s="828">
        <v>306184.25194562681</v>
      </c>
      <c r="AJ53" s="828">
        <v>306172.36115914932</v>
      </c>
      <c r="AK53" s="828">
        <v>309761.08105135418</v>
      </c>
      <c r="AL53" s="828">
        <v>331111.15474308265</v>
      </c>
      <c r="AM53" s="828">
        <v>278409.44842492574</v>
      </c>
      <c r="AN53" s="829">
        <v>299533.06954427459</v>
      </c>
      <c r="AO53" s="830">
        <v>310668.14065564412</v>
      </c>
      <c r="AP53" s="830">
        <v>335198.83073661407</v>
      </c>
      <c r="AQ53" s="830">
        <v>290541.90389346273</v>
      </c>
      <c r="AR53" s="830">
        <v>307493.41187806381</v>
      </c>
      <c r="AS53" s="830">
        <v>289118.00046138023</v>
      </c>
      <c r="AT53" s="830">
        <v>281064.49624281575</v>
      </c>
      <c r="AU53" s="830">
        <v>272297.13350531843</v>
      </c>
      <c r="AV53" s="830">
        <v>276661.49469331006</v>
      </c>
      <c r="AW53" s="830">
        <v>292801.9517582464</v>
      </c>
      <c r="AX53" s="830">
        <v>268497.86107759853</v>
      </c>
      <c r="AY53" s="830">
        <v>265920.13405156572</v>
      </c>
      <c r="AZ53" s="830">
        <v>261333.85246753774</v>
      </c>
      <c r="BA53" s="830">
        <v>281399.23989507044</v>
      </c>
      <c r="BB53" s="830">
        <v>266165.4506704887</v>
      </c>
      <c r="BC53" s="830">
        <v>262621.90154981613</v>
      </c>
    </row>
    <row r="54" spans="1:55" s="863" customFormat="1" ht="17.100000000000001" customHeight="1">
      <c r="A54" s="866" t="s">
        <v>603</v>
      </c>
      <c r="B54" s="860">
        <v>30107.789499937426</v>
      </c>
      <c r="C54" s="860">
        <v>31094.415139565433</v>
      </c>
      <c r="D54" s="860">
        <v>30962.734737710922</v>
      </c>
      <c r="E54" s="860">
        <v>31722.669563358049</v>
      </c>
      <c r="F54" s="860">
        <v>32291.245409282688</v>
      </c>
      <c r="G54" s="860">
        <v>32190.982644318014</v>
      </c>
      <c r="H54" s="860">
        <v>30094.231303218694</v>
      </c>
      <c r="I54" s="860">
        <v>28685.302738552557</v>
      </c>
      <c r="J54" s="860">
        <v>27202.292881792404</v>
      </c>
      <c r="K54" s="860">
        <v>28366.741870910635</v>
      </c>
      <c r="L54" s="860">
        <v>26731.42360877612</v>
      </c>
      <c r="M54" s="860">
        <v>29842.888080704441</v>
      </c>
      <c r="N54" s="860">
        <v>29586.633266821053</v>
      </c>
      <c r="O54" s="860">
        <v>29891.802077865294</v>
      </c>
      <c r="P54" s="860">
        <v>25947.623236333402</v>
      </c>
      <c r="Q54" s="860">
        <v>27891.315556650738</v>
      </c>
      <c r="R54" s="860">
        <v>27836.31586989648</v>
      </c>
      <c r="S54" s="860">
        <v>29550.652640857741</v>
      </c>
      <c r="T54" s="860">
        <v>28814.146909541629</v>
      </c>
      <c r="U54" s="860">
        <v>29743.461993769037</v>
      </c>
      <c r="V54" s="860">
        <v>28007.929026793463</v>
      </c>
      <c r="W54" s="860">
        <v>27848.917471561232</v>
      </c>
      <c r="X54" s="860">
        <v>30798.47857303136</v>
      </c>
      <c r="Y54" s="860">
        <v>30173.425683765054</v>
      </c>
      <c r="Z54" s="860">
        <v>27635.564013278305</v>
      </c>
      <c r="AA54" s="860">
        <v>28505.675546840474</v>
      </c>
      <c r="AB54" s="860">
        <v>30015.249470331852</v>
      </c>
      <c r="AC54" s="860">
        <v>28849.601820639546</v>
      </c>
      <c r="AD54" s="860">
        <v>29685.935308031254</v>
      </c>
      <c r="AE54" s="860">
        <v>27434.626315896196</v>
      </c>
      <c r="AF54" s="860">
        <v>24564.372512824601</v>
      </c>
      <c r="AG54" s="860">
        <v>24843.929419416803</v>
      </c>
      <c r="AH54" s="860">
        <v>26903.079659206087</v>
      </c>
      <c r="AI54" s="860">
        <v>26692.130185590468</v>
      </c>
      <c r="AJ54" s="860">
        <v>23489.867346898696</v>
      </c>
      <c r="AK54" s="860">
        <v>26748.267328989143</v>
      </c>
      <c r="AL54" s="860">
        <v>24970.557388426176</v>
      </c>
      <c r="AM54" s="860">
        <v>27360.034197333964</v>
      </c>
      <c r="AN54" s="861">
        <v>28048.947249844314</v>
      </c>
      <c r="AO54" s="862">
        <v>27103.250200486156</v>
      </c>
      <c r="AP54" s="862">
        <v>23704.250976455434</v>
      </c>
      <c r="AQ54" s="862">
        <v>24490.234397729695</v>
      </c>
      <c r="AR54" s="862">
        <v>29194.044954404722</v>
      </c>
      <c r="AS54" s="862">
        <v>31589.148616054383</v>
      </c>
      <c r="AT54" s="862">
        <v>28878.627380932823</v>
      </c>
      <c r="AU54" s="862">
        <v>29438.984456836901</v>
      </c>
      <c r="AV54" s="862">
        <v>32222.328507304621</v>
      </c>
      <c r="AW54" s="862">
        <v>34759.046630821162</v>
      </c>
      <c r="AX54" s="862">
        <v>34060.323408110286</v>
      </c>
      <c r="AY54" s="862">
        <v>34817.59427536845</v>
      </c>
      <c r="AZ54" s="862">
        <v>35853.595180281867</v>
      </c>
      <c r="BA54" s="862">
        <v>32821.366597128304</v>
      </c>
      <c r="BB54" s="862">
        <v>35817.305316602025</v>
      </c>
      <c r="BC54" s="862">
        <v>34503.982019541341</v>
      </c>
    </row>
    <row r="55" spans="1:55" ht="17.100000000000001" customHeight="1">
      <c r="A55" s="827" t="s">
        <v>601</v>
      </c>
      <c r="B55" s="828">
        <v>-16094.591653099998</v>
      </c>
      <c r="C55" s="828">
        <v>-15133.990915980001</v>
      </c>
      <c r="D55" s="828">
        <v>-10574.257390679999</v>
      </c>
      <c r="E55" s="828">
        <v>-13160.13132181</v>
      </c>
      <c r="F55" s="828">
        <v>-13184.197336680001</v>
      </c>
      <c r="G55" s="828">
        <v>-12603.214470860001</v>
      </c>
      <c r="H55" s="828">
        <v>-12649.402737140001</v>
      </c>
      <c r="I55" s="828">
        <v>-13999.36386032</v>
      </c>
      <c r="J55" s="828">
        <v>-12309.791425859999</v>
      </c>
      <c r="K55" s="828">
        <v>-9506.4930552200003</v>
      </c>
      <c r="L55" s="828">
        <v>-11316.247423609999</v>
      </c>
      <c r="M55" s="828">
        <v>-9687.6799926800013</v>
      </c>
      <c r="N55" s="828">
        <v>-8384.2803368000004</v>
      </c>
      <c r="O55" s="828">
        <v>-7735.6408573600002</v>
      </c>
      <c r="P55" s="828">
        <v>-11176.693028849997</v>
      </c>
      <c r="Q55" s="828">
        <v>-9606.6951597400002</v>
      </c>
      <c r="R55" s="828">
        <v>-11320.184787369999</v>
      </c>
      <c r="S55" s="828">
        <v>-10168.74607549</v>
      </c>
      <c r="T55" s="828">
        <v>-11201.799995440004</v>
      </c>
      <c r="U55" s="828">
        <v>-8361.1217992800011</v>
      </c>
      <c r="V55" s="828">
        <v>-10561.849022570001</v>
      </c>
      <c r="W55" s="828">
        <v>-11253.339342660001</v>
      </c>
      <c r="X55" s="828">
        <v>-9436.6171233200002</v>
      </c>
      <c r="Y55" s="828">
        <v>-7837.3001372700001</v>
      </c>
      <c r="Z55" s="828">
        <v>-10079.960773000003</v>
      </c>
      <c r="AA55" s="828">
        <v>-8692.3302772299994</v>
      </c>
      <c r="AB55" s="828">
        <v>-9372.881900270002</v>
      </c>
      <c r="AC55" s="828">
        <v>-8880.1699302400029</v>
      </c>
      <c r="AD55" s="828">
        <v>-8780.1530179400033</v>
      </c>
      <c r="AE55" s="828">
        <v>-11179.910112040001</v>
      </c>
      <c r="AF55" s="828">
        <v>-11456.030725809998</v>
      </c>
      <c r="AG55" s="828">
        <v>-13179.341982179998</v>
      </c>
      <c r="AH55" s="828">
        <v>-11879.09227354</v>
      </c>
      <c r="AI55" s="828">
        <v>-13350.546611650003</v>
      </c>
      <c r="AJ55" s="828">
        <v>-16898.939951499997</v>
      </c>
      <c r="AK55" s="828">
        <v>-11466.967172649998</v>
      </c>
      <c r="AL55" s="828">
        <v>-13650.276193949998</v>
      </c>
      <c r="AM55" s="828">
        <v>-12018.874950829999</v>
      </c>
      <c r="AN55" s="829">
        <v>-12476.195903029999</v>
      </c>
      <c r="AO55" s="830">
        <v>-14313.36957282</v>
      </c>
      <c r="AP55" s="830">
        <v>-17374.062681929754</v>
      </c>
      <c r="AQ55" s="830">
        <v>-18112.053482993684</v>
      </c>
      <c r="AR55" s="830">
        <v>-14044.60487612374</v>
      </c>
      <c r="AS55" s="830">
        <v>-13816.06028582856</v>
      </c>
      <c r="AT55" s="830">
        <v>-17341.511666418828</v>
      </c>
      <c r="AU55" s="830">
        <v>-15217.901120033093</v>
      </c>
      <c r="AV55" s="830">
        <v>-13552.266238281474</v>
      </c>
      <c r="AW55" s="830">
        <v>-10932.694839660657</v>
      </c>
      <c r="AX55" s="830">
        <v>-13197.887711877294</v>
      </c>
      <c r="AY55" s="830">
        <v>-12463.583303451964</v>
      </c>
      <c r="AZ55" s="830">
        <v>-13387.690245879574</v>
      </c>
      <c r="BA55" s="830">
        <v>-17897.114501728862</v>
      </c>
      <c r="BB55" s="830">
        <v>-16472.475734490621</v>
      </c>
      <c r="BC55" s="830">
        <v>-18912.303265928196</v>
      </c>
    </row>
    <row r="56" spans="1:55" ht="17.100000000000001" customHeight="1">
      <c r="A56" s="827" t="s">
        <v>602</v>
      </c>
      <c r="B56" s="828">
        <v>46202.381153037422</v>
      </c>
      <c r="C56" s="828">
        <v>46228.406055545434</v>
      </c>
      <c r="D56" s="828">
        <v>41536.992128390921</v>
      </c>
      <c r="E56" s="828">
        <v>44882.80088516805</v>
      </c>
      <c r="F56" s="828">
        <v>45475.44274596269</v>
      </c>
      <c r="G56" s="828">
        <v>44794.197115178016</v>
      </c>
      <c r="H56" s="828">
        <v>42743.634040358695</v>
      </c>
      <c r="I56" s="828">
        <v>42684.666598872558</v>
      </c>
      <c r="J56" s="828">
        <v>39512.084307652403</v>
      </c>
      <c r="K56" s="828">
        <v>37873.234926130637</v>
      </c>
      <c r="L56" s="828">
        <v>38047.671032386119</v>
      </c>
      <c r="M56" s="828">
        <v>39530.568073384442</v>
      </c>
      <c r="N56" s="828">
        <v>37970.913603621055</v>
      </c>
      <c r="O56" s="828">
        <v>37627.442935225292</v>
      </c>
      <c r="P56" s="828">
        <v>37124.316265183399</v>
      </c>
      <c r="Q56" s="828">
        <v>37498.010716390738</v>
      </c>
      <c r="R56" s="828">
        <v>39156.500657266479</v>
      </c>
      <c r="S56" s="828">
        <v>39719.398716347743</v>
      </c>
      <c r="T56" s="828">
        <v>40015.946904981633</v>
      </c>
      <c r="U56" s="828">
        <v>38104.583793049038</v>
      </c>
      <c r="V56" s="828">
        <v>38569.778049363464</v>
      </c>
      <c r="W56" s="828">
        <v>39102.256814221233</v>
      </c>
      <c r="X56" s="828">
        <v>40235.09569635136</v>
      </c>
      <c r="Y56" s="828">
        <v>38010.725821035056</v>
      </c>
      <c r="Z56" s="828">
        <v>37715.524786278307</v>
      </c>
      <c r="AA56" s="828">
        <v>37198.005824070475</v>
      </c>
      <c r="AB56" s="828">
        <v>39388.131370601855</v>
      </c>
      <c r="AC56" s="828">
        <v>37729.771750879547</v>
      </c>
      <c r="AD56" s="828">
        <v>38466.088325971257</v>
      </c>
      <c r="AE56" s="828">
        <v>38614.536427936197</v>
      </c>
      <c r="AF56" s="828">
        <v>36020.403238634601</v>
      </c>
      <c r="AG56" s="828">
        <v>38023.271401596801</v>
      </c>
      <c r="AH56" s="828">
        <v>38782.171932746089</v>
      </c>
      <c r="AI56" s="828">
        <v>40042.67679724047</v>
      </c>
      <c r="AJ56" s="828">
        <v>40388.807298398693</v>
      </c>
      <c r="AK56" s="828">
        <v>38215.234501639141</v>
      </c>
      <c r="AL56" s="828">
        <v>38620.833582376174</v>
      </c>
      <c r="AM56" s="828">
        <v>39378.909148163963</v>
      </c>
      <c r="AN56" s="829">
        <v>40525.143152874312</v>
      </c>
      <c r="AO56" s="830">
        <v>41416.619773306156</v>
      </c>
      <c r="AP56" s="830">
        <v>41078.313658385188</v>
      </c>
      <c r="AQ56" s="830">
        <v>42602.287880723379</v>
      </c>
      <c r="AR56" s="830">
        <v>43238.649830528462</v>
      </c>
      <c r="AS56" s="830">
        <v>45405.208901882943</v>
      </c>
      <c r="AT56" s="830">
        <v>46220.139047351651</v>
      </c>
      <c r="AU56" s="830">
        <v>44656.885576869994</v>
      </c>
      <c r="AV56" s="830">
        <v>45774.594745586095</v>
      </c>
      <c r="AW56" s="830">
        <v>45691.741470481815</v>
      </c>
      <c r="AX56" s="830">
        <v>47258.21111998758</v>
      </c>
      <c r="AY56" s="830">
        <v>47281.17757882041</v>
      </c>
      <c r="AZ56" s="830">
        <v>49241.285426161441</v>
      </c>
      <c r="BA56" s="830">
        <v>50718.48109885717</v>
      </c>
      <c r="BB56" s="830">
        <v>52289.78105109265</v>
      </c>
      <c r="BC56" s="830">
        <v>53416.285285469537</v>
      </c>
    </row>
    <row r="57" spans="1:55" s="863" customFormat="1" ht="17.100000000000001" customHeight="1">
      <c r="A57" s="866" t="s">
        <v>604</v>
      </c>
      <c r="B57" s="860">
        <v>249049.6457634767</v>
      </c>
      <c r="C57" s="860">
        <v>248807.77216519354</v>
      </c>
      <c r="D57" s="860">
        <v>251216.34014935835</v>
      </c>
      <c r="E57" s="860">
        <v>252571.14770766051</v>
      </c>
      <c r="F57" s="860">
        <v>263772.26442897564</v>
      </c>
      <c r="G57" s="860">
        <v>267573.77706727927</v>
      </c>
      <c r="H57" s="860">
        <v>266546.19427709124</v>
      </c>
      <c r="I57" s="860">
        <v>271927.19652940845</v>
      </c>
      <c r="J57" s="860">
        <v>272605.20555799588</v>
      </c>
      <c r="K57" s="860">
        <v>274950.37682160974</v>
      </c>
      <c r="L57" s="860">
        <v>276946.48094082711</v>
      </c>
      <c r="M57" s="860">
        <v>279011.9005774298</v>
      </c>
      <c r="N57" s="860">
        <v>278925.50306887995</v>
      </c>
      <c r="O57" s="860">
        <v>281794.30187684559</v>
      </c>
      <c r="P57" s="860">
        <v>282552.45791129809</v>
      </c>
      <c r="Q57" s="860">
        <v>286531.20071991388</v>
      </c>
      <c r="R57" s="860">
        <v>288418.86245035374</v>
      </c>
      <c r="S57" s="860">
        <v>292124.32001176995</v>
      </c>
      <c r="T57" s="860">
        <v>295910.29042288021</v>
      </c>
      <c r="U57" s="860">
        <v>298869.28538751893</v>
      </c>
      <c r="V57" s="860">
        <v>304317.74497532001</v>
      </c>
      <c r="W57" s="860">
        <v>313019.72673447238</v>
      </c>
      <c r="X57" s="860">
        <v>311448.56077553553</v>
      </c>
      <c r="Y57" s="860">
        <v>311128.60589472816</v>
      </c>
      <c r="Z57" s="860">
        <v>311614.96213569335</v>
      </c>
      <c r="AA57" s="860">
        <v>312053.74452528806</v>
      </c>
      <c r="AB57" s="860">
        <v>316252.63222865068</v>
      </c>
      <c r="AC57" s="860">
        <v>322237.36142590013</v>
      </c>
      <c r="AD57" s="860">
        <v>328425.03858686506</v>
      </c>
      <c r="AE57" s="860">
        <v>339992.21987458708</v>
      </c>
      <c r="AF57" s="860">
        <v>344302.14351216564</v>
      </c>
      <c r="AG57" s="860">
        <v>346757.92890193785</v>
      </c>
      <c r="AH57" s="860">
        <v>349337.30424399534</v>
      </c>
      <c r="AI57" s="860">
        <v>353848.92335604446</v>
      </c>
      <c r="AJ57" s="860">
        <v>357405.85055804724</v>
      </c>
      <c r="AK57" s="860">
        <v>364273.63872408587</v>
      </c>
      <c r="AL57" s="860">
        <v>365700.0106858334</v>
      </c>
      <c r="AM57" s="860">
        <v>372023.55270095076</v>
      </c>
      <c r="AN57" s="861">
        <v>369763.25433820783</v>
      </c>
      <c r="AO57" s="862">
        <v>373549.03799787484</v>
      </c>
      <c r="AP57" s="862">
        <v>371865.91460924764</v>
      </c>
      <c r="AQ57" s="862">
        <v>371452.23091788462</v>
      </c>
      <c r="AR57" s="862">
        <v>381516.64452129649</v>
      </c>
      <c r="AS57" s="862">
        <v>403214.62648758269</v>
      </c>
      <c r="AT57" s="862">
        <v>409852.99746432231</v>
      </c>
      <c r="AU57" s="862">
        <v>403332.10506721033</v>
      </c>
      <c r="AV57" s="862">
        <v>406428.21979282878</v>
      </c>
      <c r="AW57" s="862">
        <v>413415.51091962057</v>
      </c>
      <c r="AX57" s="862">
        <v>398598.84518461517</v>
      </c>
      <c r="AY57" s="862">
        <v>401054.46897641121</v>
      </c>
      <c r="AZ57" s="862">
        <v>402940.77149325603</v>
      </c>
      <c r="BA57" s="862">
        <v>403970.49852973624</v>
      </c>
      <c r="BB57" s="862">
        <v>398087.2159975979</v>
      </c>
      <c r="BC57" s="862">
        <v>391977.25670871098</v>
      </c>
    </row>
    <row r="58" spans="1:55" ht="17.100000000000001" customHeight="1">
      <c r="A58" s="827" t="s">
        <v>601</v>
      </c>
      <c r="B58" s="828">
        <v>153.19780331999999</v>
      </c>
      <c r="C58" s="828">
        <v>154.31596911</v>
      </c>
      <c r="D58" s="828">
        <v>138.70587049999997</v>
      </c>
      <c r="E58" s="828">
        <v>145.20146566999998</v>
      </c>
      <c r="F58" s="828">
        <v>139.64907062999998</v>
      </c>
      <c r="G58" s="828">
        <v>144.54348844999998</v>
      </c>
      <c r="H58" s="828">
        <v>136.46690247999999</v>
      </c>
      <c r="I58" s="828">
        <v>137.70103456999999</v>
      </c>
      <c r="J58" s="828">
        <v>166.28222216</v>
      </c>
      <c r="K58" s="828">
        <v>164.10271523999998</v>
      </c>
      <c r="L58" s="828">
        <v>188.36966712999998</v>
      </c>
      <c r="M58" s="828">
        <v>289.10614802999993</v>
      </c>
      <c r="N58" s="828">
        <v>325.25928297999997</v>
      </c>
      <c r="O58" s="828">
        <v>266.26099159999995</v>
      </c>
      <c r="P58" s="828">
        <v>282.16233682000001</v>
      </c>
      <c r="Q58" s="828">
        <v>326.19289162000001</v>
      </c>
      <c r="R58" s="828">
        <v>355.96613649</v>
      </c>
      <c r="S58" s="828">
        <v>144.95301177000002</v>
      </c>
      <c r="T58" s="828">
        <v>145.04960496999999</v>
      </c>
      <c r="U58" s="828">
        <v>146.18456738</v>
      </c>
      <c r="V58" s="828">
        <v>147.98835771</v>
      </c>
      <c r="W58" s="828">
        <v>189.87692557</v>
      </c>
      <c r="X58" s="828">
        <v>188.68572480999998</v>
      </c>
      <c r="Y58" s="828">
        <v>187.66180904000001</v>
      </c>
      <c r="Z58" s="828">
        <v>184.76241243000001</v>
      </c>
      <c r="AA58" s="828">
        <v>235.96431477000002</v>
      </c>
      <c r="AB58" s="828">
        <v>228.80128807000003</v>
      </c>
      <c r="AC58" s="828">
        <v>202.30284356000001</v>
      </c>
      <c r="AD58" s="828">
        <v>207.31680611000002</v>
      </c>
      <c r="AE58" s="828">
        <v>142.31707372000002</v>
      </c>
      <c r="AF58" s="828">
        <v>246.29880878</v>
      </c>
      <c r="AG58" s="828">
        <v>157.61338316000001</v>
      </c>
      <c r="AH58" s="828">
        <v>186.53756657</v>
      </c>
      <c r="AI58" s="828">
        <v>186.00266166</v>
      </c>
      <c r="AJ58" s="828">
        <v>148.20166657000001</v>
      </c>
      <c r="AK58" s="828">
        <v>184.47326498999999</v>
      </c>
      <c r="AL58" s="828">
        <v>158.50110899000001</v>
      </c>
      <c r="AM58" s="828">
        <v>151.81138362999999</v>
      </c>
      <c r="AN58" s="829">
        <v>144.74117856000001</v>
      </c>
      <c r="AO58" s="830">
        <v>154.39851223000002</v>
      </c>
      <c r="AP58" s="830">
        <v>135.40763834000001</v>
      </c>
      <c r="AQ58" s="830">
        <v>198.07188681</v>
      </c>
      <c r="AR58" s="830">
        <v>126.59522910000001</v>
      </c>
      <c r="AS58" s="830">
        <v>150.84449430999999</v>
      </c>
      <c r="AT58" s="830">
        <v>162.74188365000003</v>
      </c>
      <c r="AU58" s="830">
        <v>164.49673319999999</v>
      </c>
      <c r="AV58" s="830">
        <v>163.62766462999997</v>
      </c>
      <c r="AW58" s="830">
        <v>172.66457023999999</v>
      </c>
      <c r="AX58" s="830">
        <v>134.78201322999996</v>
      </c>
      <c r="AY58" s="830">
        <v>146.16603488000001</v>
      </c>
      <c r="AZ58" s="830">
        <v>154.80724961999994</v>
      </c>
      <c r="BA58" s="830">
        <v>158.50427366000002</v>
      </c>
      <c r="BB58" s="830">
        <v>161.91662781999997</v>
      </c>
      <c r="BC58" s="830">
        <v>159.59387422</v>
      </c>
    </row>
    <row r="59" spans="1:55" ht="17.100000000000001" customHeight="1">
      <c r="A59" s="827" t="s">
        <v>605</v>
      </c>
      <c r="B59" s="828">
        <v>248896.44796015669</v>
      </c>
      <c r="C59" s="828">
        <v>248653.45619608354</v>
      </c>
      <c r="D59" s="828">
        <v>251077.63427885834</v>
      </c>
      <c r="E59" s="828">
        <v>252425.94624199052</v>
      </c>
      <c r="F59" s="828">
        <v>263632.61535834562</v>
      </c>
      <c r="G59" s="828">
        <v>267429.23357882927</v>
      </c>
      <c r="H59" s="828">
        <v>266409.72737461125</v>
      </c>
      <c r="I59" s="828">
        <v>271789.49549483845</v>
      </c>
      <c r="J59" s="828">
        <v>272438.92333583586</v>
      </c>
      <c r="K59" s="828">
        <v>274786.27410636976</v>
      </c>
      <c r="L59" s="828">
        <v>276758.11127369711</v>
      </c>
      <c r="M59" s="828">
        <v>278722.79442939977</v>
      </c>
      <c r="N59" s="828">
        <v>278600.24378589995</v>
      </c>
      <c r="O59" s="828">
        <v>281528.0408852456</v>
      </c>
      <c r="P59" s="828">
        <v>282270.29557447811</v>
      </c>
      <c r="Q59" s="828">
        <v>286205.00782829389</v>
      </c>
      <c r="R59" s="828">
        <v>288062.89631386375</v>
      </c>
      <c r="S59" s="828">
        <v>291979.36699999997</v>
      </c>
      <c r="T59" s="828">
        <v>295765.24081791023</v>
      </c>
      <c r="U59" s="828">
        <v>298723.10082013893</v>
      </c>
      <c r="V59" s="828">
        <v>304169.75661760999</v>
      </c>
      <c r="W59" s="828">
        <v>312829.84980890236</v>
      </c>
      <c r="X59" s="828">
        <v>311259.87505072553</v>
      </c>
      <c r="Y59" s="828">
        <v>310940.94408568816</v>
      </c>
      <c r="Z59" s="828">
        <v>311430.19972326333</v>
      </c>
      <c r="AA59" s="828">
        <v>311817.78021051805</v>
      </c>
      <c r="AB59" s="828">
        <v>316023.83094058069</v>
      </c>
      <c r="AC59" s="828">
        <v>322035.05858234013</v>
      </c>
      <c r="AD59" s="828">
        <v>328217.72178075509</v>
      </c>
      <c r="AE59" s="828">
        <v>339849.9028008671</v>
      </c>
      <c r="AF59" s="828">
        <v>344055.84470338566</v>
      </c>
      <c r="AG59" s="828">
        <v>346600.31551877788</v>
      </c>
      <c r="AH59" s="828">
        <v>349150.76667742536</v>
      </c>
      <c r="AI59" s="828">
        <v>353662.92069438443</v>
      </c>
      <c r="AJ59" s="828">
        <v>357257.64889147726</v>
      </c>
      <c r="AK59" s="828">
        <v>364089.16545909585</v>
      </c>
      <c r="AL59" s="828">
        <v>365541.50957684341</v>
      </c>
      <c r="AM59" s="828">
        <v>371871.74131732079</v>
      </c>
      <c r="AN59" s="829">
        <v>369618.51315964782</v>
      </c>
      <c r="AO59" s="830">
        <v>373394.63948564482</v>
      </c>
      <c r="AP59" s="830">
        <v>371730.50697090762</v>
      </c>
      <c r="AQ59" s="830">
        <v>371254.15903107461</v>
      </c>
      <c r="AR59" s="830">
        <v>381390.04929219646</v>
      </c>
      <c r="AS59" s="830">
        <v>403063.78199327271</v>
      </c>
      <c r="AT59" s="830">
        <v>409690.2555806723</v>
      </c>
      <c r="AU59" s="830">
        <v>403167.60833401035</v>
      </c>
      <c r="AV59" s="830">
        <v>406264.59212819877</v>
      </c>
      <c r="AW59" s="830">
        <v>413242.84634938056</v>
      </c>
      <c r="AX59" s="830">
        <v>398464.06317138515</v>
      </c>
      <c r="AY59" s="830">
        <v>400908.30294153123</v>
      </c>
      <c r="AZ59" s="830">
        <v>402785.96424363606</v>
      </c>
      <c r="BA59" s="830">
        <v>403811.99425607623</v>
      </c>
      <c r="BB59" s="830">
        <v>397925.2993697779</v>
      </c>
      <c r="BC59" s="830">
        <v>391817.662834491</v>
      </c>
    </row>
    <row r="60" spans="1:55" s="840" customFormat="1" ht="17.100000000000001" customHeight="1">
      <c r="A60" s="836" t="s">
        <v>606</v>
      </c>
      <c r="B60" s="837">
        <v>279157.43526341411</v>
      </c>
      <c r="C60" s="837">
        <v>279902.18730475899</v>
      </c>
      <c r="D60" s="837">
        <v>282179.07488706929</v>
      </c>
      <c r="E60" s="837">
        <v>284293.81727101858</v>
      </c>
      <c r="F60" s="837">
        <v>296063.50983825832</v>
      </c>
      <c r="G60" s="837">
        <v>299764.75971159729</v>
      </c>
      <c r="H60" s="837">
        <v>296640.42558030994</v>
      </c>
      <c r="I60" s="837">
        <v>300612.49926796101</v>
      </c>
      <c r="J60" s="837">
        <v>299807.49843978829</v>
      </c>
      <c r="K60" s="837">
        <v>303317.11869252037</v>
      </c>
      <c r="L60" s="837">
        <v>303677.90454960323</v>
      </c>
      <c r="M60" s="837">
        <v>308854.78865813423</v>
      </c>
      <c r="N60" s="837">
        <v>308512.13633570098</v>
      </c>
      <c r="O60" s="837">
        <v>311686.10395471088</v>
      </c>
      <c r="P60" s="837">
        <v>308500.08114763151</v>
      </c>
      <c r="Q60" s="837">
        <v>314422.51627656462</v>
      </c>
      <c r="R60" s="837">
        <v>316255.17832025024</v>
      </c>
      <c r="S60" s="837">
        <v>321674.97265262768</v>
      </c>
      <c r="T60" s="837">
        <v>324724.43733242183</v>
      </c>
      <c r="U60" s="837">
        <v>328612.74738128798</v>
      </c>
      <c r="V60" s="837">
        <v>332325.67400211346</v>
      </c>
      <c r="W60" s="837">
        <v>340868.64420603361</v>
      </c>
      <c r="X60" s="837">
        <v>342247.0393485669</v>
      </c>
      <c r="Y60" s="837">
        <v>341302.03157849319</v>
      </c>
      <c r="Z60" s="837">
        <v>339250.52614897164</v>
      </c>
      <c r="AA60" s="837">
        <v>340559.42007212853</v>
      </c>
      <c r="AB60" s="837">
        <v>346267.88169898256</v>
      </c>
      <c r="AC60" s="837">
        <v>351086.9632465397</v>
      </c>
      <c r="AD60" s="837">
        <v>358110.97389489633</v>
      </c>
      <c r="AE60" s="837">
        <v>367426.84619048331</v>
      </c>
      <c r="AF60" s="837">
        <v>368866.51602499024</v>
      </c>
      <c r="AG60" s="837">
        <v>371601.85832135467</v>
      </c>
      <c r="AH60" s="837">
        <v>376240.38390320144</v>
      </c>
      <c r="AI60" s="837">
        <v>380541.05354163493</v>
      </c>
      <c r="AJ60" s="837">
        <v>380895.71790494595</v>
      </c>
      <c r="AK60" s="837">
        <v>391021.90605307504</v>
      </c>
      <c r="AL60" s="837">
        <v>390670.56807425956</v>
      </c>
      <c r="AM60" s="837">
        <v>399383.58689828473</v>
      </c>
      <c r="AN60" s="838">
        <v>397812.20158805215</v>
      </c>
      <c r="AO60" s="839">
        <v>400652.288198361</v>
      </c>
      <c r="AP60" s="839">
        <v>395570.1655857031</v>
      </c>
      <c r="AQ60" s="839">
        <v>395942.4653156143</v>
      </c>
      <c r="AR60" s="839">
        <v>410710.68947570119</v>
      </c>
      <c r="AS60" s="839">
        <v>434803.77510363708</v>
      </c>
      <c r="AT60" s="839">
        <v>438731.62484525511</v>
      </c>
      <c r="AU60" s="839">
        <v>432771.08952404722</v>
      </c>
      <c r="AV60" s="839">
        <v>438650.54830013338</v>
      </c>
      <c r="AW60" s="839">
        <v>448174.55755044171</v>
      </c>
      <c r="AX60" s="839">
        <v>432659.16859272547</v>
      </c>
      <c r="AY60" s="839">
        <v>435872.06325177965</v>
      </c>
      <c r="AZ60" s="839">
        <v>438794.36667353788</v>
      </c>
      <c r="BA60" s="839">
        <v>436791.86512686452</v>
      </c>
      <c r="BB60" s="839">
        <v>433904.5213141999</v>
      </c>
      <c r="BC60" s="839">
        <v>426481.2387282523</v>
      </c>
    </row>
    <row r="61" spans="1:55" s="840" customFormat="1" ht="17.100000000000001" customHeight="1">
      <c r="A61" s="836" t="s">
        <v>607</v>
      </c>
      <c r="B61" s="837">
        <v>355259.36110940948</v>
      </c>
      <c r="C61" s="837">
        <v>359674.52067542169</v>
      </c>
      <c r="D61" s="837">
        <v>365534.08899271872</v>
      </c>
      <c r="E61" s="837">
        <v>350076.45939386607</v>
      </c>
      <c r="F61" s="837">
        <v>408376.12498644798</v>
      </c>
      <c r="G61" s="837">
        <v>402112.53101963754</v>
      </c>
      <c r="H61" s="837">
        <v>364656.03892779577</v>
      </c>
      <c r="I61" s="837">
        <v>393066.9151664619</v>
      </c>
      <c r="J61" s="837">
        <v>390537.62147691939</v>
      </c>
      <c r="K61" s="837">
        <v>391457.11670130375</v>
      </c>
      <c r="L61" s="837">
        <v>402942.5897299879</v>
      </c>
      <c r="M61" s="837">
        <v>404649.15065369115</v>
      </c>
      <c r="N61" s="837">
        <v>407823.63352837315</v>
      </c>
      <c r="O61" s="837">
        <v>405056.79783523042</v>
      </c>
      <c r="P61" s="837">
        <v>373076.22365200013</v>
      </c>
      <c r="Q61" s="837">
        <v>392324.13765174814</v>
      </c>
      <c r="R61" s="837">
        <v>385746.33193663164</v>
      </c>
      <c r="S61" s="837">
        <v>414087.30448866077</v>
      </c>
      <c r="T61" s="837">
        <v>403593.92227355641</v>
      </c>
      <c r="U61" s="837">
        <v>386969.89630842878</v>
      </c>
      <c r="V61" s="837">
        <v>395351.35688924079</v>
      </c>
      <c r="W61" s="837">
        <v>405087.09893024142</v>
      </c>
      <c r="X61" s="837">
        <v>454427.65861462167</v>
      </c>
      <c r="Y61" s="837">
        <v>392520.47702801961</v>
      </c>
      <c r="Z61" s="837">
        <v>369105.09290209634</v>
      </c>
      <c r="AA61" s="837">
        <v>376955.9310288633</v>
      </c>
      <c r="AB61" s="837">
        <v>425700.47701899771</v>
      </c>
      <c r="AC61" s="837">
        <v>430723.86365939816</v>
      </c>
      <c r="AD61" s="837">
        <v>453051.42133272428</v>
      </c>
      <c r="AE61" s="837">
        <v>398191.58983318222</v>
      </c>
      <c r="AF61" s="837">
        <v>431310.64951476338</v>
      </c>
      <c r="AG61" s="837">
        <v>391798.35496846749</v>
      </c>
      <c r="AH61" s="837">
        <v>419472.37424158253</v>
      </c>
      <c r="AI61" s="837">
        <v>440473.73401755263</v>
      </c>
      <c r="AJ61" s="837">
        <v>440983.94812166237</v>
      </c>
      <c r="AK61" s="837">
        <v>446725.61739693565</v>
      </c>
      <c r="AL61" s="837">
        <v>474970.90923370438</v>
      </c>
      <c r="AM61" s="837">
        <v>426515.81480752374</v>
      </c>
      <c r="AN61" s="838">
        <v>445854.38320849871</v>
      </c>
      <c r="AO61" s="839">
        <v>460625.32765421644</v>
      </c>
      <c r="AP61" s="839">
        <v>488129.86957859132</v>
      </c>
      <c r="AQ61" s="839">
        <v>438688.48267435428</v>
      </c>
      <c r="AR61" s="839">
        <v>465953.60966626892</v>
      </c>
      <c r="AS61" s="839">
        <v>471795.70692158758</v>
      </c>
      <c r="AT61" s="839">
        <v>470230.33461851074</v>
      </c>
      <c r="AU61" s="839">
        <v>455486.54418138292</v>
      </c>
      <c r="AV61" s="839">
        <v>459880.23395209498</v>
      </c>
      <c r="AW61" s="839">
        <v>478865.71640516765</v>
      </c>
      <c r="AX61" s="839">
        <v>439097.77532928227</v>
      </c>
      <c r="AY61" s="839">
        <v>441269.8403915122</v>
      </c>
      <c r="AZ61" s="839">
        <v>438692.91461748979</v>
      </c>
      <c r="BA61" s="839">
        <v>460236.83889744111</v>
      </c>
      <c r="BB61" s="839">
        <v>442676.74993058713</v>
      </c>
      <c r="BC61" s="839">
        <v>430266.48893325822</v>
      </c>
    </row>
    <row r="62" spans="1:55" ht="17.100000000000001" customHeight="1">
      <c r="A62" s="827"/>
      <c r="B62" s="828"/>
      <c r="C62" s="828"/>
      <c r="D62" s="828"/>
      <c r="E62" s="828"/>
      <c r="F62" s="828"/>
      <c r="G62" s="828"/>
      <c r="H62" s="828"/>
      <c r="I62" s="828"/>
      <c r="J62" s="828"/>
      <c r="K62" s="828"/>
      <c r="L62" s="828"/>
      <c r="M62" s="828"/>
      <c r="N62" s="828"/>
      <c r="O62" s="828"/>
      <c r="P62" s="828"/>
      <c r="Q62" s="828"/>
      <c r="R62" s="828"/>
      <c r="S62" s="828"/>
      <c r="T62" s="828"/>
      <c r="U62" s="828"/>
      <c r="V62" s="828"/>
      <c r="W62" s="828"/>
      <c r="X62" s="828"/>
      <c r="Y62" s="828"/>
      <c r="Z62" s="828"/>
      <c r="AA62" s="828"/>
      <c r="AB62" s="828"/>
      <c r="AC62" s="828"/>
      <c r="AD62" s="828"/>
      <c r="AE62" s="828"/>
      <c r="AF62" s="828"/>
      <c r="AG62" s="828"/>
      <c r="AH62" s="828"/>
      <c r="AI62" s="828"/>
      <c r="AJ62" s="828"/>
      <c r="AK62" s="828"/>
      <c r="AL62" s="828"/>
      <c r="AM62" s="828"/>
      <c r="AN62" s="829"/>
      <c r="AO62" s="830"/>
      <c r="AP62" s="830"/>
      <c r="AQ62" s="830"/>
      <c r="AR62" s="830"/>
      <c r="AS62" s="830"/>
      <c r="AT62" s="830"/>
      <c r="AU62" s="830"/>
      <c r="AV62" s="830"/>
      <c r="AW62" s="830"/>
      <c r="AX62" s="830"/>
      <c r="AY62" s="830"/>
      <c r="AZ62" s="830"/>
      <c r="BA62" s="830"/>
      <c r="BB62" s="830"/>
      <c r="BC62" s="830"/>
    </row>
    <row r="63" spans="1:55" ht="17.100000000000001" customHeight="1">
      <c r="A63" s="836" t="s">
        <v>608</v>
      </c>
      <c r="B63" s="837">
        <v>279735.10531540611</v>
      </c>
      <c r="C63" s="837">
        <v>280832.71616430732</v>
      </c>
      <c r="D63" s="837">
        <v>281427.58380275627</v>
      </c>
      <c r="E63" s="837">
        <v>282053.88717788766</v>
      </c>
      <c r="F63" s="837">
        <v>286161.75081736082</v>
      </c>
      <c r="G63" s="837">
        <v>286852.74157677876</v>
      </c>
      <c r="H63" s="837">
        <v>281980.74913940526</v>
      </c>
      <c r="I63" s="837">
        <v>282105.32767522562</v>
      </c>
      <c r="J63" s="837">
        <v>283581.44315563818</v>
      </c>
      <c r="K63" s="837">
        <v>287418.95498439157</v>
      </c>
      <c r="L63" s="837">
        <v>288135.77511421102</v>
      </c>
      <c r="M63" s="837">
        <v>300231.38741758827</v>
      </c>
      <c r="N63" s="837">
        <v>298556.62578708358</v>
      </c>
      <c r="O63" s="837">
        <v>298369.33004481444</v>
      </c>
      <c r="P63" s="837">
        <v>298155.49753263145</v>
      </c>
      <c r="Q63" s="837">
        <v>299059.78403224458</v>
      </c>
      <c r="R63" s="837">
        <v>299494.6394816144</v>
      </c>
      <c r="S63" s="837">
        <v>306227.71741607366</v>
      </c>
      <c r="T63" s="837">
        <v>305393.34314475307</v>
      </c>
      <c r="U63" s="837">
        <v>308770.06989294133</v>
      </c>
      <c r="V63" s="837">
        <v>309120.82380339794</v>
      </c>
      <c r="W63" s="837">
        <v>309586.03971583769</v>
      </c>
      <c r="X63" s="837">
        <v>312758.67268372775</v>
      </c>
      <c r="Y63" s="837">
        <v>319536.66994800232</v>
      </c>
      <c r="Z63" s="837">
        <v>318174.79569418321</v>
      </c>
      <c r="AA63" s="837">
        <v>318311.51350059046</v>
      </c>
      <c r="AB63" s="837">
        <v>321028.13302254636</v>
      </c>
      <c r="AC63" s="837">
        <v>321243.46464984748</v>
      </c>
      <c r="AD63" s="837">
        <v>323994.44183545001</v>
      </c>
      <c r="AE63" s="837">
        <v>327851.0242175223</v>
      </c>
      <c r="AF63" s="837">
        <v>328873.35024287179</v>
      </c>
      <c r="AG63" s="837">
        <v>329210.58830269566</v>
      </c>
      <c r="AH63" s="837">
        <v>331263.67529123981</v>
      </c>
      <c r="AI63" s="837">
        <v>334358.44301515532</v>
      </c>
      <c r="AJ63" s="837">
        <v>336572.52553336322</v>
      </c>
      <c r="AK63" s="837">
        <v>345617.19551340822</v>
      </c>
      <c r="AL63" s="837">
        <v>340908.92052914313</v>
      </c>
      <c r="AM63" s="837">
        <v>344826.53440251609</v>
      </c>
      <c r="AN63" s="838">
        <v>348245.69090443768</v>
      </c>
      <c r="AO63" s="839">
        <v>346565.10847846698</v>
      </c>
      <c r="AP63" s="839">
        <v>346711.64590246277</v>
      </c>
      <c r="AQ63" s="839">
        <v>351375.8188580295</v>
      </c>
      <c r="AR63" s="839">
        <v>352944.69968920399</v>
      </c>
      <c r="AS63" s="839">
        <v>351417.83862996544</v>
      </c>
      <c r="AT63" s="839">
        <v>350499.23615290475</v>
      </c>
      <c r="AU63" s="839">
        <v>349810.86009880243</v>
      </c>
      <c r="AV63" s="839">
        <v>354693.08322884847</v>
      </c>
      <c r="AW63" s="839">
        <v>365608.73772902408</v>
      </c>
      <c r="AX63" s="839">
        <v>364980.69233736559</v>
      </c>
      <c r="AY63" s="839">
        <v>369066.69688267616</v>
      </c>
      <c r="AZ63" s="839">
        <v>371778.39312112681</v>
      </c>
      <c r="BA63" s="839">
        <v>372675.47367760952</v>
      </c>
      <c r="BB63" s="839">
        <v>374448.43718937901</v>
      </c>
      <c r="BC63" s="839">
        <v>378456.25837457669</v>
      </c>
    </row>
    <row r="64" spans="1:55" ht="17.100000000000001" customHeight="1" thickBot="1">
      <c r="A64" s="845"/>
      <c r="B64" s="846"/>
      <c r="C64" s="846"/>
      <c r="D64" s="846"/>
      <c r="E64" s="846"/>
      <c r="F64" s="846"/>
      <c r="G64" s="846"/>
      <c r="H64" s="846"/>
      <c r="I64" s="846"/>
      <c r="J64" s="846"/>
      <c r="K64" s="846"/>
      <c r="L64" s="846"/>
      <c r="M64" s="846"/>
      <c r="N64" s="846"/>
      <c r="O64" s="846"/>
      <c r="P64" s="846"/>
      <c r="Q64" s="846"/>
      <c r="R64" s="846"/>
      <c r="S64" s="846"/>
      <c r="T64" s="846"/>
      <c r="U64" s="846"/>
      <c r="V64" s="846"/>
      <c r="W64" s="846"/>
      <c r="X64" s="869"/>
      <c r="Y64" s="869"/>
      <c r="Z64" s="869"/>
      <c r="AA64" s="869"/>
      <c r="AB64" s="869"/>
      <c r="AC64" s="869"/>
      <c r="AD64" s="869"/>
      <c r="AE64" s="869"/>
      <c r="AF64" s="869"/>
      <c r="AG64" s="869"/>
      <c r="AH64" s="869"/>
      <c r="AI64" s="869"/>
      <c r="AJ64" s="869"/>
      <c r="AK64" s="869"/>
      <c r="AL64" s="869"/>
      <c r="AM64" s="869"/>
      <c r="AN64" s="869"/>
      <c r="AO64" s="869"/>
      <c r="AP64" s="869"/>
      <c r="AQ64" s="869"/>
      <c r="AR64" s="869"/>
      <c r="AS64" s="869"/>
      <c r="AT64" s="869"/>
      <c r="AU64" s="869"/>
      <c r="AV64" s="869"/>
      <c r="AW64" s="869"/>
      <c r="AX64" s="869"/>
      <c r="AY64" s="869"/>
      <c r="AZ64" s="869"/>
      <c r="BA64" s="869"/>
      <c r="BB64" s="869"/>
      <c r="BC64" s="869"/>
    </row>
    <row r="65" spans="1:52" ht="15.75" thickTop="1">
      <c r="A65" s="847" t="s">
        <v>240</v>
      </c>
      <c r="B65" s="849"/>
      <c r="C65" s="849"/>
      <c r="D65" s="849"/>
      <c r="E65" s="849"/>
      <c r="F65" s="849"/>
      <c r="G65" s="849"/>
      <c r="H65" s="849"/>
      <c r="I65" s="849"/>
      <c r="J65" s="849"/>
      <c r="K65" s="849"/>
      <c r="L65" s="849"/>
      <c r="M65" s="849"/>
      <c r="N65" s="849"/>
      <c r="O65" s="849"/>
      <c r="P65" s="849"/>
      <c r="Q65" s="849"/>
      <c r="R65" s="849"/>
      <c r="S65" s="849"/>
      <c r="T65" s="849"/>
      <c r="U65" s="849"/>
      <c r="V65" s="849"/>
      <c r="W65" s="849"/>
      <c r="X65" s="849"/>
      <c r="Y65" s="849"/>
      <c r="Z65" s="849"/>
      <c r="AA65" s="849"/>
      <c r="AB65" s="849"/>
      <c r="AC65" s="849"/>
      <c r="AD65" s="849"/>
      <c r="AE65" s="849"/>
      <c r="AF65" s="849"/>
      <c r="AG65" s="849"/>
      <c r="AH65" s="849"/>
      <c r="AI65" s="849"/>
      <c r="AJ65" s="849"/>
      <c r="AK65" s="849"/>
      <c r="AL65" s="849"/>
      <c r="AM65" s="849"/>
      <c r="AN65" s="849"/>
      <c r="AO65" s="849"/>
      <c r="AP65" s="849"/>
      <c r="AQ65" s="849"/>
      <c r="AR65" s="849"/>
      <c r="AS65" s="849"/>
      <c r="AT65" s="849"/>
      <c r="AU65" s="849"/>
      <c r="AV65" s="849"/>
    </row>
    <row r="66" spans="1:52" ht="18">
      <c r="A66" s="847" t="s">
        <v>609</v>
      </c>
      <c r="B66" s="849"/>
      <c r="C66" s="849"/>
      <c r="D66" s="849"/>
      <c r="E66" s="849"/>
      <c r="F66" s="849"/>
      <c r="G66" s="849"/>
      <c r="H66" s="848"/>
      <c r="I66" s="849"/>
      <c r="J66" s="849"/>
      <c r="K66" s="849"/>
      <c r="L66" s="849"/>
      <c r="M66" s="849"/>
      <c r="N66" s="849"/>
      <c r="O66" s="849"/>
      <c r="P66" s="849"/>
      <c r="Q66" s="849"/>
      <c r="R66" s="849"/>
      <c r="S66" s="849"/>
      <c r="T66" s="849"/>
      <c r="U66" s="849"/>
      <c r="V66" s="849"/>
      <c r="W66" s="849"/>
      <c r="X66" s="849"/>
      <c r="Y66" s="849"/>
      <c r="Z66" s="849"/>
      <c r="AA66" s="849"/>
      <c r="AB66" s="849"/>
      <c r="AC66" s="849"/>
      <c r="AD66" s="849"/>
      <c r="AE66" s="849"/>
      <c r="AF66" s="849"/>
      <c r="AG66" s="849"/>
      <c r="AH66" s="849"/>
      <c r="AI66" s="849"/>
      <c r="AJ66" s="849"/>
      <c r="AK66" s="849"/>
      <c r="AL66" s="849"/>
      <c r="AM66" s="849"/>
      <c r="AN66" s="849"/>
      <c r="AO66" s="849"/>
      <c r="AP66" s="849"/>
      <c r="AQ66" s="849"/>
      <c r="AR66" s="849"/>
      <c r="AS66" s="849"/>
      <c r="AT66" s="849"/>
      <c r="AU66" s="849"/>
      <c r="AV66" s="849"/>
    </row>
    <row r="67" spans="1:52" ht="18">
      <c r="A67" s="850" t="s">
        <v>588</v>
      </c>
      <c r="B67" s="851"/>
      <c r="C67" s="852"/>
      <c r="D67" s="852"/>
      <c r="E67" s="852"/>
      <c r="F67" s="852"/>
      <c r="G67" s="852"/>
      <c r="H67" s="852"/>
      <c r="I67" s="852"/>
      <c r="J67" s="852"/>
      <c r="K67" s="852"/>
      <c r="L67" s="852"/>
      <c r="M67" s="852"/>
      <c r="N67" s="852"/>
      <c r="O67" s="852"/>
      <c r="P67" s="852"/>
      <c r="Q67" s="852"/>
      <c r="R67" s="852"/>
      <c r="S67" s="852"/>
      <c r="T67" s="852"/>
      <c r="U67" s="852"/>
      <c r="V67" s="852"/>
      <c r="W67" s="852"/>
      <c r="X67" s="852"/>
      <c r="Y67" s="852"/>
      <c r="Z67" s="852"/>
      <c r="AA67" s="848"/>
      <c r="AB67" s="848"/>
      <c r="AC67" s="848"/>
      <c r="AD67" s="848"/>
      <c r="AE67" s="849"/>
      <c r="AF67" s="849"/>
      <c r="AG67" s="849"/>
      <c r="AH67" s="849"/>
      <c r="AI67" s="849"/>
      <c r="AJ67" s="849"/>
      <c r="AK67" s="849"/>
      <c r="AL67" s="849"/>
      <c r="AM67" s="849"/>
      <c r="AN67" s="849"/>
      <c r="AO67" s="849"/>
      <c r="AP67" s="849"/>
      <c r="AQ67" s="849"/>
      <c r="AR67" s="849"/>
      <c r="AS67" s="849"/>
      <c r="AT67" s="849"/>
      <c r="AU67" s="849"/>
      <c r="AV67" s="849"/>
    </row>
    <row r="68" spans="1:52" ht="15">
      <c r="A68" s="850" t="s">
        <v>542</v>
      </c>
      <c r="B68" s="851"/>
      <c r="C68" s="852"/>
      <c r="D68" s="852"/>
      <c r="E68" s="852"/>
      <c r="F68" s="852"/>
      <c r="G68" s="852"/>
      <c r="H68" s="852"/>
      <c r="I68" s="852"/>
      <c r="J68" s="852"/>
      <c r="K68" s="852"/>
      <c r="L68" s="852"/>
      <c r="M68" s="852"/>
      <c r="N68" s="852"/>
      <c r="O68" s="852"/>
      <c r="P68" s="852"/>
      <c r="Q68" s="852"/>
      <c r="R68" s="852"/>
      <c r="S68" s="852"/>
      <c r="T68" s="852"/>
      <c r="U68" s="852"/>
      <c r="V68" s="852"/>
      <c r="W68" s="852"/>
      <c r="X68" s="852"/>
      <c r="Y68" s="852"/>
      <c r="Z68" s="852"/>
      <c r="AA68" s="848"/>
      <c r="AB68" s="848"/>
      <c r="AC68" s="848"/>
      <c r="AD68" s="848"/>
      <c r="AE68" s="849"/>
      <c r="AF68" s="849"/>
      <c r="AG68" s="849"/>
      <c r="AH68" s="849"/>
      <c r="AI68" s="849"/>
      <c r="AJ68" s="849"/>
      <c r="AK68" s="849"/>
      <c r="AL68" s="849"/>
      <c r="AM68" s="849"/>
      <c r="AN68" s="849"/>
      <c r="AO68" s="849"/>
      <c r="AP68" s="849"/>
      <c r="AQ68" s="849"/>
      <c r="AR68" s="849"/>
      <c r="AS68" s="849"/>
      <c r="AT68" s="849"/>
      <c r="AU68" s="849"/>
      <c r="AV68" s="849"/>
    </row>
    <row r="69" spans="1:52" ht="15">
      <c r="A69" s="847" t="s">
        <v>180</v>
      </c>
      <c r="B69" s="849"/>
      <c r="C69" s="849"/>
      <c r="D69" s="849"/>
      <c r="E69" s="848"/>
      <c r="F69" s="848"/>
      <c r="G69" s="848"/>
      <c r="H69" s="848"/>
      <c r="I69" s="848"/>
      <c r="J69" s="848"/>
      <c r="K69" s="848"/>
      <c r="L69" s="849"/>
      <c r="M69" s="849"/>
      <c r="N69" s="849"/>
      <c r="O69" s="849"/>
      <c r="P69" s="849"/>
      <c r="Q69" s="849"/>
      <c r="R69" s="849"/>
      <c r="S69" s="849"/>
      <c r="T69" s="849"/>
      <c r="U69" s="849"/>
      <c r="V69" s="849"/>
      <c r="W69" s="849"/>
      <c r="X69" s="849"/>
      <c r="Y69" s="849"/>
      <c r="Z69" s="849"/>
      <c r="AA69" s="849"/>
      <c r="AB69" s="849"/>
      <c r="AC69" s="849"/>
      <c r="AD69" s="849"/>
      <c r="AE69" s="849"/>
      <c r="AF69" s="849"/>
      <c r="AG69" s="849"/>
      <c r="AH69" s="849"/>
      <c r="AI69" s="849"/>
      <c r="AJ69" s="849"/>
      <c r="AK69" s="849"/>
      <c r="AL69" s="849"/>
      <c r="AM69" s="849"/>
      <c r="AN69" s="849"/>
      <c r="AO69" s="849"/>
      <c r="AP69" s="849"/>
      <c r="AQ69" s="849"/>
      <c r="AR69" s="849"/>
      <c r="AS69" s="849"/>
      <c r="AT69" s="849"/>
      <c r="AU69" s="849"/>
      <c r="AV69" s="849"/>
    </row>
    <row r="70" spans="1:52" ht="15">
      <c r="A70" s="849"/>
      <c r="B70" s="849"/>
      <c r="C70" s="849"/>
      <c r="D70" s="849"/>
      <c r="E70" s="849"/>
      <c r="F70" s="849"/>
      <c r="G70" s="849"/>
      <c r="H70" s="849"/>
      <c r="I70" s="849"/>
      <c r="J70" s="849"/>
      <c r="K70" s="849"/>
      <c r="L70" s="849"/>
      <c r="M70" s="849"/>
      <c r="N70" s="849"/>
      <c r="O70" s="849"/>
      <c r="P70" s="849"/>
      <c r="Q70" s="849"/>
      <c r="R70" s="849"/>
      <c r="S70" s="849"/>
      <c r="T70" s="849"/>
      <c r="U70" s="849"/>
      <c r="V70" s="849"/>
      <c r="W70" s="849"/>
      <c r="X70" s="849"/>
      <c r="Y70" s="849"/>
      <c r="Z70" s="849"/>
      <c r="AA70" s="849"/>
      <c r="AB70" s="849"/>
      <c r="AC70" s="849"/>
      <c r="AD70" s="849"/>
      <c r="AE70" s="849"/>
      <c r="AF70" s="849"/>
      <c r="AG70" s="849"/>
      <c r="AH70" s="849"/>
      <c r="AI70" s="849"/>
      <c r="AJ70" s="849"/>
      <c r="AK70" s="849"/>
      <c r="AL70" s="849"/>
      <c r="AM70" s="849"/>
      <c r="AN70" s="849"/>
      <c r="AO70" s="849"/>
      <c r="AP70" s="849"/>
      <c r="AQ70" s="849"/>
      <c r="AR70" s="849"/>
      <c r="AS70" s="849"/>
      <c r="AT70" s="849"/>
      <c r="AU70" s="849"/>
      <c r="AV70" s="849"/>
    </row>
    <row r="71" spans="1:52" ht="13.5">
      <c r="A71" s="870"/>
    </row>
    <row r="72" spans="1:52">
      <c r="B72" s="831"/>
      <c r="C72" s="831"/>
      <c r="D72" s="831"/>
      <c r="E72" s="831"/>
      <c r="F72" s="831"/>
      <c r="G72" s="831"/>
      <c r="H72" s="831"/>
      <c r="I72" s="831"/>
      <c r="J72" s="831"/>
      <c r="K72" s="831"/>
      <c r="L72" s="831"/>
      <c r="M72" s="831"/>
      <c r="N72" s="831"/>
      <c r="O72" s="831"/>
      <c r="P72" s="831"/>
      <c r="Q72" s="831"/>
      <c r="R72" s="831"/>
      <c r="S72" s="831"/>
      <c r="T72" s="831"/>
      <c r="U72" s="831"/>
      <c r="V72" s="831"/>
      <c r="W72" s="831"/>
      <c r="X72" s="831"/>
      <c r="Y72" s="831"/>
      <c r="Z72" s="831"/>
      <c r="AA72" s="831"/>
      <c r="AB72" s="831"/>
      <c r="AC72" s="831"/>
      <c r="AD72" s="831"/>
      <c r="AE72" s="831"/>
      <c r="AF72" s="831"/>
      <c r="AG72" s="831"/>
      <c r="AH72" s="831"/>
      <c r="AI72" s="831"/>
      <c r="AJ72" s="831"/>
      <c r="AK72" s="831"/>
      <c r="AL72" s="831"/>
      <c r="AM72" s="831"/>
      <c r="AN72" s="831"/>
      <c r="AO72" s="831"/>
      <c r="AP72" s="831"/>
      <c r="AQ72" s="831"/>
      <c r="AR72" s="831"/>
      <c r="AS72" s="831"/>
      <c r="AT72" s="831"/>
      <c r="AU72" s="831"/>
      <c r="AV72" s="831"/>
      <c r="AW72" s="831"/>
      <c r="AX72" s="831"/>
      <c r="AY72" s="831"/>
      <c r="AZ72" s="831"/>
    </row>
  </sheetData>
  <printOptions verticalCentered="1"/>
  <pageMargins left="0.78740157480314965" right="0" top="0.39370078740157483" bottom="0" header="0" footer="0"/>
  <pageSetup paperSize="9" scale="48" fitToWidth="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96"/>
  <sheetViews>
    <sheetView zoomScaleNormal="100" workbookViewId="0">
      <pane ySplit="77" topLeftCell="A78" activePane="bottomLeft" state="frozen"/>
      <selection pane="bottomLeft" activeCell="K1" sqref="K1"/>
    </sheetView>
  </sheetViews>
  <sheetFormatPr defaultRowHeight="15"/>
  <cols>
    <col min="1" max="1" width="8.42578125" style="877" customWidth="1"/>
    <col min="2" max="2" width="14.28515625" style="877" customWidth="1"/>
    <col min="3" max="3" width="7.140625" style="877" bestFit="1" customWidth="1"/>
    <col min="4" max="4" width="7.7109375" style="877" bestFit="1" customWidth="1"/>
    <col min="5" max="5" width="8.5703125" style="877" bestFit="1" customWidth="1"/>
    <col min="6" max="6" width="9.5703125" style="877" bestFit="1" customWidth="1"/>
    <col min="7" max="7" width="10.140625" style="877" bestFit="1" customWidth="1"/>
    <col min="8" max="8" width="8.7109375" style="877" bestFit="1" customWidth="1"/>
    <col min="9" max="9" width="8.140625" style="877" bestFit="1" customWidth="1"/>
    <col min="10" max="10" width="11.140625" style="877" customWidth="1"/>
    <col min="11" max="11" width="12.5703125" style="877" customWidth="1"/>
    <col min="12" max="13" width="9" style="877" bestFit="1" customWidth="1"/>
    <col min="14" max="14" width="9.42578125" style="976" customWidth="1"/>
    <col min="15" max="23" width="8.28515625" style="877" customWidth="1"/>
    <col min="24" max="24" width="10" style="977" customWidth="1"/>
    <col min="25" max="25" width="11.7109375" style="877" customWidth="1"/>
    <col min="26" max="26" width="9.140625" style="877"/>
    <col min="27" max="27" width="19.42578125" style="877" customWidth="1"/>
    <col min="28" max="28" width="16.42578125" style="877" bestFit="1" customWidth="1"/>
    <col min="29" max="256" width="9.140625" style="877"/>
    <col min="257" max="257" width="7.42578125" style="877" customWidth="1"/>
    <col min="258" max="258" width="11.140625" style="877" customWidth="1"/>
    <col min="259" max="259" width="7" style="877" bestFit="1" customWidth="1"/>
    <col min="260" max="260" width="7.5703125" style="877" bestFit="1" customWidth="1"/>
    <col min="261" max="261" width="7.7109375" style="877" bestFit="1" customWidth="1"/>
    <col min="262" max="262" width="9.42578125" style="877" bestFit="1" customWidth="1"/>
    <col min="263" max="263" width="10" style="877" bestFit="1" customWidth="1"/>
    <col min="264" max="264" width="8.28515625" style="877" customWidth="1"/>
    <col min="265" max="265" width="7.140625" style="877" customWidth="1"/>
    <col min="266" max="266" width="10.7109375" style="877" customWidth="1"/>
    <col min="267" max="267" width="8.5703125" style="877" customWidth="1"/>
    <col min="268" max="269" width="8.85546875" style="877" bestFit="1" customWidth="1"/>
    <col min="270" max="270" width="9.42578125" style="877" customWidth="1"/>
    <col min="271" max="279" width="8.28515625" style="877" customWidth="1"/>
    <col min="280" max="280" width="8.140625" style="877" customWidth="1"/>
    <col min="281" max="281" width="10.42578125" style="877" customWidth="1"/>
    <col min="282" max="282" width="9.140625" style="877"/>
    <col min="283" max="283" width="19.42578125" style="877" customWidth="1"/>
    <col min="284" max="284" width="16.42578125" style="877" bestFit="1" customWidth="1"/>
    <col min="285" max="512" width="9.140625" style="877"/>
    <col min="513" max="513" width="7.42578125" style="877" customWidth="1"/>
    <col min="514" max="514" width="11.140625" style="877" customWidth="1"/>
    <col min="515" max="515" width="7" style="877" bestFit="1" customWidth="1"/>
    <col min="516" max="516" width="7.5703125" style="877" bestFit="1" customWidth="1"/>
    <col min="517" max="517" width="7.7109375" style="877" bestFit="1" customWidth="1"/>
    <col min="518" max="518" width="9.42578125" style="877" bestFit="1" customWidth="1"/>
    <col min="519" max="519" width="10" style="877" bestFit="1" customWidth="1"/>
    <col min="520" max="520" width="8.28515625" style="877" customWidth="1"/>
    <col min="521" max="521" width="7.140625" style="877" customWidth="1"/>
    <col min="522" max="522" width="10.7109375" style="877" customWidth="1"/>
    <col min="523" max="523" width="8.5703125" style="877" customWidth="1"/>
    <col min="524" max="525" width="8.85546875" style="877" bestFit="1" customWidth="1"/>
    <col min="526" max="526" width="9.42578125" style="877" customWidth="1"/>
    <col min="527" max="535" width="8.28515625" style="877" customWidth="1"/>
    <col min="536" max="536" width="8.140625" style="877" customWidth="1"/>
    <col min="537" max="537" width="10.42578125" style="877" customWidth="1"/>
    <col min="538" max="538" width="9.140625" style="877"/>
    <col min="539" max="539" width="19.42578125" style="877" customWidth="1"/>
    <col min="540" max="540" width="16.42578125" style="877" bestFit="1" customWidth="1"/>
    <col min="541" max="768" width="9.140625" style="877"/>
    <col min="769" max="769" width="7.42578125" style="877" customWidth="1"/>
    <col min="770" max="770" width="11.140625" style="877" customWidth="1"/>
    <col min="771" max="771" width="7" style="877" bestFit="1" customWidth="1"/>
    <col min="772" max="772" width="7.5703125" style="877" bestFit="1" customWidth="1"/>
    <col min="773" max="773" width="7.7109375" style="877" bestFit="1" customWidth="1"/>
    <col min="774" max="774" width="9.42578125" style="877" bestFit="1" customWidth="1"/>
    <col min="775" max="775" width="10" style="877" bestFit="1" customWidth="1"/>
    <col min="776" max="776" width="8.28515625" style="877" customWidth="1"/>
    <col min="777" max="777" width="7.140625" style="877" customWidth="1"/>
    <col min="778" max="778" width="10.7109375" style="877" customWidth="1"/>
    <col min="779" max="779" width="8.5703125" style="877" customWidth="1"/>
    <col min="780" max="781" width="8.85546875" style="877" bestFit="1" customWidth="1"/>
    <col min="782" max="782" width="9.42578125" style="877" customWidth="1"/>
    <col min="783" max="791" width="8.28515625" style="877" customWidth="1"/>
    <col min="792" max="792" width="8.140625" style="877" customWidth="1"/>
    <col min="793" max="793" width="10.42578125" style="877" customWidth="1"/>
    <col min="794" max="794" width="9.140625" style="877"/>
    <col min="795" max="795" width="19.42578125" style="877" customWidth="1"/>
    <col min="796" max="796" width="16.42578125" style="877" bestFit="1" customWidth="1"/>
    <col min="797" max="1024" width="9.140625" style="877"/>
    <col min="1025" max="1025" width="7.42578125" style="877" customWidth="1"/>
    <col min="1026" max="1026" width="11.140625" style="877" customWidth="1"/>
    <col min="1027" max="1027" width="7" style="877" bestFit="1" customWidth="1"/>
    <col min="1028" max="1028" width="7.5703125" style="877" bestFit="1" customWidth="1"/>
    <col min="1029" max="1029" width="7.7109375" style="877" bestFit="1" customWidth="1"/>
    <col min="1030" max="1030" width="9.42578125" style="877" bestFit="1" customWidth="1"/>
    <col min="1031" max="1031" width="10" style="877" bestFit="1" customWidth="1"/>
    <col min="1032" max="1032" width="8.28515625" style="877" customWidth="1"/>
    <col min="1033" max="1033" width="7.140625" style="877" customWidth="1"/>
    <col min="1034" max="1034" width="10.7109375" style="877" customWidth="1"/>
    <col min="1035" max="1035" width="8.5703125" style="877" customWidth="1"/>
    <col min="1036" max="1037" width="8.85546875" style="877" bestFit="1" customWidth="1"/>
    <col min="1038" max="1038" width="9.42578125" style="877" customWidth="1"/>
    <col min="1039" max="1047" width="8.28515625" style="877" customWidth="1"/>
    <col min="1048" max="1048" width="8.140625" style="877" customWidth="1"/>
    <col min="1049" max="1049" width="10.42578125" style="877" customWidth="1"/>
    <col min="1050" max="1050" width="9.140625" style="877"/>
    <col min="1051" max="1051" width="19.42578125" style="877" customWidth="1"/>
    <col min="1052" max="1052" width="16.42578125" style="877" bestFit="1" customWidth="1"/>
    <col min="1053" max="1280" width="9.140625" style="877"/>
    <col min="1281" max="1281" width="7.42578125" style="877" customWidth="1"/>
    <col min="1282" max="1282" width="11.140625" style="877" customWidth="1"/>
    <col min="1283" max="1283" width="7" style="877" bestFit="1" customWidth="1"/>
    <col min="1284" max="1284" width="7.5703125" style="877" bestFit="1" customWidth="1"/>
    <col min="1285" max="1285" width="7.7109375" style="877" bestFit="1" customWidth="1"/>
    <col min="1286" max="1286" width="9.42578125" style="877" bestFit="1" customWidth="1"/>
    <col min="1287" max="1287" width="10" style="877" bestFit="1" customWidth="1"/>
    <col min="1288" max="1288" width="8.28515625" style="877" customWidth="1"/>
    <col min="1289" max="1289" width="7.140625" style="877" customWidth="1"/>
    <col min="1290" max="1290" width="10.7109375" style="877" customWidth="1"/>
    <col min="1291" max="1291" width="8.5703125" style="877" customWidth="1"/>
    <col min="1292" max="1293" width="8.85546875" style="877" bestFit="1" customWidth="1"/>
    <col min="1294" max="1294" width="9.42578125" style="877" customWidth="1"/>
    <col min="1295" max="1303" width="8.28515625" style="877" customWidth="1"/>
    <col min="1304" max="1304" width="8.140625" style="877" customWidth="1"/>
    <col min="1305" max="1305" width="10.42578125" style="877" customWidth="1"/>
    <col min="1306" max="1306" width="9.140625" style="877"/>
    <col min="1307" max="1307" width="19.42578125" style="877" customWidth="1"/>
    <col min="1308" max="1308" width="16.42578125" style="877" bestFit="1" customWidth="1"/>
    <col min="1309" max="1536" width="9.140625" style="877"/>
    <col min="1537" max="1537" width="7.42578125" style="877" customWidth="1"/>
    <col min="1538" max="1538" width="11.140625" style="877" customWidth="1"/>
    <col min="1539" max="1539" width="7" style="877" bestFit="1" customWidth="1"/>
    <col min="1540" max="1540" width="7.5703125" style="877" bestFit="1" customWidth="1"/>
    <col min="1541" max="1541" width="7.7109375" style="877" bestFit="1" customWidth="1"/>
    <col min="1542" max="1542" width="9.42578125" style="877" bestFit="1" customWidth="1"/>
    <col min="1543" max="1543" width="10" style="877" bestFit="1" customWidth="1"/>
    <col min="1544" max="1544" width="8.28515625" style="877" customWidth="1"/>
    <col min="1545" max="1545" width="7.140625" style="877" customWidth="1"/>
    <col min="1546" max="1546" width="10.7109375" style="877" customWidth="1"/>
    <col min="1547" max="1547" width="8.5703125" style="877" customWidth="1"/>
    <col min="1548" max="1549" width="8.85546875" style="877" bestFit="1" customWidth="1"/>
    <col min="1550" max="1550" width="9.42578125" style="877" customWidth="1"/>
    <col min="1551" max="1559" width="8.28515625" style="877" customWidth="1"/>
    <col min="1560" max="1560" width="8.140625" style="877" customWidth="1"/>
    <col min="1561" max="1561" width="10.42578125" style="877" customWidth="1"/>
    <col min="1562" max="1562" width="9.140625" style="877"/>
    <col min="1563" max="1563" width="19.42578125" style="877" customWidth="1"/>
    <col min="1564" max="1564" width="16.42578125" style="877" bestFit="1" customWidth="1"/>
    <col min="1565" max="1792" width="9.140625" style="877"/>
    <col min="1793" max="1793" width="7.42578125" style="877" customWidth="1"/>
    <col min="1794" max="1794" width="11.140625" style="877" customWidth="1"/>
    <col min="1795" max="1795" width="7" style="877" bestFit="1" customWidth="1"/>
    <col min="1796" max="1796" width="7.5703125" style="877" bestFit="1" customWidth="1"/>
    <col min="1797" max="1797" width="7.7109375" style="877" bestFit="1" customWidth="1"/>
    <col min="1798" max="1798" width="9.42578125" style="877" bestFit="1" customWidth="1"/>
    <col min="1799" max="1799" width="10" style="877" bestFit="1" customWidth="1"/>
    <col min="1800" max="1800" width="8.28515625" style="877" customWidth="1"/>
    <col min="1801" max="1801" width="7.140625" style="877" customWidth="1"/>
    <col min="1802" max="1802" width="10.7109375" style="877" customWidth="1"/>
    <col min="1803" max="1803" width="8.5703125" style="877" customWidth="1"/>
    <col min="1804" max="1805" width="8.85546875" style="877" bestFit="1" customWidth="1"/>
    <col min="1806" max="1806" width="9.42578125" style="877" customWidth="1"/>
    <col min="1807" max="1815" width="8.28515625" style="877" customWidth="1"/>
    <col min="1816" max="1816" width="8.140625" style="877" customWidth="1"/>
    <col min="1817" max="1817" width="10.42578125" style="877" customWidth="1"/>
    <col min="1818" max="1818" width="9.140625" style="877"/>
    <col min="1819" max="1819" width="19.42578125" style="877" customWidth="1"/>
    <col min="1820" max="1820" width="16.42578125" style="877" bestFit="1" customWidth="1"/>
    <col min="1821" max="2048" width="9.140625" style="877"/>
    <col min="2049" max="2049" width="7.42578125" style="877" customWidth="1"/>
    <col min="2050" max="2050" width="11.140625" style="877" customWidth="1"/>
    <col min="2051" max="2051" width="7" style="877" bestFit="1" customWidth="1"/>
    <col min="2052" max="2052" width="7.5703125" style="877" bestFit="1" customWidth="1"/>
    <col min="2053" max="2053" width="7.7109375" style="877" bestFit="1" customWidth="1"/>
    <col min="2054" max="2054" width="9.42578125" style="877" bestFit="1" customWidth="1"/>
    <col min="2055" max="2055" width="10" style="877" bestFit="1" customWidth="1"/>
    <col min="2056" max="2056" width="8.28515625" style="877" customWidth="1"/>
    <col min="2057" max="2057" width="7.140625" style="877" customWidth="1"/>
    <col min="2058" max="2058" width="10.7109375" style="877" customWidth="1"/>
    <col min="2059" max="2059" width="8.5703125" style="877" customWidth="1"/>
    <col min="2060" max="2061" width="8.85546875" style="877" bestFit="1" customWidth="1"/>
    <col min="2062" max="2062" width="9.42578125" style="877" customWidth="1"/>
    <col min="2063" max="2071" width="8.28515625" style="877" customWidth="1"/>
    <col min="2072" max="2072" width="8.140625" style="877" customWidth="1"/>
    <col min="2073" max="2073" width="10.42578125" style="877" customWidth="1"/>
    <col min="2074" max="2074" width="9.140625" style="877"/>
    <col min="2075" max="2075" width="19.42578125" style="877" customWidth="1"/>
    <col min="2076" max="2076" width="16.42578125" style="877" bestFit="1" customWidth="1"/>
    <col min="2077" max="2304" width="9.140625" style="877"/>
    <col min="2305" max="2305" width="7.42578125" style="877" customWidth="1"/>
    <col min="2306" max="2306" width="11.140625" style="877" customWidth="1"/>
    <col min="2307" max="2307" width="7" style="877" bestFit="1" customWidth="1"/>
    <col min="2308" max="2308" width="7.5703125" style="877" bestFit="1" customWidth="1"/>
    <col min="2309" max="2309" width="7.7109375" style="877" bestFit="1" customWidth="1"/>
    <col min="2310" max="2310" width="9.42578125" style="877" bestFit="1" customWidth="1"/>
    <col min="2311" max="2311" width="10" style="877" bestFit="1" customWidth="1"/>
    <col min="2312" max="2312" width="8.28515625" style="877" customWidth="1"/>
    <col min="2313" max="2313" width="7.140625" style="877" customWidth="1"/>
    <col min="2314" max="2314" width="10.7109375" style="877" customWidth="1"/>
    <col min="2315" max="2315" width="8.5703125" style="877" customWidth="1"/>
    <col min="2316" max="2317" width="8.85546875" style="877" bestFit="1" customWidth="1"/>
    <col min="2318" max="2318" width="9.42578125" style="877" customWidth="1"/>
    <col min="2319" max="2327" width="8.28515625" style="877" customWidth="1"/>
    <col min="2328" max="2328" width="8.140625" style="877" customWidth="1"/>
    <col min="2329" max="2329" width="10.42578125" style="877" customWidth="1"/>
    <col min="2330" max="2330" width="9.140625" style="877"/>
    <col min="2331" max="2331" width="19.42578125" style="877" customWidth="1"/>
    <col min="2332" max="2332" width="16.42578125" style="877" bestFit="1" customWidth="1"/>
    <col min="2333" max="2560" width="9.140625" style="877"/>
    <col min="2561" max="2561" width="7.42578125" style="877" customWidth="1"/>
    <col min="2562" max="2562" width="11.140625" style="877" customWidth="1"/>
    <col min="2563" max="2563" width="7" style="877" bestFit="1" customWidth="1"/>
    <col min="2564" max="2564" width="7.5703125" style="877" bestFit="1" customWidth="1"/>
    <col min="2565" max="2565" width="7.7109375" style="877" bestFit="1" customWidth="1"/>
    <col min="2566" max="2566" width="9.42578125" style="877" bestFit="1" customWidth="1"/>
    <col min="2567" max="2567" width="10" style="877" bestFit="1" customWidth="1"/>
    <col min="2568" max="2568" width="8.28515625" style="877" customWidth="1"/>
    <col min="2569" max="2569" width="7.140625" style="877" customWidth="1"/>
    <col min="2570" max="2570" width="10.7109375" style="877" customWidth="1"/>
    <col min="2571" max="2571" width="8.5703125" style="877" customWidth="1"/>
    <col min="2572" max="2573" width="8.85546875" style="877" bestFit="1" customWidth="1"/>
    <col min="2574" max="2574" width="9.42578125" style="877" customWidth="1"/>
    <col min="2575" max="2583" width="8.28515625" style="877" customWidth="1"/>
    <col min="2584" max="2584" width="8.140625" style="877" customWidth="1"/>
    <col min="2585" max="2585" width="10.42578125" style="877" customWidth="1"/>
    <col min="2586" max="2586" width="9.140625" style="877"/>
    <col min="2587" max="2587" width="19.42578125" style="877" customWidth="1"/>
    <col min="2588" max="2588" width="16.42578125" style="877" bestFit="1" customWidth="1"/>
    <col min="2589" max="2816" width="9.140625" style="877"/>
    <col min="2817" max="2817" width="7.42578125" style="877" customWidth="1"/>
    <col min="2818" max="2818" width="11.140625" style="877" customWidth="1"/>
    <col min="2819" max="2819" width="7" style="877" bestFit="1" customWidth="1"/>
    <col min="2820" max="2820" width="7.5703125" style="877" bestFit="1" customWidth="1"/>
    <col min="2821" max="2821" width="7.7109375" style="877" bestFit="1" customWidth="1"/>
    <col min="2822" max="2822" width="9.42578125" style="877" bestFit="1" customWidth="1"/>
    <col min="2823" max="2823" width="10" style="877" bestFit="1" customWidth="1"/>
    <col min="2824" max="2824" width="8.28515625" style="877" customWidth="1"/>
    <col min="2825" max="2825" width="7.140625" style="877" customWidth="1"/>
    <col min="2826" max="2826" width="10.7109375" style="877" customWidth="1"/>
    <col min="2827" max="2827" width="8.5703125" style="877" customWidth="1"/>
    <col min="2828" max="2829" width="8.85546875" style="877" bestFit="1" customWidth="1"/>
    <col min="2830" max="2830" width="9.42578125" style="877" customWidth="1"/>
    <col min="2831" max="2839" width="8.28515625" style="877" customWidth="1"/>
    <col min="2840" max="2840" width="8.140625" style="877" customWidth="1"/>
    <col min="2841" max="2841" width="10.42578125" style="877" customWidth="1"/>
    <col min="2842" max="2842" width="9.140625" style="877"/>
    <col min="2843" max="2843" width="19.42578125" style="877" customWidth="1"/>
    <col min="2844" max="2844" width="16.42578125" style="877" bestFit="1" customWidth="1"/>
    <col min="2845" max="3072" width="9.140625" style="877"/>
    <col min="3073" max="3073" width="7.42578125" style="877" customWidth="1"/>
    <col min="3074" max="3074" width="11.140625" style="877" customWidth="1"/>
    <col min="3075" max="3075" width="7" style="877" bestFit="1" customWidth="1"/>
    <col min="3076" max="3076" width="7.5703125" style="877" bestFit="1" customWidth="1"/>
    <col min="3077" max="3077" width="7.7109375" style="877" bestFit="1" customWidth="1"/>
    <col min="3078" max="3078" width="9.42578125" style="877" bestFit="1" customWidth="1"/>
    <col min="3079" max="3079" width="10" style="877" bestFit="1" customWidth="1"/>
    <col min="3080" max="3080" width="8.28515625" style="877" customWidth="1"/>
    <col min="3081" max="3081" width="7.140625" style="877" customWidth="1"/>
    <col min="3082" max="3082" width="10.7109375" style="877" customWidth="1"/>
    <col min="3083" max="3083" width="8.5703125" style="877" customWidth="1"/>
    <col min="3084" max="3085" width="8.85546875" style="877" bestFit="1" customWidth="1"/>
    <col min="3086" max="3086" width="9.42578125" style="877" customWidth="1"/>
    <col min="3087" max="3095" width="8.28515625" style="877" customWidth="1"/>
    <col min="3096" max="3096" width="8.140625" style="877" customWidth="1"/>
    <col min="3097" max="3097" width="10.42578125" style="877" customWidth="1"/>
    <col min="3098" max="3098" width="9.140625" style="877"/>
    <col min="3099" max="3099" width="19.42578125" style="877" customWidth="1"/>
    <col min="3100" max="3100" width="16.42578125" style="877" bestFit="1" customWidth="1"/>
    <col min="3101" max="3328" width="9.140625" style="877"/>
    <col min="3329" max="3329" width="7.42578125" style="877" customWidth="1"/>
    <col min="3330" max="3330" width="11.140625" style="877" customWidth="1"/>
    <col min="3331" max="3331" width="7" style="877" bestFit="1" customWidth="1"/>
    <col min="3332" max="3332" width="7.5703125" style="877" bestFit="1" customWidth="1"/>
    <col min="3333" max="3333" width="7.7109375" style="877" bestFit="1" customWidth="1"/>
    <col min="3334" max="3334" width="9.42578125" style="877" bestFit="1" customWidth="1"/>
    <col min="3335" max="3335" width="10" style="877" bestFit="1" customWidth="1"/>
    <col min="3336" max="3336" width="8.28515625" style="877" customWidth="1"/>
    <col min="3337" max="3337" width="7.140625" style="877" customWidth="1"/>
    <col min="3338" max="3338" width="10.7109375" style="877" customWidth="1"/>
    <col min="3339" max="3339" width="8.5703125" style="877" customWidth="1"/>
    <col min="3340" max="3341" width="8.85546875" style="877" bestFit="1" customWidth="1"/>
    <col min="3342" max="3342" width="9.42578125" style="877" customWidth="1"/>
    <col min="3343" max="3351" width="8.28515625" style="877" customWidth="1"/>
    <col min="3352" max="3352" width="8.140625" style="877" customWidth="1"/>
    <col min="3353" max="3353" width="10.42578125" style="877" customWidth="1"/>
    <col min="3354" max="3354" width="9.140625" style="877"/>
    <col min="3355" max="3355" width="19.42578125" style="877" customWidth="1"/>
    <col min="3356" max="3356" width="16.42578125" style="877" bestFit="1" customWidth="1"/>
    <col min="3357" max="3584" width="9.140625" style="877"/>
    <col min="3585" max="3585" width="7.42578125" style="877" customWidth="1"/>
    <col min="3586" max="3586" width="11.140625" style="877" customWidth="1"/>
    <col min="3587" max="3587" width="7" style="877" bestFit="1" customWidth="1"/>
    <col min="3588" max="3588" width="7.5703125" style="877" bestFit="1" customWidth="1"/>
    <col min="3589" max="3589" width="7.7109375" style="877" bestFit="1" customWidth="1"/>
    <col min="3590" max="3590" width="9.42578125" style="877" bestFit="1" customWidth="1"/>
    <col min="3591" max="3591" width="10" style="877" bestFit="1" customWidth="1"/>
    <col min="3592" max="3592" width="8.28515625" style="877" customWidth="1"/>
    <col min="3593" max="3593" width="7.140625" style="877" customWidth="1"/>
    <col min="3594" max="3594" width="10.7109375" style="877" customWidth="1"/>
    <col min="3595" max="3595" width="8.5703125" style="877" customWidth="1"/>
    <col min="3596" max="3597" width="8.85546875" style="877" bestFit="1" customWidth="1"/>
    <col min="3598" max="3598" width="9.42578125" style="877" customWidth="1"/>
    <col min="3599" max="3607" width="8.28515625" style="877" customWidth="1"/>
    <col min="3608" max="3608" width="8.140625" style="877" customWidth="1"/>
    <col min="3609" max="3609" width="10.42578125" style="877" customWidth="1"/>
    <col min="3610" max="3610" width="9.140625" style="877"/>
    <col min="3611" max="3611" width="19.42578125" style="877" customWidth="1"/>
    <col min="3612" max="3612" width="16.42578125" style="877" bestFit="1" customWidth="1"/>
    <col min="3613" max="3840" width="9.140625" style="877"/>
    <col min="3841" max="3841" width="7.42578125" style="877" customWidth="1"/>
    <col min="3842" max="3842" width="11.140625" style="877" customWidth="1"/>
    <col min="3843" max="3843" width="7" style="877" bestFit="1" customWidth="1"/>
    <col min="3844" max="3844" width="7.5703125" style="877" bestFit="1" customWidth="1"/>
    <col min="3845" max="3845" width="7.7109375" style="877" bestFit="1" customWidth="1"/>
    <col min="3846" max="3846" width="9.42578125" style="877" bestFit="1" customWidth="1"/>
    <col min="3847" max="3847" width="10" style="877" bestFit="1" customWidth="1"/>
    <col min="3848" max="3848" width="8.28515625" style="877" customWidth="1"/>
    <col min="3849" max="3849" width="7.140625" style="877" customWidth="1"/>
    <col min="3850" max="3850" width="10.7109375" style="877" customWidth="1"/>
    <col min="3851" max="3851" width="8.5703125" style="877" customWidth="1"/>
    <col min="3852" max="3853" width="8.85546875" style="877" bestFit="1" customWidth="1"/>
    <col min="3854" max="3854" width="9.42578125" style="877" customWidth="1"/>
    <col min="3855" max="3863" width="8.28515625" style="877" customWidth="1"/>
    <col min="3864" max="3864" width="8.140625" style="877" customWidth="1"/>
    <col min="3865" max="3865" width="10.42578125" style="877" customWidth="1"/>
    <col min="3866" max="3866" width="9.140625" style="877"/>
    <col min="3867" max="3867" width="19.42578125" style="877" customWidth="1"/>
    <col min="3868" max="3868" width="16.42578125" style="877" bestFit="1" customWidth="1"/>
    <col min="3869" max="4096" width="9.140625" style="877"/>
    <col min="4097" max="4097" width="7.42578125" style="877" customWidth="1"/>
    <col min="4098" max="4098" width="11.140625" style="877" customWidth="1"/>
    <col min="4099" max="4099" width="7" style="877" bestFit="1" customWidth="1"/>
    <col min="4100" max="4100" width="7.5703125" style="877" bestFit="1" customWidth="1"/>
    <col min="4101" max="4101" width="7.7109375" style="877" bestFit="1" customWidth="1"/>
    <col min="4102" max="4102" width="9.42578125" style="877" bestFit="1" customWidth="1"/>
    <col min="4103" max="4103" width="10" style="877" bestFit="1" customWidth="1"/>
    <col min="4104" max="4104" width="8.28515625" style="877" customWidth="1"/>
    <col min="4105" max="4105" width="7.140625" style="877" customWidth="1"/>
    <col min="4106" max="4106" width="10.7109375" style="877" customWidth="1"/>
    <col min="4107" max="4107" width="8.5703125" style="877" customWidth="1"/>
    <col min="4108" max="4109" width="8.85546875" style="877" bestFit="1" customWidth="1"/>
    <col min="4110" max="4110" width="9.42578125" style="877" customWidth="1"/>
    <col min="4111" max="4119" width="8.28515625" style="877" customWidth="1"/>
    <col min="4120" max="4120" width="8.140625" style="877" customWidth="1"/>
    <col min="4121" max="4121" width="10.42578125" style="877" customWidth="1"/>
    <col min="4122" max="4122" width="9.140625" style="877"/>
    <col min="4123" max="4123" width="19.42578125" style="877" customWidth="1"/>
    <col min="4124" max="4124" width="16.42578125" style="877" bestFit="1" customWidth="1"/>
    <col min="4125" max="4352" width="9.140625" style="877"/>
    <col min="4353" max="4353" width="7.42578125" style="877" customWidth="1"/>
    <col min="4354" max="4354" width="11.140625" style="877" customWidth="1"/>
    <col min="4355" max="4355" width="7" style="877" bestFit="1" customWidth="1"/>
    <col min="4356" max="4356" width="7.5703125" style="877" bestFit="1" customWidth="1"/>
    <col min="4357" max="4357" width="7.7109375" style="877" bestFit="1" customWidth="1"/>
    <col min="4358" max="4358" width="9.42578125" style="877" bestFit="1" customWidth="1"/>
    <col min="4359" max="4359" width="10" style="877" bestFit="1" customWidth="1"/>
    <col min="4360" max="4360" width="8.28515625" style="877" customWidth="1"/>
    <col min="4361" max="4361" width="7.140625" style="877" customWidth="1"/>
    <col min="4362" max="4362" width="10.7109375" style="877" customWidth="1"/>
    <col min="4363" max="4363" width="8.5703125" style="877" customWidth="1"/>
    <col min="4364" max="4365" width="8.85546875" style="877" bestFit="1" customWidth="1"/>
    <col min="4366" max="4366" width="9.42578125" style="877" customWidth="1"/>
    <col min="4367" max="4375" width="8.28515625" style="877" customWidth="1"/>
    <col min="4376" max="4376" width="8.140625" style="877" customWidth="1"/>
    <col min="4377" max="4377" width="10.42578125" style="877" customWidth="1"/>
    <col min="4378" max="4378" width="9.140625" style="877"/>
    <col min="4379" max="4379" width="19.42578125" style="877" customWidth="1"/>
    <col min="4380" max="4380" width="16.42578125" style="877" bestFit="1" customWidth="1"/>
    <col min="4381" max="4608" width="9.140625" style="877"/>
    <col min="4609" max="4609" width="7.42578125" style="877" customWidth="1"/>
    <col min="4610" max="4610" width="11.140625" style="877" customWidth="1"/>
    <col min="4611" max="4611" width="7" style="877" bestFit="1" customWidth="1"/>
    <col min="4612" max="4612" width="7.5703125" style="877" bestFit="1" customWidth="1"/>
    <col min="4613" max="4613" width="7.7109375" style="877" bestFit="1" customWidth="1"/>
    <col min="4614" max="4614" width="9.42578125" style="877" bestFit="1" customWidth="1"/>
    <col min="4615" max="4615" width="10" style="877" bestFit="1" customWidth="1"/>
    <col min="4616" max="4616" width="8.28515625" style="877" customWidth="1"/>
    <col min="4617" max="4617" width="7.140625" style="877" customWidth="1"/>
    <col min="4618" max="4618" width="10.7109375" style="877" customWidth="1"/>
    <col min="4619" max="4619" width="8.5703125" style="877" customWidth="1"/>
    <col min="4620" max="4621" width="8.85546875" style="877" bestFit="1" customWidth="1"/>
    <col min="4622" max="4622" width="9.42578125" style="877" customWidth="1"/>
    <col min="4623" max="4631" width="8.28515625" style="877" customWidth="1"/>
    <col min="4632" max="4632" width="8.140625" style="877" customWidth="1"/>
    <col min="4633" max="4633" width="10.42578125" style="877" customWidth="1"/>
    <col min="4634" max="4634" width="9.140625" style="877"/>
    <col min="4635" max="4635" width="19.42578125" style="877" customWidth="1"/>
    <col min="4636" max="4636" width="16.42578125" style="877" bestFit="1" customWidth="1"/>
    <col min="4637" max="4864" width="9.140625" style="877"/>
    <col min="4865" max="4865" width="7.42578125" style="877" customWidth="1"/>
    <col min="4866" max="4866" width="11.140625" style="877" customWidth="1"/>
    <col min="4867" max="4867" width="7" style="877" bestFit="1" customWidth="1"/>
    <col min="4868" max="4868" width="7.5703125" style="877" bestFit="1" customWidth="1"/>
    <col min="4869" max="4869" width="7.7109375" style="877" bestFit="1" customWidth="1"/>
    <col min="4870" max="4870" width="9.42578125" style="877" bestFit="1" customWidth="1"/>
    <col min="4871" max="4871" width="10" style="877" bestFit="1" customWidth="1"/>
    <col min="4872" max="4872" width="8.28515625" style="877" customWidth="1"/>
    <col min="4873" max="4873" width="7.140625" style="877" customWidth="1"/>
    <col min="4874" max="4874" width="10.7109375" style="877" customWidth="1"/>
    <col min="4875" max="4875" width="8.5703125" style="877" customWidth="1"/>
    <col min="4876" max="4877" width="8.85546875" style="877" bestFit="1" customWidth="1"/>
    <col min="4878" max="4878" width="9.42578125" style="877" customWidth="1"/>
    <col min="4879" max="4887" width="8.28515625" style="877" customWidth="1"/>
    <col min="4888" max="4888" width="8.140625" style="877" customWidth="1"/>
    <col min="4889" max="4889" width="10.42578125" style="877" customWidth="1"/>
    <col min="4890" max="4890" width="9.140625" style="877"/>
    <col min="4891" max="4891" width="19.42578125" style="877" customWidth="1"/>
    <col min="4892" max="4892" width="16.42578125" style="877" bestFit="1" customWidth="1"/>
    <col min="4893" max="5120" width="9.140625" style="877"/>
    <col min="5121" max="5121" width="7.42578125" style="877" customWidth="1"/>
    <col min="5122" max="5122" width="11.140625" style="877" customWidth="1"/>
    <col min="5123" max="5123" width="7" style="877" bestFit="1" customWidth="1"/>
    <col min="5124" max="5124" width="7.5703125" style="877" bestFit="1" customWidth="1"/>
    <col min="5125" max="5125" width="7.7109375" style="877" bestFit="1" customWidth="1"/>
    <col min="5126" max="5126" width="9.42578125" style="877" bestFit="1" customWidth="1"/>
    <col min="5127" max="5127" width="10" style="877" bestFit="1" customWidth="1"/>
    <col min="5128" max="5128" width="8.28515625" style="877" customWidth="1"/>
    <col min="5129" max="5129" width="7.140625" style="877" customWidth="1"/>
    <col min="5130" max="5130" width="10.7109375" style="877" customWidth="1"/>
    <col min="5131" max="5131" width="8.5703125" style="877" customWidth="1"/>
    <col min="5132" max="5133" width="8.85546875" style="877" bestFit="1" customWidth="1"/>
    <col min="5134" max="5134" width="9.42578125" style="877" customWidth="1"/>
    <col min="5135" max="5143" width="8.28515625" style="877" customWidth="1"/>
    <col min="5144" max="5144" width="8.140625" style="877" customWidth="1"/>
    <col min="5145" max="5145" width="10.42578125" style="877" customWidth="1"/>
    <col min="5146" max="5146" width="9.140625" style="877"/>
    <col min="5147" max="5147" width="19.42578125" style="877" customWidth="1"/>
    <col min="5148" max="5148" width="16.42578125" style="877" bestFit="1" customWidth="1"/>
    <col min="5149" max="5376" width="9.140625" style="877"/>
    <col min="5377" max="5377" width="7.42578125" style="877" customWidth="1"/>
    <col min="5378" max="5378" width="11.140625" style="877" customWidth="1"/>
    <col min="5379" max="5379" width="7" style="877" bestFit="1" customWidth="1"/>
    <col min="5380" max="5380" width="7.5703125" style="877" bestFit="1" customWidth="1"/>
    <col min="5381" max="5381" width="7.7109375" style="877" bestFit="1" customWidth="1"/>
    <col min="5382" max="5382" width="9.42578125" style="877" bestFit="1" customWidth="1"/>
    <col min="5383" max="5383" width="10" style="877" bestFit="1" customWidth="1"/>
    <col min="5384" max="5384" width="8.28515625" style="877" customWidth="1"/>
    <col min="5385" max="5385" width="7.140625" style="877" customWidth="1"/>
    <col min="5386" max="5386" width="10.7109375" style="877" customWidth="1"/>
    <col min="5387" max="5387" width="8.5703125" style="877" customWidth="1"/>
    <col min="5388" max="5389" width="8.85546875" style="877" bestFit="1" customWidth="1"/>
    <col min="5390" max="5390" width="9.42578125" style="877" customWidth="1"/>
    <col min="5391" max="5399" width="8.28515625" style="877" customWidth="1"/>
    <col min="5400" max="5400" width="8.140625" style="877" customWidth="1"/>
    <col min="5401" max="5401" width="10.42578125" style="877" customWidth="1"/>
    <col min="5402" max="5402" width="9.140625" style="877"/>
    <col min="5403" max="5403" width="19.42578125" style="877" customWidth="1"/>
    <col min="5404" max="5404" width="16.42578125" style="877" bestFit="1" customWidth="1"/>
    <col min="5405" max="5632" width="9.140625" style="877"/>
    <col min="5633" max="5633" width="7.42578125" style="877" customWidth="1"/>
    <col min="5634" max="5634" width="11.140625" style="877" customWidth="1"/>
    <col min="5635" max="5635" width="7" style="877" bestFit="1" customWidth="1"/>
    <col min="5636" max="5636" width="7.5703125" style="877" bestFit="1" customWidth="1"/>
    <col min="5637" max="5637" width="7.7109375" style="877" bestFit="1" customWidth="1"/>
    <col min="5638" max="5638" width="9.42578125" style="877" bestFit="1" customWidth="1"/>
    <col min="5639" max="5639" width="10" style="877" bestFit="1" customWidth="1"/>
    <col min="5640" max="5640" width="8.28515625" style="877" customWidth="1"/>
    <col min="5641" max="5641" width="7.140625" style="877" customWidth="1"/>
    <col min="5642" max="5642" width="10.7109375" style="877" customWidth="1"/>
    <col min="5643" max="5643" width="8.5703125" style="877" customWidth="1"/>
    <col min="5644" max="5645" width="8.85546875" style="877" bestFit="1" customWidth="1"/>
    <col min="5646" max="5646" width="9.42578125" style="877" customWidth="1"/>
    <col min="5647" max="5655" width="8.28515625" style="877" customWidth="1"/>
    <col min="5656" max="5656" width="8.140625" style="877" customWidth="1"/>
    <col min="5657" max="5657" width="10.42578125" style="877" customWidth="1"/>
    <col min="5658" max="5658" width="9.140625" style="877"/>
    <col min="5659" max="5659" width="19.42578125" style="877" customWidth="1"/>
    <col min="5660" max="5660" width="16.42578125" style="877" bestFit="1" customWidth="1"/>
    <col min="5661" max="5888" width="9.140625" style="877"/>
    <col min="5889" max="5889" width="7.42578125" style="877" customWidth="1"/>
    <col min="5890" max="5890" width="11.140625" style="877" customWidth="1"/>
    <col min="5891" max="5891" width="7" style="877" bestFit="1" customWidth="1"/>
    <col min="5892" max="5892" width="7.5703125" style="877" bestFit="1" customWidth="1"/>
    <col min="5893" max="5893" width="7.7109375" style="877" bestFit="1" customWidth="1"/>
    <col min="5894" max="5894" width="9.42578125" style="877" bestFit="1" customWidth="1"/>
    <col min="5895" max="5895" width="10" style="877" bestFit="1" customWidth="1"/>
    <col min="5896" max="5896" width="8.28515625" style="877" customWidth="1"/>
    <col min="5897" max="5897" width="7.140625" style="877" customWidth="1"/>
    <col min="5898" max="5898" width="10.7109375" style="877" customWidth="1"/>
    <col min="5899" max="5899" width="8.5703125" style="877" customWidth="1"/>
    <col min="5900" max="5901" width="8.85546875" style="877" bestFit="1" customWidth="1"/>
    <col min="5902" max="5902" width="9.42578125" style="877" customWidth="1"/>
    <col min="5903" max="5911" width="8.28515625" style="877" customWidth="1"/>
    <col min="5912" max="5912" width="8.140625" style="877" customWidth="1"/>
    <col min="5913" max="5913" width="10.42578125" style="877" customWidth="1"/>
    <col min="5914" max="5914" width="9.140625" style="877"/>
    <col min="5915" max="5915" width="19.42578125" style="877" customWidth="1"/>
    <col min="5916" max="5916" width="16.42578125" style="877" bestFit="1" customWidth="1"/>
    <col min="5917" max="6144" width="9.140625" style="877"/>
    <col min="6145" max="6145" width="7.42578125" style="877" customWidth="1"/>
    <col min="6146" max="6146" width="11.140625" style="877" customWidth="1"/>
    <col min="6147" max="6147" width="7" style="877" bestFit="1" customWidth="1"/>
    <col min="6148" max="6148" width="7.5703125" style="877" bestFit="1" customWidth="1"/>
    <col min="6149" max="6149" width="7.7109375" style="877" bestFit="1" customWidth="1"/>
    <col min="6150" max="6150" width="9.42578125" style="877" bestFit="1" customWidth="1"/>
    <col min="6151" max="6151" width="10" style="877" bestFit="1" customWidth="1"/>
    <col min="6152" max="6152" width="8.28515625" style="877" customWidth="1"/>
    <col min="6153" max="6153" width="7.140625" style="877" customWidth="1"/>
    <col min="6154" max="6154" width="10.7109375" style="877" customWidth="1"/>
    <col min="6155" max="6155" width="8.5703125" style="877" customWidth="1"/>
    <col min="6156" max="6157" width="8.85546875" style="877" bestFit="1" customWidth="1"/>
    <col min="6158" max="6158" width="9.42578125" style="877" customWidth="1"/>
    <col min="6159" max="6167" width="8.28515625" style="877" customWidth="1"/>
    <col min="6168" max="6168" width="8.140625" style="877" customWidth="1"/>
    <col min="6169" max="6169" width="10.42578125" style="877" customWidth="1"/>
    <col min="6170" max="6170" width="9.140625" style="877"/>
    <col min="6171" max="6171" width="19.42578125" style="877" customWidth="1"/>
    <col min="6172" max="6172" width="16.42578125" style="877" bestFit="1" customWidth="1"/>
    <col min="6173" max="6400" width="9.140625" style="877"/>
    <col min="6401" max="6401" width="7.42578125" style="877" customWidth="1"/>
    <col min="6402" max="6402" width="11.140625" style="877" customWidth="1"/>
    <col min="6403" max="6403" width="7" style="877" bestFit="1" customWidth="1"/>
    <col min="6404" max="6404" width="7.5703125" style="877" bestFit="1" customWidth="1"/>
    <col min="6405" max="6405" width="7.7109375" style="877" bestFit="1" customWidth="1"/>
    <col min="6406" max="6406" width="9.42578125" style="877" bestFit="1" customWidth="1"/>
    <col min="6407" max="6407" width="10" style="877" bestFit="1" customWidth="1"/>
    <col min="6408" max="6408" width="8.28515625" style="877" customWidth="1"/>
    <col min="6409" max="6409" width="7.140625" style="877" customWidth="1"/>
    <col min="6410" max="6410" width="10.7109375" style="877" customWidth="1"/>
    <col min="6411" max="6411" width="8.5703125" style="877" customWidth="1"/>
    <col min="6412" max="6413" width="8.85546875" style="877" bestFit="1" customWidth="1"/>
    <col min="6414" max="6414" width="9.42578125" style="877" customWidth="1"/>
    <col min="6415" max="6423" width="8.28515625" style="877" customWidth="1"/>
    <col min="6424" max="6424" width="8.140625" style="877" customWidth="1"/>
    <col min="6425" max="6425" width="10.42578125" style="877" customWidth="1"/>
    <col min="6426" max="6426" width="9.140625" style="877"/>
    <col min="6427" max="6427" width="19.42578125" style="877" customWidth="1"/>
    <col min="6428" max="6428" width="16.42578125" style="877" bestFit="1" customWidth="1"/>
    <col min="6429" max="6656" width="9.140625" style="877"/>
    <col min="6657" max="6657" width="7.42578125" style="877" customWidth="1"/>
    <col min="6658" max="6658" width="11.140625" style="877" customWidth="1"/>
    <col min="6659" max="6659" width="7" style="877" bestFit="1" customWidth="1"/>
    <col min="6660" max="6660" width="7.5703125" style="877" bestFit="1" customWidth="1"/>
    <col min="6661" max="6661" width="7.7109375" style="877" bestFit="1" customWidth="1"/>
    <col min="6662" max="6662" width="9.42578125" style="877" bestFit="1" customWidth="1"/>
    <col min="6663" max="6663" width="10" style="877" bestFit="1" customWidth="1"/>
    <col min="6664" max="6664" width="8.28515625" style="877" customWidth="1"/>
    <col min="6665" max="6665" width="7.140625" style="877" customWidth="1"/>
    <col min="6666" max="6666" width="10.7109375" style="877" customWidth="1"/>
    <col min="6667" max="6667" width="8.5703125" style="877" customWidth="1"/>
    <col min="6668" max="6669" width="8.85546875" style="877" bestFit="1" customWidth="1"/>
    <col min="6670" max="6670" width="9.42578125" style="877" customWidth="1"/>
    <col min="6671" max="6679" width="8.28515625" style="877" customWidth="1"/>
    <col min="6680" max="6680" width="8.140625" style="877" customWidth="1"/>
    <col min="6681" max="6681" width="10.42578125" style="877" customWidth="1"/>
    <col min="6682" max="6682" width="9.140625" style="877"/>
    <col min="6683" max="6683" width="19.42578125" style="877" customWidth="1"/>
    <col min="6684" max="6684" width="16.42578125" style="877" bestFit="1" customWidth="1"/>
    <col min="6685" max="6912" width="9.140625" style="877"/>
    <col min="6913" max="6913" width="7.42578125" style="877" customWidth="1"/>
    <col min="6914" max="6914" width="11.140625" style="877" customWidth="1"/>
    <col min="6915" max="6915" width="7" style="877" bestFit="1" customWidth="1"/>
    <col min="6916" max="6916" width="7.5703125" style="877" bestFit="1" customWidth="1"/>
    <col min="6917" max="6917" width="7.7109375" style="877" bestFit="1" customWidth="1"/>
    <col min="6918" max="6918" width="9.42578125" style="877" bestFit="1" customWidth="1"/>
    <col min="6919" max="6919" width="10" style="877" bestFit="1" customWidth="1"/>
    <col min="6920" max="6920" width="8.28515625" style="877" customWidth="1"/>
    <col min="6921" max="6921" width="7.140625" style="877" customWidth="1"/>
    <col min="6922" max="6922" width="10.7109375" style="877" customWidth="1"/>
    <col min="6923" max="6923" width="8.5703125" style="877" customWidth="1"/>
    <col min="6924" max="6925" width="8.85546875" style="877" bestFit="1" customWidth="1"/>
    <col min="6926" max="6926" width="9.42578125" style="877" customWidth="1"/>
    <col min="6927" max="6935" width="8.28515625" style="877" customWidth="1"/>
    <col min="6936" max="6936" width="8.140625" style="877" customWidth="1"/>
    <col min="6937" max="6937" width="10.42578125" style="877" customWidth="1"/>
    <col min="6938" max="6938" width="9.140625" style="877"/>
    <col min="6939" max="6939" width="19.42578125" style="877" customWidth="1"/>
    <col min="6940" max="6940" width="16.42578125" style="877" bestFit="1" customWidth="1"/>
    <col min="6941" max="7168" width="9.140625" style="877"/>
    <col min="7169" max="7169" width="7.42578125" style="877" customWidth="1"/>
    <col min="7170" max="7170" width="11.140625" style="877" customWidth="1"/>
    <col min="7171" max="7171" width="7" style="877" bestFit="1" customWidth="1"/>
    <col min="7172" max="7172" width="7.5703125" style="877" bestFit="1" customWidth="1"/>
    <col min="7173" max="7173" width="7.7109375" style="877" bestFit="1" customWidth="1"/>
    <col min="7174" max="7174" width="9.42578125" style="877" bestFit="1" customWidth="1"/>
    <col min="7175" max="7175" width="10" style="877" bestFit="1" customWidth="1"/>
    <col min="7176" max="7176" width="8.28515625" style="877" customWidth="1"/>
    <col min="7177" max="7177" width="7.140625" style="877" customWidth="1"/>
    <col min="7178" max="7178" width="10.7109375" style="877" customWidth="1"/>
    <col min="7179" max="7179" width="8.5703125" style="877" customWidth="1"/>
    <col min="7180" max="7181" width="8.85546875" style="877" bestFit="1" customWidth="1"/>
    <col min="7182" max="7182" width="9.42578125" style="877" customWidth="1"/>
    <col min="7183" max="7191" width="8.28515625" style="877" customWidth="1"/>
    <col min="7192" max="7192" width="8.140625" style="877" customWidth="1"/>
    <col min="7193" max="7193" width="10.42578125" style="877" customWidth="1"/>
    <col min="7194" max="7194" width="9.140625" style="877"/>
    <col min="7195" max="7195" width="19.42578125" style="877" customWidth="1"/>
    <col min="7196" max="7196" width="16.42578125" style="877" bestFit="1" customWidth="1"/>
    <col min="7197" max="7424" width="9.140625" style="877"/>
    <col min="7425" max="7425" width="7.42578125" style="877" customWidth="1"/>
    <col min="7426" max="7426" width="11.140625" style="877" customWidth="1"/>
    <col min="7427" max="7427" width="7" style="877" bestFit="1" customWidth="1"/>
    <col min="7428" max="7428" width="7.5703125" style="877" bestFit="1" customWidth="1"/>
    <col min="7429" max="7429" width="7.7109375" style="877" bestFit="1" customWidth="1"/>
    <col min="7430" max="7430" width="9.42578125" style="877" bestFit="1" customWidth="1"/>
    <col min="7431" max="7431" width="10" style="877" bestFit="1" customWidth="1"/>
    <col min="7432" max="7432" width="8.28515625" style="877" customWidth="1"/>
    <col min="7433" max="7433" width="7.140625" style="877" customWidth="1"/>
    <col min="7434" max="7434" width="10.7109375" style="877" customWidth="1"/>
    <col min="7435" max="7435" width="8.5703125" style="877" customWidth="1"/>
    <col min="7436" max="7437" width="8.85546875" style="877" bestFit="1" customWidth="1"/>
    <col min="7438" max="7438" width="9.42578125" style="877" customWidth="1"/>
    <col min="7439" max="7447" width="8.28515625" style="877" customWidth="1"/>
    <col min="7448" max="7448" width="8.140625" style="877" customWidth="1"/>
    <col min="7449" max="7449" width="10.42578125" style="877" customWidth="1"/>
    <col min="7450" max="7450" width="9.140625" style="877"/>
    <col min="7451" max="7451" width="19.42578125" style="877" customWidth="1"/>
    <col min="7452" max="7452" width="16.42578125" style="877" bestFit="1" customWidth="1"/>
    <col min="7453" max="7680" width="9.140625" style="877"/>
    <col min="7681" max="7681" width="7.42578125" style="877" customWidth="1"/>
    <col min="7682" max="7682" width="11.140625" style="877" customWidth="1"/>
    <col min="7683" max="7683" width="7" style="877" bestFit="1" customWidth="1"/>
    <col min="7684" max="7684" width="7.5703125" style="877" bestFit="1" customWidth="1"/>
    <col min="7685" max="7685" width="7.7109375" style="877" bestFit="1" customWidth="1"/>
    <col min="7686" max="7686" width="9.42578125" style="877" bestFit="1" customWidth="1"/>
    <col min="7687" max="7687" width="10" style="877" bestFit="1" customWidth="1"/>
    <col min="7688" max="7688" width="8.28515625" style="877" customWidth="1"/>
    <col min="7689" max="7689" width="7.140625" style="877" customWidth="1"/>
    <col min="7690" max="7690" width="10.7109375" style="877" customWidth="1"/>
    <col min="7691" max="7691" width="8.5703125" style="877" customWidth="1"/>
    <col min="7692" max="7693" width="8.85546875" style="877" bestFit="1" customWidth="1"/>
    <col min="7694" max="7694" width="9.42578125" style="877" customWidth="1"/>
    <col min="7695" max="7703" width="8.28515625" style="877" customWidth="1"/>
    <col min="7704" max="7704" width="8.140625" style="877" customWidth="1"/>
    <col min="7705" max="7705" width="10.42578125" style="877" customWidth="1"/>
    <col min="7706" max="7706" width="9.140625" style="877"/>
    <col min="7707" max="7707" width="19.42578125" style="877" customWidth="1"/>
    <col min="7708" max="7708" width="16.42578125" style="877" bestFit="1" customWidth="1"/>
    <col min="7709" max="7936" width="9.140625" style="877"/>
    <col min="7937" max="7937" width="7.42578125" style="877" customWidth="1"/>
    <col min="7938" max="7938" width="11.140625" style="877" customWidth="1"/>
    <col min="7939" max="7939" width="7" style="877" bestFit="1" customWidth="1"/>
    <col min="7940" max="7940" width="7.5703125" style="877" bestFit="1" customWidth="1"/>
    <col min="7941" max="7941" width="7.7109375" style="877" bestFit="1" customWidth="1"/>
    <col min="7942" max="7942" width="9.42578125" style="877" bestFit="1" customWidth="1"/>
    <col min="7943" max="7943" width="10" style="877" bestFit="1" customWidth="1"/>
    <col min="7944" max="7944" width="8.28515625" style="877" customWidth="1"/>
    <col min="7945" max="7945" width="7.140625" style="877" customWidth="1"/>
    <col min="7946" max="7946" width="10.7109375" style="877" customWidth="1"/>
    <col min="7947" max="7947" width="8.5703125" style="877" customWidth="1"/>
    <col min="7948" max="7949" width="8.85546875" style="877" bestFit="1" customWidth="1"/>
    <col min="7950" max="7950" width="9.42578125" style="877" customWidth="1"/>
    <col min="7951" max="7959" width="8.28515625" style="877" customWidth="1"/>
    <col min="7960" max="7960" width="8.140625" style="877" customWidth="1"/>
    <col min="7961" max="7961" width="10.42578125" style="877" customWidth="1"/>
    <col min="7962" max="7962" width="9.140625" style="877"/>
    <col min="7963" max="7963" width="19.42578125" style="877" customWidth="1"/>
    <col min="7964" max="7964" width="16.42578125" style="877" bestFit="1" customWidth="1"/>
    <col min="7965" max="8192" width="9.140625" style="877"/>
    <col min="8193" max="8193" width="7.42578125" style="877" customWidth="1"/>
    <col min="8194" max="8194" width="11.140625" style="877" customWidth="1"/>
    <col min="8195" max="8195" width="7" style="877" bestFit="1" customWidth="1"/>
    <col min="8196" max="8196" width="7.5703125" style="877" bestFit="1" customWidth="1"/>
    <col min="8197" max="8197" width="7.7109375" style="877" bestFit="1" customWidth="1"/>
    <col min="8198" max="8198" width="9.42578125" style="877" bestFit="1" customWidth="1"/>
    <col min="8199" max="8199" width="10" style="877" bestFit="1" customWidth="1"/>
    <col min="8200" max="8200" width="8.28515625" style="877" customWidth="1"/>
    <col min="8201" max="8201" width="7.140625" style="877" customWidth="1"/>
    <col min="8202" max="8202" width="10.7109375" style="877" customWidth="1"/>
    <col min="8203" max="8203" width="8.5703125" style="877" customWidth="1"/>
    <col min="8204" max="8205" width="8.85546875" style="877" bestFit="1" customWidth="1"/>
    <col min="8206" max="8206" width="9.42578125" style="877" customWidth="1"/>
    <col min="8207" max="8215" width="8.28515625" style="877" customWidth="1"/>
    <col min="8216" max="8216" width="8.140625" style="877" customWidth="1"/>
    <col min="8217" max="8217" width="10.42578125" style="877" customWidth="1"/>
    <col min="8218" max="8218" width="9.140625" style="877"/>
    <col min="8219" max="8219" width="19.42578125" style="877" customWidth="1"/>
    <col min="8220" max="8220" width="16.42578125" style="877" bestFit="1" customWidth="1"/>
    <col min="8221" max="8448" width="9.140625" style="877"/>
    <col min="8449" max="8449" width="7.42578125" style="877" customWidth="1"/>
    <col min="8450" max="8450" width="11.140625" style="877" customWidth="1"/>
    <col min="8451" max="8451" width="7" style="877" bestFit="1" customWidth="1"/>
    <col min="8452" max="8452" width="7.5703125" style="877" bestFit="1" customWidth="1"/>
    <col min="8453" max="8453" width="7.7109375" style="877" bestFit="1" customWidth="1"/>
    <col min="8454" max="8454" width="9.42578125" style="877" bestFit="1" customWidth="1"/>
    <col min="8455" max="8455" width="10" style="877" bestFit="1" customWidth="1"/>
    <col min="8456" max="8456" width="8.28515625" style="877" customWidth="1"/>
    <col min="8457" max="8457" width="7.140625" style="877" customWidth="1"/>
    <col min="8458" max="8458" width="10.7109375" style="877" customWidth="1"/>
    <col min="8459" max="8459" width="8.5703125" style="877" customWidth="1"/>
    <col min="8460" max="8461" width="8.85546875" style="877" bestFit="1" customWidth="1"/>
    <col min="8462" max="8462" width="9.42578125" style="877" customWidth="1"/>
    <col min="8463" max="8471" width="8.28515625" style="877" customWidth="1"/>
    <col min="8472" max="8472" width="8.140625" style="877" customWidth="1"/>
    <col min="8473" max="8473" width="10.42578125" style="877" customWidth="1"/>
    <col min="8474" max="8474" width="9.140625" style="877"/>
    <col min="8475" max="8475" width="19.42578125" style="877" customWidth="1"/>
    <col min="8476" max="8476" width="16.42578125" style="877" bestFit="1" customWidth="1"/>
    <col min="8477" max="8704" width="9.140625" style="877"/>
    <col min="8705" max="8705" width="7.42578125" style="877" customWidth="1"/>
    <col min="8706" max="8706" width="11.140625" style="877" customWidth="1"/>
    <col min="8707" max="8707" width="7" style="877" bestFit="1" customWidth="1"/>
    <col min="8708" max="8708" width="7.5703125" style="877" bestFit="1" customWidth="1"/>
    <col min="8709" max="8709" width="7.7109375" style="877" bestFit="1" customWidth="1"/>
    <col min="8710" max="8710" width="9.42578125" style="877" bestFit="1" customWidth="1"/>
    <col min="8711" max="8711" width="10" style="877" bestFit="1" customWidth="1"/>
    <col min="8712" max="8712" width="8.28515625" style="877" customWidth="1"/>
    <col min="8713" max="8713" width="7.140625" style="877" customWidth="1"/>
    <col min="8714" max="8714" width="10.7109375" style="877" customWidth="1"/>
    <col min="8715" max="8715" width="8.5703125" style="877" customWidth="1"/>
    <col min="8716" max="8717" width="8.85546875" style="877" bestFit="1" customWidth="1"/>
    <col min="8718" max="8718" width="9.42578125" style="877" customWidth="1"/>
    <col min="8719" max="8727" width="8.28515625" style="877" customWidth="1"/>
    <col min="8728" max="8728" width="8.140625" style="877" customWidth="1"/>
    <col min="8729" max="8729" width="10.42578125" style="877" customWidth="1"/>
    <col min="8730" max="8730" width="9.140625" style="877"/>
    <col min="8731" max="8731" width="19.42578125" style="877" customWidth="1"/>
    <col min="8732" max="8732" width="16.42578125" style="877" bestFit="1" customWidth="1"/>
    <col min="8733" max="8960" width="9.140625" style="877"/>
    <col min="8961" max="8961" width="7.42578125" style="877" customWidth="1"/>
    <col min="8962" max="8962" width="11.140625" style="877" customWidth="1"/>
    <col min="8963" max="8963" width="7" style="877" bestFit="1" customWidth="1"/>
    <col min="8964" max="8964" width="7.5703125" style="877" bestFit="1" customWidth="1"/>
    <col min="8965" max="8965" width="7.7109375" style="877" bestFit="1" customWidth="1"/>
    <col min="8966" max="8966" width="9.42578125" style="877" bestFit="1" customWidth="1"/>
    <col min="8967" max="8967" width="10" style="877" bestFit="1" customWidth="1"/>
    <col min="8968" max="8968" width="8.28515625" style="877" customWidth="1"/>
    <col min="8969" max="8969" width="7.140625" style="877" customWidth="1"/>
    <col min="8970" max="8970" width="10.7109375" style="877" customWidth="1"/>
    <col min="8971" max="8971" width="8.5703125" style="877" customWidth="1"/>
    <col min="8972" max="8973" width="8.85546875" style="877" bestFit="1" customWidth="1"/>
    <col min="8974" max="8974" width="9.42578125" style="877" customWidth="1"/>
    <col min="8975" max="8983" width="8.28515625" style="877" customWidth="1"/>
    <col min="8984" max="8984" width="8.140625" style="877" customWidth="1"/>
    <col min="8985" max="8985" width="10.42578125" style="877" customWidth="1"/>
    <col min="8986" max="8986" width="9.140625" style="877"/>
    <col min="8987" max="8987" width="19.42578125" style="877" customWidth="1"/>
    <col min="8988" max="8988" width="16.42578125" style="877" bestFit="1" customWidth="1"/>
    <col min="8989" max="9216" width="9.140625" style="877"/>
    <col min="9217" max="9217" width="7.42578125" style="877" customWidth="1"/>
    <col min="9218" max="9218" width="11.140625" style="877" customWidth="1"/>
    <col min="9219" max="9219" width="7" style="877" bestFit="1" customWidth="1"/>
    <col min="9220" max="9220" width="7.5703125" style="877" bestFit="1" customWidth="1"/>
    <col min="9221" max="9221" width="7.7109375" style="877" bestFit="1" customWidth="1"/>
    <col min="9222" max="9222" width="9.42578125" style="877" bestFit="1" customWidth="1"/>
    <col min="9223" max="9223" width="10" style="877" bestFit="1" customWidth="1"/>
    <col min="9224" max="9224" width="8.28515625" style="877" customWidth="1"/>
    <col min="9225" max="9225" width="7.140625" style="877" customWidth="1"/>
    <col min="9226" max="9226" width="10.7109375" style="877" customWidth="1"/>
    <col min="9227" max="9227" width="8.5703125" style="877" customWidth="1"/>
    <col min="9228" max="9229" width="8.85546875" style="877" bestFit="1" customWidth="1"/>
    <col min="9230" max="9230" width="9.42578125" style="877" customWidth="1"/>
    <col min="9231" max="9239" width="8.28515625" style="877" customWidth="1"/>
    <col min="9240" max="9240" width="8.140625" style="877" customWidth="1"/>
    <col min="9241" max="9241" width="10.42578125" style="877" customWidth="1"/>
    <col min="9242" max="9242" width="9.140625" style="877"/>
    <col min="9243" max="9243" width="19.42578125" style="877" customWidth="1"/>
    <col min="9244" max="9244" width="16.42578125" style="877" bestFit="1" customWidth="1"/>
    <col min="9245" max="9472" width="9.140625" style="877"/>
    <col min="9473" max="9473" width="7.42578125" style="877" customWidth="1"/>
    <col min="9474" max="9474" width="11.140625" style="877" customWidth="1"/>
    <col min="9475" max="9475" width="7" style="877" bestFit="1" customWidth="1"/>
    <col min="9476" max="9476" width="7.5703125" style="877" bestFit="1" customWidth="1"/>
    <col min="9477" max="9477" width="7.7109375" style="877" bestFit="1" customWidth="1"/>
    <col min="9478" max="9478" width="9.42578125" style="877" bestFit="1" customWidth="1"/>
    <col min="9479" max="9479" width="10" style="877" bestFit="1" customWidth="1"/>
    <col min="9480" max="9480" width="8.28515625" style="877" customWidth="1"/>
    <col min="9481" max="9481" width="7.140625" style="877" customWidth="1"/>
    <col min="9482" max="9482" width="10.7109375" style="877" customWidth="1"/>
    <col min="9483" max="9483" width="8.5703125" style="877" customWidth="1"/>
    <col min="9484" max="9485" width="8.85546875" style="877" bestFit="1" customWidth="1"/>
    <col min="9486" max="9486" width="9.42578125" style="877" customWidth="1"/>
    <col min="9487" max="9495" width="8.28515625" style="877" customWidth="1"/>
    <col min="9496" max="9496" width="8.140625" style="877" customWidth="1"/>
    <col min="9497" max="9497" width="10.42578125" style="877" customWidth="1"/>
    <col min="9498" max="9498" width="9.140625" style="877"/>
    <col min="9499" max="9499" width="19.42578125" style="877" customWidth="1"/>
    <col min="9500" max="9500" width="16.42578125" style="877" bestFit="1" customWidth="1"/>
    <col min="9501" max="9728" width="9.140625" style="877"/>
    <col min="9729" max="9729" width="7.42578125" style="877" customWidth="1"/>
    <col min="9730" max="9730" width="11.140625" style="877" customWidth="1"/>
    <col min="9731" max="9731" width="7" style="877" bestFit="1" customWidth="1"/>
    <col min="9732" max="9732" width="7.5703125" style="877" bestFit="1" customWidth="1"/>
    <col min="9733" max="9733" width="7.7109375" style="877" bestFit="1" customWidth="1"/>
    <col min="9734" max="9734" width="9.42578125" style="877" bestFit="1" customWidth="1"/>
    <col min="9735" max="9735" width="10" style="877" bestFit="1" customWidth="1"/>
    <col min="9736" max="9736" width="8.28515625" style="877" customWidth="1"/>
    <col min="9737" max="9737" width="7.140625" style="877" customWidth="1"/>
    <col min="9738" max="9738" width="10.7109375" style="877" customWidth="1"/>
    <col min="9739" max="9739" width="8.5703125" style="877" customWidth="1"/>
    <col min="9740" max="9741" width="8.85546875" style="877" bestFit="1" customWidth="1"/>
    <col min="9742" max="9742" width="9.42578125" style="877" customWidth="1"/>
    <col min="9743" max="9751" width="8.28515625" style="877" customWidth="1"/>
    <col min="9752" max="9752" width="8.140625" style="877" customWidth="1"/>
    <col min="9753" max="9753" width="10.42578125" style="877" customWidth="1"/>
    <col min="9754" max="9754" width="9.140625" style="877"/>
    <col min="9755" max="9755" width="19.42578125" style="877" customWidth="1"/>
    <col min="9756" max="9756" width="16.42578125" style="877" bestFit="1" customWidth="1"/>
    <col min="9757" max="9984" width="9.140625" style="877"/>
    <col min="9985" max="9985" width="7.42578125" style="877" customWidth="1"/>
    <col min="9986" max="9986" width="11.140625" style="877" customWidth="1"/>
    <col min="9987" max="9987" width="7" style="877" bestFit="1" customWidth="1"/>
    <col min="9988" max="9988" width="7.5703125" style="877" bestFit="1" customWidth="1"/>
    <col min="9989" max="9989" width="7.7109375" style="877" bestFit="1" customWidth="1"/>
    <col min="9990" max="9990" width="9.42578125" style="877" bestFit="1" customWidth="1"/>
    <col min="9991" max="9991" width="10" style="877" bestFit="1" customWidth="1"/>
    <col min="9992" max="9992" width="8.28515625" style="877" customWidth="1"/>
    <col min="9993" max="9993" width="7.140625" style="877" customWidth="1"/>
    <col min="9994" max="9994" width="10.7109375" style="877" customWidth="1"/>
    <col min="9995" max="9995" width="8.5703125" style="877" customWidth="1"/>
    <col min="9996" max="9997" width="8.85546875" style="877" bestFit="1" customWidth="1"/>
    <col min="9998" max="9998" width="9.42578125" style="877" customWidth="1"/>
    <col min="9999" max="10007" width="8.28515625" style="877" customWidth="1"/>
    <col min="10008" max="10008" width="8.140625" style="877" customWidth="1"/>
    <col min="10009" max="10009" width="10.42578125" style="877" customWidth="1"/>
    <col min="10010" max="10010" width="9.140625" style="877"/>
    <col min="10011" max="10011" width="19.42578125" style="877" customWidth="1"/>
    <col min="10012" max="10012" width="16.42578125" style="877" bestFit="1" customWidth="1"/>
    <col min="10013" max="10240" width="9.140625" style="877"/>
    <col min="10241" max="10241" width="7.42578125" style="877" customWidth="1"/>
    <col min="10242" max="10242" width="11.140625" style="877" customWidth="1"/>
    <col min="10243" max="10243" width="7" style="877" bestFit="1" customWidth="1"/>
    <col min="10244" max="10244" width="7.5703125" style="877" bestFit="1" customWidth="1"/>
    <col min="10245" max="10245" width="7.7109375" style="877" bestFit="1" customWidth="1"/>
    <col min="10246" max="10246" width="9.42578125" style="877" bestFit="1" customWidth="1"/>
    <col min="10247" max="10247" width="10" style="877" bestFit="1" customWidth="1"/>
    <col min="10248" max="10248" width="8.28515625" style="877" customWidth="1"/>
    <col min="10249" max="10249" width="7.140625" style="877" customWidth="1"/>
    <col min="10250" max="10250" width="10.7109375" style="877" customWidth="1"/>
    <col min="10251" max="10251" width="8.5703125" style="877" customWidth="1"/>
    <col min="10252" max="10253" width="8.85546875" style="877" bestFit="1" customWidth="1"/>
    <col min="10254" max="10254" width="9.42578125" style="877" customWidth="1"/>
    <col min="10255" max="10263" width="8.28515625" style="877" customWidth="1"/>
    <col min="10264" max="10264" width="8.140625" style="877" customWidth="1"/>
    <col min="10265" max="10265" width="10.42578125" style="877" customWidth="1"/>
    <col min="10266" max="10266" width="9.140625" style="877"/>
    <col min="10267" max="10267" width="19.42578125" style="877" customWidth="1"/>
    <col min="10268" max="10268" width="16.42578125" style="877" bestFit="1" customWidth="1"/>
    <col min="10269" max="10496" width="9.140625" style="877"/>
    <col min="10497" max="10497" width="7.42578125" style="877" customWidth="1"/>
    <col min="10498" max="10498" width="11.140625" style="877" customWidth="1"/>
    <col min="10499" max="10499" width="7" style="877" bestFit="1" customWidth="1"/>
    <col min="10500" max="10500" width="7.5703125" style="877" bestFit="1" customWidth="1"/>
    <col min="10501" max="10501" width="7.7109375" style="877" bestFit="1" customWidth="1"/>
    <col min="10502" max="10502" width="9.42578125" style="877" bestFit="1" customWidth="1"/>
    <col min="10503" max="10503" width="10" style="877" bestFit="1" customWidth="1"/>
    <col min="10504" max="10504" width="8.28515625" style="877" customWidth="1"/>
    <col min="10505" max="10505" width="7.140625" style="877" customWidth="1"/>
    <col min="10506" max="10506" width="10.7109375" style="877" customWidth="1"/>
    <col min="10507" max="10507" width="8.5703125" style="877" customWidth="1"/>
    <col min="10508" max="10509" width="8.85546875" style="877" bestFit="1" customWidth="1"/>
    <col min="10510" max="10510" width="9.42578125" style="877" customWidth="1"/>
    <col min="10511" max="10519" width="8.28515625" style="877" customWidth="1"/>
    <col min="10520" max="10520" width="8.140625" style="877" customWidth="1"/>
    <col min="10521" max="10521" width="10.42578125" style="877" customWidth="1"/>
    <col min="10522" max="10522" width="9.140625" style="877"/>
    <col min="10523" max="10523" width="19.42578125" style="877" customWidth="1"/>
    <col min="10524" max="10524" width="16.42578125" style="877" bestFit="1" customWidth="1"/>
    <col min="10525" max="10752" width="9.140625" style="877"/>
    <col min="10753" max="10753" width="7.42578125" style="877" customWidth="1"/>
    <col min="10754" max="10754" width="11.140625" style="877" customWidth="1"/>
    <col min="10755" max="10755" width="7" style="877" bestFit="1" customWidth="1"/>
    <col min="10756" max="10756" width="7.5703125" style="877" bestFit="1" customWidth="1"/>
    <col min="10757" max="10757" width="7.7109375" style="877" bestFit="1" customWidth="1"/>
    <col min="10758" max="10758" width="9.42578125" style="877" bestFit="1" customWidth="1"/>
    <col min="10759" max="10759" width="10" style="877" bestFit="1" customWidth="1"/>
    <col min="10760" max="10760" width="8.28515625" style="877" customWidth="1"/>
    <col min="10761" max="10761" width="7.140625" style="877" customWidth="1"/>
    <col min="10762" max="10762" width="10.7109375" style="877" customWidth="1"/>
    <col min="10763" max="10763" width="8.5703125" style="877" customWidth="1"/>
    <col min="10764" max="10765" width="8.85546875" style="877" bestFit="1" customWidth="1"/>
    <col min="10766" max="10766" width="9.42578125" style="877" customWidth="1"/>
    <col min="10767" max="10775" width="8.28515625" style="877" customWidth="1"/>
    <col min="10776" max="10776" width="8.140625" style="877" customWidth="1"/>
    <col min="10777" max="10777" width="10.42578125" style="877" customWidth="1"/>
    <col min="10778" max="10778" width="9.140625" style="877"/>
    <col min="10779" max="10779" width="19.42578125" style="877" customWidth="1"/>
    <col min="10780" max="10780" width="16.42578125" style="877" bestFit="1" customWidth="1"/>
    <col min="10781" max="11008" width="9.140625" style="877"/>
    <col min="11009" max="11009" width="7.42578125" style="877" customWidth="1"/>
    <col min="11010" max="11010" width="11.140625" style="877" customWidth="1"/>
    <col min="11011" max="11011" width="7" style="877" bestFit="1" customWidth="1"/>
    <col min="11012" max="11012" width="7.5703125" style="877" bestFit="1" customWidth="1"/>
    <col min="11013" max="11013" width="7.7109375" style="877" bestFit="1" customWidth="1"/>
    <col min="11014" max="11014" width="9.42578125" style="877" bestFit="1" customWidth="1"/>
    <col min="11015" max="11015" width="10" style="877" bestFit="1" customWidth="1"/>
    <col min="11016" max="11016" width="8.28515625" style="877" customWidth="1"/>
    <col min="11017" max="11017" width="7.140625" style="877" customWidth="1"/>
    <col min="11018" max="11018" width="10.7109375" style="877" customWidth="1"/>
    <col min="11019" max="11019" width="8.5703125" style="877" customWidth="1"/>
    <col min="11020" max="11021" width="8.85546875" style="877" bestFit="1" customWidth="1"/>
    <col min="11022" max="11022" width="9.42578125" style="877" customWidth="1"/>
    <col min="11023" max="11031" width="8.28515625" style="877" customWidth="1"/>
    <col min="11032" max="11032" width="8.140625" style="877" customWidth="1"/>
    <col min="11033" max="11033" width="10.42578125" style="877" customWidth="1"/>
    <col min="11034" max="11034" width="9.140625" style="877"/>
    <col min="11035" max="11035" width="19.42578125" style="877" customWidth="1"/>
    <col min="11036" max="11036" width="16.42578125" style="877" bestFit="1" customWidth="1"/>
    <col min="11037" max="11264" width="9.140625" style="877"/>
    <col min="11265" max="11265" width="7.42578125" style="877" customWidth="1"/>
    <col min="11266" max="11266" width="11.140625" style="877" customWidth="1"/>
    <col min="11267" max="11267" width="7" style="877" bestFit="1" customWidth="1"/>
    <col min="11268" max="11268" width="7.5703125" style="877" bestFit="1" customWidth="1"/>
    <col min="11269" max="11269" width="7.7109375" style="877" bestFit="1" customWidth="1"/>
    <col min="11270" max="11270" width="9.42578125" style="877" bestFit="1" customWidth="1"/>
    <col min="11271" max="11271" width="10" style="877" bestFit="1" customWidth="1"/>
    <col min="11272" max="11272" width="8.28515625" style="877" customWidth="1"/>
    <col min="11273" max="11273" width="7.140625" style="877" customWidth="1"/>
    <col min="11274" max="11274" width="10.7109375" style="877" customWidth="1"/>
    <col min="11275" max="11275" width="8.5703125" style="877" customWidth="1"/>
    <col min="11276" max="11277" width="8.85546875" style="877" bestFit="1" customWidth="1"/>
    <col min="11278" max="11278" width="9.42578125" style="877" customWidth="1"/>
    <col min="11279" max="11287" width="8.28515625" style="877" customWidth="1"/>
    <col min="11288" max="11288" width="8.140625" style="877" customWidth="1"/>
    <col min="11289" max="11289" width="10.42578125" style="877" customWidth="1"/>
    <col min="11290" max="11290" width="9.140625" style="877"/>
    <col min="11291" max="11291" width="19.42578125" style="877" customWidth="1"/>
    <col min="11292" max="11292" width="16.42578125" style="877" bestFit="1" customWidth="1"/>
    <col min="11293" max="11520" width="9.140625" style="877"/>
    <col min="11521" max="11521" width="7.42578125" style="877" customWidth="1"/>
    <col min="11522" max="11522" width="11.140625" style="877" customWidth="1"/>
    <col min="11523" max="11523" width="7" style="877" bestFit="1" customWidth="1"/>
    <col min="11524" max="11524" width="7.5703125" style="877" bestFit="1" customWidth="1"/>
    <col min="11525" max="11525" width="7.7109375" style="877" bestFit="1" customWidth="1"/>
    <col min="11526" max="11526" width="9.42578125" style="877" bestFit="1" customWidth="1"/>
    <col min="11527" max="11527" width="10" style="877" bestFit="1" customWidth="1"/>
    <col min="11528" max="11528" width="8.28515625" style="877" customWidth="1"/>
    <col min="11529" max="11529" width="7.140625" style="877" customWidth="1"/>
    <col min="11530" max="11530" width="10.7109375" style="877" customWidth="1"/>
    <col min="11531" max="11531" width="8.5703125" style="877" customWidth="1"/>
    <col min="11532" max="11533" width="8.85546875" style="877" bestFit="1" customWidth="1"/>
    <col min="11534" max="11534" width="9.42578125" style="877" customWidth="1"/>
    <col min="11535" max="11543" width="8.28515625" style="877" customWidth="1"/>
    <col min="11544" max="11544" width="8.140625" style="877" customWidth="1"/>
    <col min="11545" max="11545" width="10.42578125" style="877" customWidth="1"/>
    <col min="11546" max="11546" width="9.140625" style="877"/>
    <col min="11547" max="11547" width="19.42578125" style="877" customWidth="1"/>
    <col min="11548" max="11548" width="16.42578125" style="877" bestFit="1" customWidth="1"/>
    <col min="11549" max="11776" width="9.140625" style="877"/>
    <col min="11777" max="11777" width="7.42578125" style="877" customWidth="1"/>
    <col min="11778" max="11778" width="11.140625" style="877" customWidth="1"/>
    <col min="11779" max="11779" width="7" style="877" bestFit="1" customWidth="1"/>
    <col min="11780" max="11780" width="7.5703125" style="877" bestFit="1" customWidth="1"/>
    <col min="11781" max="11781" width="7.7109375" style="877" bestFit="1" customWidth="1"/>
    <col min="11782" max="11782" width="9.42578125" style="877" bestFit="1" customWidth="1"/>
    <col min="11783" max="11783" width="10" style="877" bestFit="1" customWidth="1"/>
    <col min="11784" max="11784" width="8.28515625" style="877" customWidth="1"/>
    <col min="11785" max="11785" width="7.140625" style="877" customWidth="1"/>
    <col min="11786" max="11786" width="10.7109375" style="877" customWidth="1"/>
    <col min="11787" max="11787" width="8.5703125" style="877" customWidth="1"/>
    <col min="11788" max="11789" width="8.85546875" style="877" bestFit="1" customWidth="1"/>
    <col min="11790" max="11790" width="9.42578125" style="877" customWidth="1"/>
    <col min="11791" max="11799" width="8.28515625" style="877" customWidth="1"/>
    <col min="11800" max="11800" width="8.140625" style="877" customWidth="1"/>
    <col min="11801" max="11801" width="10.42578125" style="877" customWidth="1"/>
    <col min="11802" max="11802" width="9.140625" style="877"/>
    <col min="11803" max="11803" width="19.42578125" style="877" customWidth="1"/>
    <col min="11804" max="11804" width="16.42578125" style="877" bestFit="1" customWidth="1"/>
    <col min="11805" max="12032" width="9.140625" style="877"/>
    <col min="12033" max="12033" width="7.42578125" style="877" customWidth="1"/>
    <col min="12034" max="12034" width="11.140625" style="877" customWidth="1"/>
    <col min="12035" max="12035" width="7" style="877" bestFit="1" customWidth="1"/>
    <col min="12036" max="12036" width="7.5703125" style="877" bestFit="1" customWidth="1"/>
    <col min="12037" max="12037" width="7.7109375" style="877" bestFit="1" customWidth="1"/>
    <col min="12038" max="12038" width="9.42578125" style="877" bestFit="1" customWidth="1"/>
    <col min="12039" max="12039" width="10" style="877" bestFit="1" customWidth="1"/>
    <col min="12040" max="12040" width="8.28515625" style="877" customWidth="1"/>
    <col min="12041" max="12041" width="7.140625" style="877" customWidth="1"/>
    <col min="12042" max="12042" width="10.7109375" style="877" customWidth="1"/>
    <col min="12043" max="12043" width="8.5703125" style="877" customWidth="1"/>
    <col min="12044" max="12045" width="8.85546875" style="877" bestFit="1" customWidth="1"/>
    <col min="12046" max="12046" width="9.42578125" style="877" customWidth="1"/>
    <col min="12047" max="12055" width="8.28515625" style="877" customWidth="1"/>
    <col min="12056" max="12056" width="8.140625" style="877" customWidth="1"/>
    <col min="12057" max="12057" width="10.42578125" style="877" customWidth="1"/>
    <col min="12058" max="12058" width="9.140625" style="877"/>
    <col min="12059" max="12059" width="19.42578125" style="877" customWidth="1"/>
    <col min="12060" max="12060" width="16.42578125" style="877" bestFit="1" customWidth="1"/>
    <col min="12061" max="12288" width="9.140625" style="877"/>
    <col min="12289" max="12289" width="7.42578125" style="877" customWidth="1"/>
    <col min="12290" max="12290" width="11.140625" style="877" customWidth="1"/>
    <col min="12291" max="12291" width="7" style="877" bestFit="1" customWidth="1"/>
    <col min="12292" max="12292" width="7.5703125" style="877" bestFit="1" customWidth="1"/>
    <col min="12293" max="12293" width="7.7109375" style="877" bestFit="1" customWidth="1"/>
    <col min="12294" max="12294" width="9.42578125" style="877" bestFit="1" customWidth="1"/>
    <col min="12295" max="12295" width="10" style="877" bestFit="1" customWidth="1"/>
    <col min="12296" max="12296" width="8.28515625" style="877" customWidth="1"/>
    <col min="12297" max="12297" width="7.140625" style="877" customWidth="1"/>
    <col min="12298" max="12298" width="10.7109375" style="877" customWidth="1"/>
    <col min="12299" max="12299" width="8.5703125" style="877" customWidth="1"/>
    <col min="12300" max="12301" width="8.85546875" style="877" bestFit="1" customWidth="1"/>
    <col min="12302" max="12302" width="9.42578125" style="877" customWidth="1"/>
    <col min="12303" max="12311" width="8.28515625" style="877" customWidth="1"/>
    <col min="12312" max="12312" width="8.140625" style="877" customWidth="1"/>
    <col min="12313" max="12313" width="10.42578125" style="877" customWidth="1"/>
    <col min="12314" max="12314" width="9.140625" style="877"/>
    <col min="12315" max="12315" width="19.42578125" style="877" customWidth="1"/>
    <col min="12316" max="12316" width="16.42578125" style="877" bestFit="1" customWidth="1"/>
    <col min="12317" max="12544" width="9.140625" style="877"/>
    <col min="12545" max="12545" width="7.42578125" style="877" customWidth="1"/>
    <col min="12546" max="12546" width="11.140625" style="877" customWidth="1"/>
    <col min="12547" max="12547" width="7" style="877" bestFit="1" customWidth="1"/>
    <col min="12548" max="12548" width="7.5703125" style="877" bestFit="1" customWidth="1"/>
    <col min="12549" max="12549" width="7.7109375" style="877" bestFit="1" customWidth="1"/>
    <col min="12550" max="12550" width="9.42578125" style="877" bestFit="1" customWidth="1"/>
    <col min="12551" max="12551" width="10" style="877" bestFit="1" customWidth="1"/>
    <col min="12552" max="12552" width="8.28515625" style="877" customWidth="1"/>
    <col min="12553" max="12553" width="7.140625" style="877" customWidth="1"/>
    <col min="12554" max="12554" width="10.7109375" style="877" customWidth="1"/>
    <col min="12555" max="12555" width="8.5703125" style="877" customWidth="1"/>
    <col min="12556" max="12557" width="8.85546875" style="877" bestFit="1" customWidth="1"/>
    <col min="12558" max="12558" width="9.42578125" style="877" customWidth="1"/>
    <col min="12559" max="12567" width="8.28515625" style="877" customWidth="1"/>
    <col min="12568" max="12568" width="8.140625" style="877" customWidth="1"/>
    <col min="12569" max="12569" width="10.42578125" style="877" customWidth="1"/>
    <col min="12570" max="12570" width="9.140625" style="877"/>
    <col min="12571" max="12571" width="19.42578125" style="877" customWidth="1"/>
    <col min="12572" max="12572" width="16.42578125" style="877" bestFit="1" customWidth="1"/>
    <col min="12573" max="12800" width="9.140625" style="877"/>
    <col min="12801" max="12801" width="7.42578125" style="877" customWidth="1"/>
    <col min="12802" max="12802" width="11.140625" style="877" customWidth="1"/>
    <col min="12803" max="12803" width="7" style="877" bestFit="1" customWidth="1"/>
    <col min="12804" max="12804" width="7.5703125" style="877" bestFit="1" customWidth="1"/>
    <col min="12805" max="12805" width="7.7109375" style="877" bestFit="1" customWidth="1"/>
    <col min="12806" max="12806" width="9.42578125" style="877" bestFit="1" customWidth="1"/>
    <col min="12807" max="12807" width="10" style="877" bestFit="1" customWidth="1"/>
    <col min="12808" max="12808" width="8.28515625" style="877" customWidth="1"/>
    <col min="12809" max="12809" width="7.140625" style="877" customWidth="1"/>
    <col min="12810" max="12810" width="10.7109375" style="877" customWidth="1"/>
    <col min="12811" max="12811" width="8.5703125" style="877" customWidth="1"/>
    <col min="12812" max="12813" width="8.85546875" style="877" bestFit="1" customWidth="1"/>
    <col min="12814" max="12814" width="9.42578125" style="877" customWidth="1"/>
    <col min="12815" max="12823" width="8.28515625" style="877" customWidth="1"/>
    <col min="12824" max="12824" width="8.140625" style="877" customWidth="1"/>
    <col min="12825" max="12825" width="10.42578125" style="877" customWidth="1"/>
    <col min="12826" max="12826" width="9.140625" style="877"/>
    <col min="12827" max="12827" width="19.42578125" style="877" customWidth="1"/>
    <col min="12828" max="12828" width="16.42578125" style="877" bestFit="1" customWidth="1"/>
    <col min="12829" max="13056" width="9.140625" style="877"/>
    <col min="13057" max="13057" width="7.42578125" style="877" customWidth="1"/>
    <col min="13058" max="13058" width="11.140625" style="877" customWidth="1"/>
    <col min="13059" max="13059" width="7" style="877" bestFit="1" customWidth="1"/>
    <col min="13060" max="13060" width="7.5703125" style="877" bestFit="1" customWidth="1"/>
    <col min="13061" max="13061" width="7.7109375" style="877" bestFit="1" customWidth="1"/>
    <col min="13062" max="13062" width="9.42578125" style="877" bestFit="1" customWidth="1"/>
    <col min="13063" max="13063" width="10" style="877" bestFit="1" customWidth="1"/>
    <col min="13064" max="13064" width="8.28515625" style="877" customWidth="1"/>
    <col min="13065" max="13065" width="7.140625" style="877" customWidth="1"/>
    <col min="13066" max="13066" width="10.7109375" style="877" customWidth="1"/>
    <col min="13067" max="13067" width="8.5703125" style="877" customWidth="1"/>
    <col min="13068" max="13069" width="8.85546875" style="877" bestFit="1" customWidth="1"/>
    <col min="13070" max="13070" width="9.42578125" style="877" customWidth="1"/>
    <col min="13071" max="13079" width="8.28515625" style="877" customWidth="1"/>
    <col min="13080" max="13080" width="8.140625" style="877" customWidth="1"/>
    <col min="13081" max="13081" width="10.42578125" style="877" customWidth="1"/>
    <col min="13082" max="13082" width="9.140625" style="877"/>
    <col min="13083" max="13083" width="19.42578125" style="877" customWidth="1"/>
    <col min="13084" max="13084" width="16.42578125" style="877" bestFit="1" customWidth="1"/>
    <col min="13085" max="13312" width="9.140625" style="877"/>
    <col min="13313" max="13313" width="7.42578125" style="877" customWidth="1"/>
    <col min="13314" max="13314" width="11.140625" style="877" customWidth="1"/>
    <col min="13315" max="13315" width="7" style="877" bestFit="1" customWidth="1"/>
    <col min="13316" max="13316" width="7.5703125" style="877" bestFit="1" customWidth="1"/>
    <col min="13317" max="13317" width="7.7109375" style="877" bestFit="1" customWidth="1"/>
    <col min="13318" max="13318" width="9.42578125" style="877" bestFit="1" customWidth="1"/>
    <col min="13319" max="13319" width="10" style="877" bestFit="1" customWidth="1"/>
    <col min="13320" max="13320" width="8.28515625" style="877" customWidth="1"/>
    <col min="13321" max="13321" width="7.140625" style="877" customWidth="1"/>
    <col min="13322" max="13322" width="10.7109375" style="877" customWidth="1"/>
    <col min="13323" max="13323" width="8.5703125" style="877" customWidth="1"/>
    <col min="13324" max="13325" width="8.85546875" style="877" bestFit="1" customWidth="1"/>
    <col min="13326" max="13326" width="9.42578125" style="877" customWidth="1"/>
    <col min="13327" max="13335" width="8.28515625" style="877" customWidth="1"/>
    <col min="13336" max="13336" width="8.140625" style="877" customWidth="1"/>
    <col min="13337" max="13337" width="10.42578125" style="877" customWidth="1"/>
    <col min="13338" max="13338" width="9.140625" style="877"/>
    <col min="13339" max="13339" width="19.42578125" style="877" customWidth="1"/>
    <col min="13340" max="13340" width="16.42578125" style="877" bestFit="1" customWidth="1"/>
    <col min="13341" max="13568" width="9.140625" style="877"/>
    <col min="13569" max="13569" width="7.42578125" style="877" customWidth="1"/>
    <col min="13570" max="13570" width="11.140625" style="877" customWidth="1"/>
    <col min="13571" max="13571" width="7" style="877" bestFit="1" customWidth="1"/>
    <col min="13572" max="13572" width="7.5703125" style="877" bestFit="1" customWidth="1"/>
    <col min="13573" max="13573" width="7.7109375" style="877" bestFit="1" customWidth="1"/>
    <col min="13574" max="13574" width="9.42578125" style="877" bestFit="1" customWidth="1"/>
    <col min="13575" max="13575" width="10" style="877" bestFit="1" customWidth="1"/>
    <col min="13576" max="13576" width="8.28515625" style="877" customWidth="1"/>
    <col min="13577" max="13577" width="7.140625" style="877" customWidth="1"/>
    <col min="13578" max="13578" width="10.7109375" style="877" customWidth="1"/>
    <col min="13579" max="13579" width="8.5703125" style="877" customWidth="1"/>
    <col min="13580" max="13581" width="8.85546875" style="877" bestFit="1" customWidth="1"/>
    <col min="13582" max="13582" width="9.42578125" style="877" customWidth="1"/>
    <col min="13583" max="13591" width="8.28515625" style="877" customWidth="1"/>
    <col min="13592" max="13592" width="8.140625" style="877" customWidth="1"/>
    <col min="13593" max="13593" width="10.42578125" style="877" customWidth="1"/>
    <col min="13594" max="13594" width="9.140625" style="877"/>
    <col min="13595" max="13595" width="19.42578125" style="877" customWidth="1"/>
    <col min="13596" max="13596" width="16.42578125" style="877" bestFit="1" customWidth="1"/>
    <col min="13597" max="13824" width="9.140625" style="877"/>
    <col min="13825" max="13825" width="7.42578125" style="877" customWidth="1"/>
    <col min="13826" max="13826" width="11.140625" style="877" customWidth="1"/>
    <col min="13827" max="13827" width="7" style="877" bestFit="1" customWidth="1"/>
    <col min="13828" max="13828" width="7.5703125" style="877" bestFit="1" customWidth="1"/>
    <col min="13829" max="13829" width="7.7109375" style="877" bestFit="1" customWidth="1"/>
    <col min="13830" max="13830" width="9.42578125" style="877" bestFit="1" customWidth="1"/>
    <col min="13831" max="13831" width="10" style="877" bestFit="1" customWidth="1"/>
    <col min="13832" max="13832" width="8.28515625" style="877" customWidth="1"/>
    <col min="13833" max="13833" width="7.140625" style="877" customWidth="1"/>
    <col min="13834" max="13834" width="10.7109375" style="877" customWidth="1"/>
    <col min="13835" max="13835" width="8.5703125" style="877" customWidth="1"/>
    <col min="13836" max="13837" width="8.85546875" style="877" bestFit="1" customWidth="1"/>
    <col min="13838" max="13838" width="9.42578125" style="877" customWidth="1"/>
    <col min="13839" max="13847" width="8.28515625" style="877" customWidth="1"/>
    <col min="13848" max="13848" width="8.140625" style="877" customWidth="1"/>
    <col min="13849" max="13849" width="10.42578125" style="877" customWidth="1"/>
    <col min="13850" max="13850" width="9.140625" style="877"/>
    <col min="13851" max="13851" width="19.42578125" style="877" customWidth="1"/>
    <col min="13852" max="13852" width="16.42578125" style="877" bestFit="1" customWidth="1"/>
    <col min="13853" max="14080" width="9.140625" style="877"/>
    <col min="14081" max="14081" width="7.42578125" style="877" customWidth="1"/>
    <col min="14082" max="14082" width="11.140625" style="877" customWidth="1"/>
    <col min="14083" max="14083" width="7" style="877" bestFit="1" customWidth="1"/>
    <col min="14084" max="14084" width="7.5703125" style="877" bestFit="1" customWidth="1"/>
    <col min="14085" max="14085" width="7.7109375" style="877" bestFit="1" customWidth="1"/>
    <col min="14086" max="14086" width="9.42578125" style="877" bestFit="1" customWidth="1"/>
    <col min="14087" max="14087" width="10" style="877" bestFit="1" customWidth="1"/>
    <col min="14088" max="14088" width="8.28515625" style="877" customWidth="1"/>
    <col min="14089" max="14089" width="7.140625" style="877" customWidth="1"/>
    <col min="14090" max="14090" width="10.7109375" style="877" customWidth="1"/>
    <col min="14091" max="14091" width="8.5703125" style="877" customWidth="1"/>
    <col min="14092" max="14093" width="8.85546875" style="877" bestFit="1" customWidth="1"/>
    <col min="14094" max="14094" width="9.42578125" style="877" customWidth="1"/>
    <col min="14095" max="14103" width="8.28515625" style="877" customWidth="1"/>
    <col min="14104" max="14104" width="8.140625" style="877" customWidth="1"/>
    <col min="14105" max="14105" width="10.42578125" style="877" customWidth="1"/>
    <col min="14106" max="14106" width="9.140625" style="877"/>
    <col min="14107" max="14107" width="19.42578125" style="877" customWidth="1"/>
    <col min="14108" max="14108" width="16.42578125" style="877" bestFit="1" customWidth="1"/>
    <col min="14109" max="14336" width="9.140625" style="877"/>
    <col min="14337" max="14337" width="7.42578125" style="877" customWidth="1"/>
    <col min="14338" max="14338" width="11.140625" style="877" customWidth="1"/>
    <col min="14339" max="14339" width="7" style="877" bestFit="1" customWidth="1"/>
    <col min="14340" max="14340" width="7.5703125" style="877" bestFit="1" customWidth="1"/>
    <col min="14341" max="14341" width="7.7109375" style="877" bestFit="1" customWidth="1"/>
    <col min="14342" max="14342" width="9.42578125" style="877" bestFit="1" customWidth="1"/>
    <col min="14343" max="14343" width="10" style="877" bestFit="1" customWidth="1"/>
    <col min="14344" max="14344" width="8.28515625" style="877" customWidth="1"/>
    <col min="14345" max="14345" width="7.140625" style="877" customWidth="1"/>
    <col min="14346" max="14346" width="10.7109375" style="877" customWidth="1"/>
    <col min="14347" max="14347" width="8.5703125" style="877" customWidth="1"/>
    <col min="14348" max="14349" width="8.85546875" style="877" bestFit="1" customWidth="1"/>
    <col min="14350" max="14350" width="9.42578125" style="877" customWidth="1"/>
    <col min="14351" max="14359" width="8.28515625" style="877" customWidth="1"/>
    <col min="14360" max="14360" width="8.140625" style="877" customWidth="1"/>
    <col min="14361" max="14361" width="10.42578125" style="877" customWidth="1"/>
    <col min="14362" max="14362" width="9.140625" style="877"/>
    <col min="14363" max="14363" width="19.42578125" style="877" customWidth="1"/>
    <col min="14364" max="14364" width="16.42578125" style="877" bestFit="1" customWidth="1"/>
    <col min="14365" max="14592" width="9.140625" style="877"/>
    <col min="14593" max="14593" width="7.42578125" style="877" customWidth="1"/>
    <col min="14594" max="14594" width="11.140625" style="877" customWidth="1"/>
    <col min="14595" max="14595" width="7" style="877" bestFit="1" customWidth="1"/>
    <col min="14596" max="14596" width="7.5703125" style="877" bestFit="1" customWidth="1"/>
    <col min="14597" max="14597" width="7.7109375" style="877" bestFit="1" customWidth="1"/>
    <col min="14598" max="14598" width="9.42578125" style="877" bestFit="1" customWidth="1"/>
    <col min="14599" max="14599" width="10" style="877" bestFit="1" customWidth="1"/>
    <col min="14600" max="14600" width="8.28515625" style="877" customWidth="1"/>
    <col min="14601" max="14601" width="7.140625" style="877" customWidth="1"/>
    <col min="14602" max="14602" width="10.7109375" style="877" customWidth="1"/>
    <col min="14603" max="14603" width="8.5703125" style="877" customWidth="1"/>
    <col min="14604" max="14605" width="8.85546875" style="877" bestFit="1" customWidth="1"/>
    <col min="14606" max="14606" width="9.42578125" style="877" customWidth="1"/>
    <col min="14607" max="14615" width="8.28515625" style="877" customWidth="1"/>
    <col min="14616" max="14616" width="8.140625" style="877" customWidth="1"/>
    <col min="14617" max="14617" width="10.42578125" style="877" customWidth="1"/>
    <col min="14618" max="14618" width="9.140625" style="877"/>
    <col min="14619" max="14619" width="19.42578125" style="877" customWidth="1"/>
    <col min="14620" max="14620" width="16.42578125" style="877" bestFit="1" customWidth="1"/>
    <col min="14621" max="14848" width="9.140625" style="877"/>
    <col min="14849" max="14849" width="7.42578125" style="877" customWidth="1"/>
    <col min="14850" max="14850" width="11.140625" style="877" customWidth="1"/>
    <col min="14851" max="14851" width="7" style="877" bestFit="1" customWidth="1"/>
    <col min="14852" max="14852" width="7.5703125" style="877" bestFit="1" customWidth="1"/>
    <col min="14853" max="14853" width="7.7109375" style="877" bestFit="1" customWidth="1"/>
    <col min="14854" max="14854" width="9.42578125" style="877" bestFit="1" customWidth="1"/>
    <col min="14855" max="14855" width="10" style="877" bestFit="1" customWidth="1"/>
    <col min="14856" max="14856" width="8.28515625" style="877" customWidth="1"/>
    <col min="14857" max="14857" width="7.140625" style="877" customWidth="1"/>
    <col min="14858" max="14858" width="10.7109375" style="877" customWidth="1"/>
    <col min="14859" max="14859" width="8.5703125" style="877" customWidth="1"/>
    <col min="14860" max="14861" width="8.85546875" style="877" bestFit="1" customWidth="1"/>
    <col min="14862" max="14862" width="9.42578125" style="877" customWidth="1"/>
    <col min="14863" max="14871" width="8.28515625" style="877" customWidth="1"/>
    <col min="14872" max="14872" width="8.140625" style="877" customWidth="1"/>
    <col min="14873" max="14873" width="10.42578125" style="877" customWidth="1"/>
    <col min="14874" max="14874" width="9.140625" style="877"/>
    <col min="14875" max="14875" width="19.42578125" style="877" customWidth="1"/>
    <col min="14876" max="14876" width="16.42578125" style="877" bestFit="1" customWidth="1"/>
    <col min="14877" max="15104" width="9.140625" style="877"/>
    <col min="15105" max="15105" width="7.42578125" style="877" customWidth="1"/>
    <col min="15106" max="15106" width="11.140625" style="877" customWidth="1"/>
    <col min="15107" max="15107" width="7" style="877" bestFit="1" customWidth="1"/>
    <col min="15108" max="15108" width="7.5703125" style="877" bestFit="1" customWidth="1"/>
    <col min="15109" max="15109" width="7.7109375" style="877" bestFit="1" customWidth="1"/>
    <col min="15110" max="15110" width="9.42578125" style="877" bestFit="1" customWidth="1"/>
    <col min="15111" max="15111" width="10" style="877" bestFit="1" customWidth="1"/>
    <col min="15112" max="15112" width="8.28515625" style="877" customWidth="1"/>
    <col min="15113" max="15113" width="7.140625" style="877" customWidth="1"/>
    <col min="15114" max="15114" width="10.7109375" style="877" customWidth="1"/>
    <col min="15115" max="15115" width="8.5703125" style="877" customWidth="1"/>
    <col min="15116" max="15117" width="8.85546875" style="877" bestFit="1" customWidth="1"/>
    <col min="15118" max="15118" width="9.42578125" style="877" customWidth="1"/>
    <col min="15119" max="15127" width="8.28515625" style="877" customWidth="1"/>
    <col min="15128" max="15128" width="8.140625" style="877" customWidth="1"/>
    <col min="15129" max="15129" width="10.42578125" style="877" customWidth="1"/>
    <col min="15130" max="15130" width="9.140625" style="877"/>
    <col min="15131" max="15131" width="19.42578125" style="877" customWidth="1"/>
    <col min="15132" max="15132" width="16.42578125" style="877" bestFit="1" customWidth="1"/>
    <col min="15133" max="15360" width="9.140625" style="877"/>
    <col min="15361" max="15361" width="7.42578125" style="877" customWidth="1"/>
    <col min="15362" max="15362" width="11.140625" style="877" customWidth="1"/>
    <col min="15363" max="15363" width="7" style="877" bestFit="1" customWidth="1"/>
    <col min="15364" max="15364" width="7.5703125" style="877" bestFit="1" customWidth="1"/>
    <col min="15365" max="15365" width="7.7109375" style="877" bestFit="1" customWidth="1"/>
    <col min="15366" max="15366" width="9.42578125" style="877" bestFit="1" customWidth="1"/>
    <col min="15367" max="15367" width="10" style="877" bestFit="1" customWidth="1"/>
    <col min="15368" max="15368" width="8.28515625" style="877" customWidth="1"/>
    <col min="15369" max="15369" width="7.140625" style="877" customWidth="1"/>
    <col min="15370" max="15370" width="10.7109375" style="877" customWidth="1"/>
    <col min="15371" max="15371" width="8.5703125" style="877" customWidth="1"/>
    <col min="15372" max="15373" width="8.85546875" style="877" bestFit="1" customWidth="1"/>
    <col min="15374" max="15374" width="9.42578125" style="877" customWidth="1"/>
    <col min="15375" max="15383" width="8.28515625" style="877" customWidth="1"/>
    <col min="15384" max="15384" width="8.140625" style="877" customWidth="1"/>
    <col min="15385" max="15385" width="10.42578125" style="877" customWidth="1"/>
    <col min="15386" max="15386" width="9.140625" style="877"/>
    <col min="15387" max="15387" width="19.42578125" style="877" customWidth="1"/>
    <col min="15388" max="15388" width="16.42578125" style="877" bestFit="1" customWidth="1"/>
    <col min="15389" max="15616" width="9.140625" style="877"/>
    <col min="15617" max="15617" width="7.42578125" style="877" customWidth="1"/>
    <col min="15618" max="15618" width="11.140625" style="877" customWidth="1"/>
    <col min="15619" max="15619" width="7" style="877" bestFit="1" customWidth="1"/>
    <col min="15620" max="15620" width="7.5703125" style="877" bestFit="1" customWidth="1"/>
    <col min="15621" max="15621" width="7.7109375" style="877" bestFit="1" customWidth="1"/>
    <col min="15622" max="15622" width="9.42578125" style="877" bestFit="1" customWidth="1"/>
    <col min="15623" max="15623" width="10" style="877" bestFit="1" customWidth="1"/>
    <col min="15624" max="15624" width="8.28515625" style="877" customWidth="1"/>
    <col min="15625" max="15625" width="7.140625" style="877" customWidth="1"/>
    <col min="15626" max="15626" width="10.7109375" style="877" customWidth="1"/>
    <col min="15627" max="15627" width="8.5703125" style="877" customWidth="1"/>
    <col min="15628" max="15629" width="8.85546875" style="877" bestFit="1" customWidth="1"/>
    <col min="15630" max="15630" width="9.42578125" style="877" customWidth="1"/>
    <col min="15631" max="15639" width="8.28515625" style="877" customWidth="1"/>
    <col min="15640" max="15640" width="8.140625" style="877" customWidth="1"/>
    <col min="15641" max="15641" width="10.42578125" style="877" customWidth="1"/>
    <col min="15642" max="15642" width="9.140625" style="877"/>
    <col min="15643" max="15643" width="19.42578125" style="877" customWidth="1"/>
    <col min="15644" max="15644" width="16.42578125" style="877" bestFit="1" customWidth="1"/>
    <col min="15645" max="15872" width="9.140625" style="877"/>
    <col min="15873" max="15873" width="7.42578125" style="877" customWidth="1"/>
    <col min="15874" max="15874" width="11.140625" style="877" customWidth="1"/>
    <col min="15875" max="15875" width="7" style="877" bestFit="1" customWidth="1"/>
    <col min="15876" max="15876" width="7.5703125" style="877" bestFit="1" customWidth="1"/>
    <col min="15877" max="15877" width="7.7109375" style="877" bestFit="1" customWidth="1"/>
    <col min="15878" max="15878" width="9.42578125" style="877" bestFit="1" customWidth="1"/>
    <col min="15879" max="15879" width="10" style="877" bestFit="1" customWidth="1"/>
    <col min="15880" max="15880" width="8.28515625" style="877" customWidth="1"/>
    <col min="15881" max="15881" width="7.140625" style="877" customWidth="1"/>
    <col min="15882" max="15882" width="10.7109375" style="877" customWidth="1"/>
    <col min="15883" max="15883" width="8.5703125" style="877" customWidth="1"/>
    <col min="15884" max="15885" width="8.85546875" style="877" bestFit="1" customWidth="1"/>
    <col min="15886" max="15886" width="9.42578125" style="877" customWidth="1"/>
    <col min="15887" max="15895" width="8.28515625" style="877" customWidth="1"/>
    <col min="15896" max="15896" width="8.140625" style="877" customWidth="1"/>
    <col min="15897" max="15897" width="10.42578125" style="877" customWidth="1"/>
    <col min="15898" max="15898" width="9.140625" style="877"/>
    <col min="15899" max="15899" width="19.42578125" style="877" customWidth="1"/>
    <col min="15900" max="15900" width="16.42578125" style="877" bestFit="1" customWidth="1"/>
    <col min="15901" max="16128" width="9.140625" style="877"/>
    <col min="16129" max="16129" width="7.42578125" style="877" customWidth="1"/>
    <col min="16130" max="16130" width="11.140625" style="877" customWidth="1"/>
    <col min="16131" max="16131" width="7" style="877" bestFit="1" customWidth="1"/>
    <col min="16132" max="16132" width="7.5703125" style="877" bestFit="1" customWidth="1"/>
    <col min="16133" max="16133" width="7.7109375" style="877" bestFit="1" customWidth="1"/>
    <col min="16134" max="16134" width="9.42578125" style="877" bestFit="1" customWidth="1"/>
    <col min="16135" max="16135" width="10" style="877" bestFit="1" customWidth="1"/>
    <col min="16136" max="16136" width="8.28515625" style="877" customWidth="1"/>
    <col min="16137" max="16137" width="7.140625" style="877" customWidth="1"/>
    <col min="16138" max="16138" width="10.7109375" style="877" customWidth="1"/>
    <col min="16139" max="16139" width="8.5703125" style="877" customWidth="1"/>
    <col min="16140" max="16141" width="8.85546875" style="877" bestFit="1" customWidth="1"/>
    <col min="16142" max="16142" width="9.42578125" style="877" customWidth="1"/>
    <col min="16143" max="16151" width="8.28515625" style="877" customWidth="1"/>
    <col min="16152" max="16152" width="8.140625" style="877" customWidth="1"/>
    <col min="16153" max="16153" width="10.42578125" style="877" customWidth="1"/>
    <col min="16154" max="16154" width="9.140625" style="877"/>
    <col min="16155" max="16155" width="19.42578125" style="877" customWidth="1"/>
    <col min="16156" max="16156" width="16.42578125" style="877" bestFit="1" customWidth="1"/>
    <col min="16157" max="16384" width="9.140625" style="877"/>
  </cols>
  <sheetData>
    <row r="1" spans="1:29" ht="28.5" customHeight="1">
      <c r="A1" s="871" t="s">
        <v>610</v>
      </c>
      <c r="B1" s="872"/>
      <c r="C1" s="873"/>
      <c r="D1" s="874"/>
      <c r="E1" s="873"/>
      <c r="F1" s="873"/>
      <c r="G1" s="873"/>
      <c r="H1" s="875"/>
      <c r="I1" s="875"/>
      <c r="J1" s="875"/>
      <c r="K1" s="875"/>
      <c r="L1" s="873"/>
      <c r="M1" s="873"/>
      <c r="N1" s="876"/>
      <c r="O1" s="873"/>
      <c r="P1" s="873"/>
      <c r="Q1" s="873"/>
      <c r="R1" s="873"/>
      <c r="S1" s="873"/>
      <c r="T1" s="873"/>
      <c r="U1" s="873"/>
      <c r="V1" s="873"/>
      <c r="W1" s="873"/>
      <c r="X1" s="875"/>
      <c r="Y1" s="873"/>
      <c r="Z1" s="873"/>
    </row>
    <row r="2" spans="1:29" ht="28.5" customHeight="1" thickBot="1">
      <c r="A2" s="878"/>
      <c r="B2" s="878"/>
      <c r="C2" s="878"/>
      <c r="D2" s="878"/>
      <c r="E2" s="879"/>
      <c r="F2" s="878"/>
      <c r="G2" s="878"/>
      <c r="H2" s="878"/>
      <c r="I2" s="878"/>
      <c r="J2" s="878"/>
      <c r="K2" s="878"/>
      <c r="L2" s="878"/>
      <c r="M2" s="878"/>
      <c r="N2" s="880"/>
      <c r="O2" s="878"/>
      <c r="P2" s="881" t="s">
        <v>611</v>
      </c>
      <c r="Q2" s="878"/>
      <c r="R2" s="878"/>
      <c r="S2" s="878"/>
      <c r="T2" s="878"/>
      <c r="U2" s="873"/>
      <c r="V2" s="882"/>
      <c r="W2" s="878"/>
      <c r="X2" s="3219" t="s">
        <v>472</v>
      </c>
      <c r="Y2" s="3219"/>
      <c r="Z2" s="873"/>
    </row>
    <row r="3" spans="1:29" ht="30.75" customHeight="1" thickTop="1" thickBot="1">
      <c r="A3" s="883" t="s">
        <v>612</v>
      </c>
      <c r="B3" s="3220" t="s">
        <v>613</v>
      </c>
      <c r="C3" s="3221"/>
      <c r="D3" s="3221"/>
      <c r="E3" s="3221"/>
      <c r="F3" s="3221"/>
      <c r="G3" s="3221"/>
      <c r="H3" s="3221"/>
      <c r="I3" s="3221"/>
      <c r="J3" s="884"/>
      <c r="K3" s="3222" t="s">
        <v>614</v>
      </c>
      <c r="L3" s="3223"/>
      <c r="M3" s="3223"/>
      <c r="N3" s="3223"/>
      <c r="O3" s="3223"/>
      <c r="P3" s="3223"/>
      <c r="Q3" s="3223"/>
      <c r="R3" s="3223"/>
      <c r="S3" s="3223"/>
      <c r="T3" s="3223"/>
      <c r="U3" s="3223"/>
      <c r="V3" s="3223"/>
      <c r="W3" s="3223"/>
      <c r="X3" s="884"/>
      <c r="Y3" s="885" t="s">
        <v>247</v>
      </c>
      <c r="Z3" s="873"/>
    </row>
    <row r="4" spans="1:29" ht="28.5" customHeight="1">
      <c r="A4" s="886" t="s">
        <v>194</v>
      </c>
      <c r="B4" s="887" t="s">
        <v>615</v>
      </c>
      <c r="C4" s="888"/>
      <c r="D4" s="888"/>
      <c r="E4" s="889"/>
      <c r="F4" s="888"/>
      <c r="G4" s="888"/>
      <c r="H4" s="888"/>
      <c r="I4" s="890"/>
      <c r="J4" s="891"/>
      <c r="K4" s="888" t="s">
        <v>616</v>
      </c>
      <c r="L4" s="892" t="s">
        <v>617</v>
      </c>
      <c r="M4" s="892"/>
      <c r="N4" s="892"/>
      <c r="O4" s="892"/>
      <c r="P4" s="892"/>
      <c r="Q4" s="892"/>
      <c r="R4" s="892"/>
      <c r="S4" s="892"/>
      <c r="T4" s="892"/>
      <c r="U4" s="892"/>
      <c r="V4" s="892"/>
      <c r="W4" s="892"/>
      <c r="X4" s="890"/>
      <c r="Y4" s="893" t="s">
        <v>618</v>
      </c>
      <c r="Z4" s="873"/>
    </row>
    <row r="5" spans="1:29" ht="28.5" customHeight="1">
      <c r="A5" s="886" t="s">
        <v>619</v>
      </c>
      <c r="B5" s="894" t="s">
        <v>257</v>
      </c>
      <c r="C5" s="894" t="s">
        <v>620</v>
      </c>
      <c r="D5" s="894" t="s">
        <v>621</v>
      </c>
      <c r="E5" s="895" t="s">
        <v>622</v>
      </c>
      <c r="F5" s="894" t="s">
        <v>623</v>
      </c>
      <c r="G5" s="894" t="s">
        <v>624</v>
      </c>
      <c r="H5" s="894" t="s">
        <v>625</v>
      </c>
      <c r="I5" s="896" t="s">
        <v>626</v>
      </c>
      <c r="J5" s="897" t="s">
        <v>198</v>
      </c>
      <c r="K5" s="894" t="s">
        <v>627</v>
      </c>
      <c r="L5" s="898" t="s">
        <v>628</v>
      </c>
      <c r="M5" s="898" t="s">
        <v>629</v>
      </c>
      <c r="N5" s="898" t="s">
        <v>630</v>
      </c>
      <c r="O5" s="898" t="s">
        <v>631</v>
      </c>
      <c r="P5" s="898" t="s">
        <v>632</v>
      </c>
      <c r="Q5" s="898" t="s">
        <v>633</v>
      </c>
      <c r="R5" s="898" t="s">
        <v>634</v>
      </c>
      <c r="S5" s="898" t="s">
        <v>635</v>
      </c>
      <c r="T5" s="898" t="s">
        <v>636</v>
      </c>
      <c r="U5" s="898" t="s">
        <v>637</v>
      </c>
      <c r="V5" s="898" t="s">
        <v>638</v>
      </c>
      <c r="W5" s="898" t="s">
        <v>639</v>
      </c>
      <c r="X5" s="896" t="s">
        <v>198</v>
      </c>
      <c r="Y5" s="893" t="s">
        <v>640</v>
      </c>
      <c r="Z5" s="873"/>
    </row>
    <row r="6" spans="1:29" ht="28.5" customHeight="1" thickBot="1">
      <c r="A6" s="899"/>
      <c r="B6" s="900" t="s">
        <v>641</v>
      </c>
      <c r="C6" s="900"/>
      <c r="D6" s="900"/>
      <c r="E6" s="901"/>
      <c r="F6" s="900"/>
      <c r="G6" s="900"/>
      <c r="H6" s="900"/>
      <c r="I6" s="902"/>
      <c r="J6" s="903"/>
      <c r="K6" s="900" t="s">
        <v>233</v>
      </c>
      <c r="L6" s="904" t="s">
        <v>233</v>
      </c>
      <c r="M6" s="904"/>
      <c r="N6" s="904"/>
      <c r="O6" s="904"/>
      <c r="P6" s="904"/>
      <c r="Q6" s="904"/>
      <c r="R6" s="904"/>
      <c r="S6" s="904"/>
      <c r="T6" s="904" t="s">
        <v>642</v>
      </c>
      <c r="U6" s="904"/>
      <c r="V6" s="904"/>
      <c r="W6" s="904"/>
      <c r="X6" s="902"/>
      <c r="Y6" s="905" t="s">
        <v>614</v>
      </c>
      <c r="Z6" s="873"/>
    </row>
    <row r="7" spans="1:29" ht="3.75" hidden="1" customHeight="1" thickTop="1">
      <c r="A7" s="906"/>
      <c r="B7" s="907"/>
      <c r="C7" s="908"/>
      <c r="D7" s="908"/>
      <c r="E7" s="909"/>
      <c r="F7" s="908"/>
      <c r="G7" s="908"/>
      <c r="H7" s="908"/>
      <c r="I7" s="910"/>
      <c r="J7" s="911"/>
      <c r="K7" s="907"/>
      <c r="L7" s="912"/>
      <c r="M7" s="912"/>
      <c r="N7" s="913"/>
      <c r="O7" s="913"/>
      <c r="P7" s="912"/>
      <c r="Q7" s="912"/>
      <c r="R7" s="912"/>
      <c r="S7" s="912"/>
      <c r="T7" s="912"/>
      <c r="U7" s="912"/>
      <c r="V7" s="914"/>
      <c r="W7" s="914"/>
      <c r="X7" s="915"/>
      <c r="Y7" s="916"/>
      <c r="Z7" s="873"/>
    </row>
    <row r="8" spans="1:29" ht="28.5" hidden="1" customHeight="1">
      <c r="A8" s="917">
        <v>35947</v>
      </c>
      <c r="B8" s="918">
        <v>21.8</v>
      </c>
      <c r="C8" s="919">
        <v>0</v>
      </c>
      <c r="D8" s="919">
        <v>179.5</v>
      </c>
      <c r="E8" s="919">
        <v>846</v>
      </c>
      <c r="F8" s="919">
        <v>860.5</v>
      </c>
      <c r="G8" s="919">
        <v>1426.8</v>
      </c>
      <c r="H8" s="919">
        <v>2330.3000000000002</v>
      </c>
      <c r="I8" s="920">
        <v>0</v>
      </c>
      <c r="J8" s="921">
        <v>5835.4929099999999</v>
      </c>
      <c r="K8" s="918">
        <v>6.6</v>
      </c>
      <c r="L8" s="919">
        <v>11.7</v>
      </c>
      <c r="M8" s="919"/>
      <c r="N8" s="922">
        <v>17.8</v>
      </c>
      <c r="O8" s="922">
        <v>53.5</v>
      </c>
      <c r="P8" s="919">
        <v>66.3</v>
      </c>
      <c r="Q8" s="919">
        <v>15.1</v>
      </c>
      <c r="R8" s="919">
        <v>6.5</v>
      </c>
      <c r="S8" s="919">
        <v>15.7</v>
      </c>
      <c r="T8" s="919">
        <v>2.5</v>
      </c>
      <c r="U8" s="919">
        <v>3.7</v>
      </c>
      <c r="V8" s="919">
        <v>0.3</v>
      </c>
      <c r="W8" s="919">
        <v>0.2</v>
      </c>
      <c r="X8" s="923">
        <v>199.9</v>
      </c>
      <c r="Y8" s="924">
        <v>6035.3929099999996</v>
      </c>
      <c r="Z8" s="925"/>
    </row>
    <row r="9" spans="1:29" ht="28.5" hidden="1" customHeight="1">
      <c r="A9" s="917">
        <v>36039</v>
      </c>
      <c r="B9" s="918">
        <v>21.7</v>
      </c>
      <c r="C9" s="919">
        <v>0</v>
      </c>
      <c r="D9" s="919">
        <v>184.7</v>
      </c>
      <c r="E9" s="919">
        <v>877.3</v>
      </c>
      <c r="F9" s="919">
        <v>933</v>
      </c>
      <c r="G9" s="919">
        <v>1518.8</v>
      </c>
      <c r="H9" s="919">
        <v>2356.9</v>
      </c>
      <c r="I9" s="920">
        <v>0</v>
      </c>
      <c r="J9" s="921">
        <v>6056.2</v>
      </c>
      <c r="K9" s="918">
        <v>6.6</v>
      </c>
      <c r="L9" s="919">
        <v>11.7</v>
      </c>
      <c r="M9" s="919"/>
      <c r="N9" s="922">
        <v>26.9</v>
      </c>
      <c r="O9" s="922">
        <v>55.2</v>
      </c>
      <c r="P9" s="919">
        <v>66.8</v>
      </c>
      <c r="Q9" s="919">
        <v>15.5</v>
      </c>
      <c r="R9" s="919">
        <v>6.4</v>
      </c>
      <c r="S9" s="919">
        <v>16.100000000000001</v>
      </c>
      <c r="T9" s="919">
        <v>2.5</v>
      </c>
      <c r="U9" s="919">
        <v>3.8</v>
      </c>
      <c r="V9" s="919">
        <v>0.3</v>
      </c>
      <c r="W9" s="919">
        <v>0.2</v>
      </c>
      <c r="X9" s="923">
        <v>212.1</v>
      </c>
      <c r="Y9" s="924">
        <v>6268.3</v>
      </c>
      <c r="Z9" s="873"/>
    </row>
    <row r="10" spans="1:29" ht="28.5" hidden="1" customHeight="1">
      <c r="A10" s="917">
        <v>36130</v>
      </c>
      <c r="B10" s="918">
        <v>21.6</v>
      </c>
      <c r="C10" s="919">
        <v>21.6</v>
      </c>
      <c r="D10" s="919">
        <v>208.5</v>
      </c>
      <c r="E10" s="919">
        <v>1063.0999999999999</v>
      </c>
      <c r="F10" s="919">
        <v>1173.4000000000001</v>
      </c>
      <c r="G10" s="919">
        <v>1841.1</v>
      </c>
      <c r="H10" s="919">
        <v>3145.8</v>
      </c>
      <c r="I10" s="920">
        <v>196.1</v>
      </c>
      <c r="J10" s="921">
        <v>7814.4</v>
      </c>
      <c r="K10" s="918">
        <v>6.6</v>
      </c>
      <c r="L10" s="919">
        <v>11.8</v>
      </c>
      <c r="M10" s="919"/>
      <c r="N10" s="922">
        <v>51.8</v>
      </c>
      <c r="O10" s="922">
        <v>58.9</v>
      </c>
      <c r="P10" s="919">
        <v>69.3</v>
      </c>
      <c r="Q10" s="919">
        <v>15.9</v>
      </c>
      <c r="R10" s="919">
        <v>6.4</v>
      </c>
      <c r="S10" s="919">
        <v>16.600000000000001</v>
      </c>
      <c r="T10" s="919">
        <v>2.5</v>
      </c>
      <c r="U10" s="919">
        <v>3.9</v>
      </c>
      <c r="V10" s="919">
        <v>0.3</v>
      </c>
      <c r="W10" s="919">
        <v>0.2</v>
      </c>
      <c r="X10" s="923">
        <v>244.3</v>
      </c>
      <c r="Y10" s="924">
        <v>8058.7</v>
      </c>
      <c r="Z10" s="925"/>
    </row>
    <row r="11" spans="1:29" ht="28.5" hidden="1" customHeight="1">
      <c r="A11" s="917">
        <v>36220</v>
      </c>
      <c r="B11" s="918">
        <v>21.6</v>
      </c>
      <c r="C11" s="919">
        <v>23.5</v>
      </c>
      <c r="D11" s="919">
        <v>185</v>
      </c>
      <c r="E11" s="919">
        <v>906.5</v>
      </c>
      <c r="F11" s="919">
        <v>1022.4</v>
      </c>
      <c r="G11" s="919">
        <v>1441.8</v>
      </c>
      <c r="H11" s="919">
        <v>2565.5</v>
      </c>
      <c r="I11" s="920">
        <v>213.9</v>
      </c>
      <c r="J11" s="921">
        <v>6498.1</v>
      </c>
      <c r="K11" s="918">
        <v>6.7</v>
      </c>
      <c r="L11" s="919">
        <v>12</v>
      </c>
      <c r="M11" s="919"/>
      <c r="N11" s="922">
        <v>64.599999999999994</v>
      </c>
      <c r="O11" s="922">
        <v>55.3</v>
      </c>
      <c r="P11" s="919">
        <v>68.8</v>
      </c>
      <c r="Q11" s="919">
        <v>16.100000000000001</v>
      </c>
      <c r="R11" s="919">
        <v>6.4</v>
      </c>
      <c r="S11" s="919">
        <v>16.899999999999999</v>
      </c>
      <c r="T11" s="919">
        <v>2.4</v>
      </c>
      <c r="U11" s="919">
        <v>3.9</v>
      </c>
      <c r="V11" s="919">
        <v>0.3</v>
      </c>
      <c r="W11" s="919">
        <v>0.2</v>
      </c>
      <c r="X11" s="923">
        <v>253.6</v>
      </c>
      <c r="Y11" s="924">
        <v>6751.7</v>
      </c>
      <c r="Z11" s="925"/>
    </row>
    <row r="12" spans="1:29" ht="28.5" hidden="1" customHeight="1">
      <c r="A12" s="917">
        <v>39448</v>
      </c>
      <c r="B12" s="918">
        <v>228.1</v>
      </c>
      <c r="C12" s="919">
        <v>166.9</v>
      </c>
      <c r="D12" s="919">
        <v>231.3</v>
      </c>
      <c r="E12" s="919">
        <v>923.4</v>
      </c>
      <c r="F12" s="919">
        <v>1294.4000000000001</v>
      </c>
      <c r="G12" s="919">
        <v>2078.1999999999998</v>
      </c>
      <c r="H12" s="919">
        <v>9790</v>
      </c>
      <c r="I12" s="920">
        <v>724.3</v>
      </c>
      <c r="J12" s="921">
        <v>15436.616595</v>
      </c>
      <c r="K12" s="918">
        <v>7</v>
      </c>
      <c r="L12" s="919">
        <v>12.8</v>
      </c>
      <c r="M12" s="919">
        <v>4.0999999999999996</v>
      </c>
      <c r="N12" s="922">
        <v>203.6</v>
      </c>
      <c r="O12" s="922">
        <v>86.2</v>
      </c>
      <c r="P12" s="919">
        <v>103.3</v>
      </c>
      <c r="Q12" s="919">
        <v>24.5</v>
      </c>
      <c r="R12" s="919">
        <v>6.4</v>
      </c>
      <c r="S12" s="919">
        <v>31</v>
      </c>
      <c r="T12" s="919">
        <v>2.4</v>
      </c>
      <c r="U12" s="919">
        <v>7.1</v>
      </c>
      <c r="V12" s="919">
        <v>0.3</v>
      </c>
      <c r="W12" s="919">
        <v>0.2</v>
      </c>
      <c r="X12" s="923">
        <v>488.9</v>
      </c>
      <c r="Y12" s="924">
        <v>15925.516594999999</v>
      </c>
      <c r="Z12" s="925"/>
      <c r="AA12" s="926"/>
      <c r="AB12" s="926"/>
      <c r="AC12" s="926"/>
    </row>
    <row r="13" spans="1:29" ht="28.5" hidden="1" customHeight="1">
      <c r="A13" s="917">
        <v>39479</v>
      </c>
      <c r="B13" s="918">
        <v>228.09999999999854</v>
      </c>
      <c r="C13" s="919">
        <v>162.30000000000001</v>
      </c>
      <c r="D13" s="919">
        <v>225.4</v>
      </c>
      <c r="E13" s="919">
        <v>913.2</v>
      </c>
      <c r="F13" s="919">
        <v>1229.7</v>
      </c>
      <c r="G13" s="919">
        <v>1964.2</v>
      </c>
      <c r="H13" s="919">
        <v>9538.1</v>
      </c>
      <c r="I13" s="920">
        <v>703.6</v>
      </c>
      <c r="J13" s="921">
        <v>14964.575835</v>
      </c>
      <c r="K13" s="918">
        <v>7</v>
      </c>
      <c r="L13" s="919">
        <v>12.8</v>
      </c>
      <c r="M13" s="919">
        <v>8.8000000000000007</v>
      </c>
      <c r="N13" s="922">
        <v>203.4</v>
      </c>
      <c r="O13" s="922">
        <v>86.3</v>
      </c>
      <c r="P13" s="919">
        <v>104</v>
      </c>
      <c r="Q13" s="919">
        <v>24.6</v>
      </c>
      <c r="R13" s="919">
        <v>6.4</v>
      </c>
      <c r="S13" s="919">
        <v>31.1</v>
      </c>
      <c r="T13" s="919">
        <v>2.4</v>
      </c>
      <c r="U13" s="919">
        <v>7.2</v>
      </c>
      <c r="V13" s="919">
        <v>0.3</v>
      </c>
      <c r="W13" s="919">
        <v>0.2</v>
      </c>
      <c r="X13" s="923">
        <v>494.5</v>
      </c>
      <c r="Y13" s="924">
        <v>15458.975834999999</v>
      </c>
      <c r="Z13" s="925"/>
      <c r="AA13" s="926"/>
      <c r="AB13" s="926"/>
      <c r="AC13" s="926"/>
    </row>
    <row r="14" spans="1:29" ht="28.5" hidden="1" customHeight="1">
      <c r="A14" s="917">
        <v>39508</v>
      </c>
      <c r="B14" s="918">
        <v>228</v>
      </c>
      <c r="C14" s="919">
        <v>155.6</v>
      </c>
      <c r="D14" s="919">
        <v>224.1</v>
      </c>
      <c r="E14" s="919">
        <v>885.2</v>
      </c>
      <c r="F14" s="919">
        <v>1220.4000000000001</v>
      </c>
      <c r="G14" s="919">
        <v>1878.9</v>
      </c>
      <c r="H14" s="919">
        <v>9399.7999999999993</v>
      </c>
      <c r="I14" s="920">
        <v>693.3</v>
      </c>
      <c r="J14" s="921">
        <v>14685.322885</v>
      </c>
      <c r="K14" s="918">
        <v>7</v>
      </c>
      <c r="L14" s="919">
        <v>12.8</v>
      </c>
      <c r="M14" s="919">
        <v>13.47024</v>
      </c>
      <c r="N14" s="922">
        <v>203.34013999999999</v>
      </c>
      <c r="O14" s="922">
        <v>86.178015000000002</v>
      </c>
      <c r="P14" s="919">
        <v>104.259045</v>
      </c>
      <c r="Q14" s="919">
        <v>24.6116755</v>
      </c>
      <c r="R14" s="919">
        <v>6.3554042500000003</v>
      </c>
      <c r="S14" s="919">
        <v>31.303156600000001</v>
      </c>
      <c r="T14" s="919">
        <v>2.4</v>
      </c>
      <c r="U14" s="919">
        <v>7.2</v>
      </c>
      <c r="V14" s="919">
        <v>0.3</v>
      </c>
      <c r="W14" s="919">
        <v>0.2</v>
      </c>
      <c r="X14" s="923">
        <v>499.51767634999999</v>
      </c>
      <c r="Y14" s="924">
        <v>15184.84056135</v>
      </c>
      <c r="Z14" s="925"/>
      <c r="AA14" s="926"/>
      <c r="AB14" s="926"/>
      <c r="AC14" s="926"/>
    </row>
    <row r="15" spans="1:29" ht="28.5" hidden="1" customHeight="1">
      <c r="A15" s="917">
        <v>39539</v>
      </c>
      <c r="B15" s="918">
        <v>228</v>
      </c>
      <c r="C15" s="919">
        <v>150.5</v>
      </c>
      <c r="D15" s="919">
        <v>224.1</v>
      </c>
      <c r="E15" s="919">
        <v>899.9</v>
      </c>
      <c r="F15" s="919">
        <v>1213.2</v>
      </c>
      <c r="G15" s="919">
        <v>1911.1</v>
      </c>
      <c r="H15" s="919">
        <v>9330.1</v>
      </c>
      <c r="I15" s="920">
        <v>733.2</v>
      </c>
      <c r="J15" s="921">
        <v>14690.1</v>
      </c>
      <c r="K15" s="918">
        <v>7</v>
      </c>
      <c r="L15" s="919">
        <v>12.8</v>
      </c>
      <c r="M15" s="919">
        <v>21</v>
      </c>
      <c r="N15" s="922">
        <v>201.7</v>
      </c>
      <c r="O15" s="922">
        <v>85.9</v>
      </c>
      <c r="P15" s="919">
        <v>104.7</v>
      </c>
      <c r="Q15" s="919">
        <v>24.6</v>
      </c>
      <c r="R15" s="919">
        <v>6.4</v>
      </c>
      <c r="S15" s="919">
        <v>31.3</v>
      </c>
      <c r="T15" s="919">
        <v>2.4</v>
      </c>
      <c r="U15" s="919">
        <v>7.3</v>
      </c>
      <c r="V15" s="919">
        <v>0.3</v>
      </c>
      <c r="W15" s="919">
        <v>0.2</v>
      </c>
      <c r="X15" s="923">
        <v>505.6</v>
      </c>
      <c r="Y15" s="924">
        <v>15195.7</v>
      </c>
      <c r="Z15" s="925"/>
      <c r="AA15" s="926"/>
      <c r="AB15" s="926"/>
      <c r="AC15" s="926"/>
    </row>
    <row r="16" spans="1:29" ht="28.5" hidden="1" customHeight="1">
      <c r="A16" s="917">
        <v>39569</v>
      </c>
      <c r="B16" s="918">
        <v>228.1</v>
      </c>
      <c r="C16" s="919">
        <v>145.9</v>
      </c>
      <c r="D16" s="919">
        <v>223.7</v>
      </c>
      <c r="E16" s="919">
        <v>875.2</v>
      </c>
      <c r="F16" s="919">
        <v>1216.2</v>
      </c>
      <c r="G16" s="919">
        <v>1857.7</v>
      </c>
      <c r="H16" s="919">
        <v>9339</v>
      </c>
      <c r="I16" s="920">
        <v>746.8</v>
      </c>
      <c r="J16" s="921">
        <v>14632.557210000001</v>
      </c>
      <c r="K16" s="918">
        <v>7</v>
      </c>
      <c r="L16" s="919">
        <v>12.8</v>
      </c>
      <c r="M16" s="919">
        <v>27.58</v>
      </c>
      <c r="N16" s="922">
        <v>201.1</v>
      </c>
      <c r="O16" s="922">
        <v>85.8</v>
      </c>
      <c r="P16" s="919">
        <v>105</v>
      </c>
      <c r="Q16" s="919">
        <v>24.7</v>
      </c>
      <c r="R16" s="919">
        <v>6.4</v>
      </c>
      <c r="S16" s="919">
        <v>31.4</v>
      </c>
      <c r="T16" s="919">
        <v>2.4</v>
      </c>
      <c r="U16" s="919">
        <v>7.3</v>
      </c>
      <c r="V16" s="919">
        <v>0.3</v>
      </c>
      <c r="W16" s="919">
        <v>0.2</v>
      </c>
      <c r="X16" s="923">
        <v>511.98</v>
      </c>
      <c r="Y16" s="924">
        <v>15144.53721</v>
      </c>
      <c r="Z16" s="925"/>
      <c r="AA16" s="926"/>
      <c r="AB16" s="926"/>
      <c r="AC16" s="926"/>
    </row>
    <row r="17" spans="1:29" s="933" customFormat="1" ht="28.5" hidden="1" customHeight="1">
      <c r="A17" s="917">
        <v>39600</v>
      </c>
      <c r="B17" s="927">
        <v>227.70000000000073</v>
      </c>
      <c r="C17" s="928">
        <v>141.6</v>
      </c>
      <c r="D17" s="928">
        <v>222.5</v>
      </c>
      <c r="E17" s="928">
        <v>867.9</v>
      </c>
      <c r="F17" s="928">
        <v>1198.5999999999999</v>
      </c>
      <c r="G17" s="928">
        <v>1875.2</v>
      </c>
      <c r="H17" s="928">
        <v>9259.2999999999993</v>
      </c>
      <c r="I17" s="929">
        <v>776.1</v>
      </c>
      <c r="J17" s="930">
        <v>14568.9</v>
      </c>
      <c r="K17" s="927">
        <v>7.056</v>
      </c>
      <c r="L17" s="928">
        <v>12.8</v>
      </c>
      <c r="M17" s="928">
        <v>34.090000000000003</v>
      </c>
      <c r="N17" s="931">
        <v>200.8</v>
      </c>
      <c r="O17" s="931">
        <v>85.6</v>
      </c>
      <c r="P17" s="928">
        <v>105.4</v>
      </c>
      <c r="Q17" s="928">
        <v>24.86</v>
      </c>
      <c r="R17" s="928">
        <v>6.3498999999999999</v>
      </c>
      <c r="S17" s="928">
        <v>31.54</v>
      </c>
      <c r="T17" s="928">
        <v>2.4302999999999999</v>
      </c>
      <c r="U17" s="928">
        <v>7.39</v>
      </c>
      <c r="V17" s="928">
        <v>0.33</v>
      </c>
      <c r="W17" s="928">
        <v>0.22</v>
      </c>
      <c r="X17" s="932">
        <v>518.79999999999995</v>
      </c>
      <c r="Y17" s="924">
        <v>15087.699999999999</v>
      </c>
      <c r="Z17" s="925"/>
      <c r="AA17" s="926"/>
      <c r="AB17" s="926"/>
      <c r="AC17" s="926"/>
    </row>
    <row r="18" spans="1:29" s="933" customFormat="1" ht="28.5" hidden="1" customHeight="1">
      <c r="A18" s="917">
        <v>39630</v>
      </c>
      <c r="B18" s="927">
        <v>227.29999999999927</v>
      </c>
      <c r="C18" s="928">
        <v>139.5</v>
      </c>
      <c r="D18" s="928">
        <v>226</v>
      </c>
      <c r="E18" s="928">
        <v>879.6</v>
      </c>
      <c r="F18" s="928">
        <v>1238</v>
      </c>
      <c r="G18" s="928">
        <v>1944</v>
      </c>
      <c r="H18" s="928">
        <v>9572</v>
      </c>
      <c r="I18" s="929">
        <v>865.7</v>
      </c>
      <c r="J18" s="930">
        <v>15092.113185</v>
      </c>
      <c r="K18" s="927">
        <v>7.1</v>
      </c>
      <c r="L18" s="928">
        <v>12.8</v>
      </c>
      <c r="M18" s="928">
        <v>40.47</v>
      </c>
      <c r="N18" s="931">
        <v>200.6</v>
      </c>
      <c r="O18" s="931">
        <v>85.7</v>
      </c>
      <c r="P18" s="928">
        <v>105.7</v>
      </c>
      <c r="Q18" s="928">
        <v>25</v>
      </c>
      <c r="R18" s="928">
        <v>6.3</v>
      </c>
      <c r="S18" s="928">
        <v>31.8</v>
      </c>
      <c r="T18" s="928">
        <v>2.4</v>
      </c>
      <c r="U18" s="928">
        <v>7.5</v>
      </c>
      <c r="V18" s="928">
        <v>0.3</v>
      </c>
      <c r="W18" s="928">
        <v>0.2</v>
      </c>
      <c r="X18" s="932">
        <v>525.87</v>
      </c>
      <c r="Y18" s="924">
        <v>15617.983185000001</v>
      </c>
      <c r="Z18" s="925"/>
      <c r="AA18" s="926"/>
      <c r="AB18" s="926"/>
      <c r="AC18" s="926"/>
    </row>
    <row r="19" spans="1:29" s="933" customFormat="1" ht="28.5" hidden="1" customHeight="1">
      <c r="A19" s="917">
        <v>39661</v>
      </c>
      <c r="B19" s="927">
        <v>227.18999999999869</v>
      </c>
      <c r="C19" s="928">
        <v>138.6</v>
      </c>
      <c r="D19" s="928">
        <v>232.2</v>
      </c>
      <c r="E19" s="928">
        <v>898.1</v>
      </c>
      <c r="F19" s="928">
        <v>1234.3</v>
      </c>
      <c r="G19" s="928">
        <v>1932.9</v>
      </c>
      <c r="H19" s="928">
        <v>9622.1</v>
      </c>
      <c r="I19" s="929">
        <v>921.01</v>
      </c>
      <c r="J19" s="930">
        <v>15206.3951</v>
      </c>
      <c r="K19" s="927">
        <v>7.0739999999999998</v>
      </c>
      <c r="L19" s="928">
        <v>12.831</v>
      </c>
      <c r="M19" s="928">
        <v>47.2</v>
      </c>
      <c r="N19" s="931">
        <v>200.4</v>
      </c>
      <c r="O19" s="931">
        <v>85.8</v>
      </c>
      <c r="P19" s="928">
        <v>106</v>
      </c>
      <c r="Q19" s="928">
        <v>25.1</v>
      </c>
      <c r="R19" s="928">
        <v>6.3</v>
      </c>
      <c r="S19" s="928">
        <v>32</v>
      </c>
      <c r="T19" s="928">
        <v>2.4</v>
      </c>
      <c r="U19" s="928">
        <v>7.5</v>
      </c>
      <c r="V19" s="928">
        <v>0.3</v>
      </c>
      <c r="W19" s="928">
        <v>0.2</v>
      </c>
      <c r="X19" s="932">
        <v>533.20500000000004</v>
      </c>
      <c r="Y19" s="924">
        <v>15739.6001</v>
      </c>
      <c r="Z19" s="925"/>
      <c r="AA19" s="926"/>
      <c r="AB19" s="926"/>
      <c r="AC19" s="926"/>
    </row>
    <row r="20" spans="1:29" s="933" customFormat="1" ht="28.5" hidden="1" customHeight="1">
      <c r="A20" s="917">
        <v>39692</v>
      </c>
      <c r="B20" s="927">
        <v>226.59999999999854</v>
      </c>
      <c r="C20" s="928">
        <v>140.1</v>
      </c>
      <c r="D20" s="928">
        <v>240.3</v>
      </c>
      <c r="E20" s="928">
        <v>892.4</v>
      </c>
      <c r="F20" s="928">
        <v>1250.7</v>
      </c>
      <c r="G20" s="928">
        <v>1966.4</v>
      </c>
      <c r="H20" s="928">
        <v>9647.7000000000007</v>
      </c>
      <c r="I20" s="929">
        <v>951.6</v>
      </c>
      <c r="J20" s="930">
        <v>15315.8</v>
      </c>
      <c r="K20" s="927">
        <v>8</v>
      </c>
      <c r="L20" s="928">
        <v>12.831</v>
      </c>
      <c r="M20" s="928">
        <v>56.2</v>
      </c>
      <c r="N20" s="931">
        <v>203.8</v>
      </c>
      <c r="O20" s="931">
        <v>86.3</v>
      </c>
      <c r="P20" s="928">
        <v>106.2</v>
      </c>
      <c r="Q20" s="928">
        <v>25.3</v>
      </c>
      <c r="R20" s="928">
        <v>6.3</v>
      </c>
      <c r="S20" s="928">
        <v>32.200000000000003</v>
      </c>
      <c r="T20" s="928">
        <v>2.4</v>
      </c>
      <c r="U20" s="928">
        <v>7.6</v>
      </c>
      <c r="V20" s="928">
        <v>0.3</v>
      </c>
      <c r="W20" s="928">
        <v>0.2</v>
      </c>
      <c r="X20" s="932">
        <v>547.70000000000005</v>
      </c>
      <c r="Y20" s="924">
        <v>15863.5</v>
      </c>
      <c r="Z20" s="925"/>
      <c r="AA20" s="926"/>
      <c r="AB20" s="926"/>
      <c r="AC20" s="926"/>
    </row>
    <row r="21" spans="1:29" s="933" customFormat="1" ht="28.5" hidden="1" customHeight="1">
      <c r="A21" s="917">
        <v>39722</v>
      </c>
      <c r="B21" s="927">
        <v>226.6</v>
      </c>
      <c r="C21" s="928">
        <v>145.19999999999999</v>
      </c>
      <c r="D21" s="928">
        <v>227</v>
      </c>
      <c r="E21" s="928">
        <v>913.5</v>
      </c>
      <c r="F21" s="928">
        <v>1271.7</v>
      </c>
      <c r="G21" s="928">
        <v>1996.8</v>
      </c>
      <c r="H21" s="928">
        <v>9826.2999999999993</v>
      </c>
      <c r="I21" s="929">
        <v>1016.8</v>
      </c>
      <c r="J21" s="930">
        <v>15623.885180000001</v>
      </c>
      <c r="K21" s="927">
        <v>8.0610079700000004</v>
      </c>
      <c r="L21" s="928">
        <v>12.827</v>
      </c>
      <c r="M21" s="928">
        <v>65.2</v>
      </c>
      <c r="N21" s="931">
        <v>206.2</v>
      </c>
      <c r="O21" s="931">
        <v>87.1</v>
      </c>
      <c r="P21" s="928">
        <v>106.2</v>
      </c>
      <c r="Q21" s="928">
        <v>25.4</v>
      </c>
      <c r="R21" s="928">
        <v>6.3</v>
      </c>
      <c r="S21" s="928">
        <v>32.4</v>
      </c>
      <c r="T21" s="928">
        <v>2.4</v>
      </c>
      <c r="U21" s="928">
        <v>7.6</v>
      </c>
      <c r="V21" s="928">
        <v>0.3</v>
      </c>
      <c r="W21" s="928">
        <v>0.2</v>
      </c>
      <c r="X21" s="932">
        <v>560.18800796999994</v>
      </c>
      <c r="Y21" s="924">
        <v>16184.073187970002</v>
      </c>
      <c r="Z21" s="925"/>
      <c r="AA21" s="926"/>
      <c r="AB21" s="926"/>
      <c r="AC21" s="926"/>
    </row>
    <row r="22" spans="1:29" s="933" customFormat="1" ht="28.5" hidden="1" customHeight="1">
      <c r="A22" s="917">
        <v>39753</v>
      </c>
      <c r="B22" s="927">
        <v>226.6</v>
      </c>
      <c r="C22" s="928">
        <v>146.19999999999999</v>
      </c>
      <c r="D22" s="928">
        <v>220.6</v>
      </c>
      <c r="E22" s="928">
        <v>913</v>
      </c>
      <c r="F22" s="928">
        <v>1281.3</v>
      </c>
      <c r="G22" s="928">
        <v>2053.8000000000002</v>
      </c>
      <c r="H22" s="928">
        <v>10084.6</v>
      </c>
      <c r="I22" s="929">
        <v>1052.9000000000001</v>
      </c>
      <c r="J22" s="930">
        <v>15979</v>
      </c>
      <c r="K22" s="927">
        <v>8.0632180000000009</v>
      </c>
      <c r="L22" s="928">
        <v>12.839</v>
      </c>
      <c r="M22" s="928">
        <v>72.73</v>
      </c>
      <c r="N22" s="931">
        <v>208.4</v>
      </c>
      <c r="O22" s="931">
        <v>87.7</v>
      </c>
      <c r="P22" s="928">
        <v>106.5</v>
      </c>
      <c r="Q22" s="928">
        <v>25.5</v>
      </c>
      <c r="R22" s="928">
        <v>6.3</v>
      </c>
      <c r="S22" s="928">
        <v>32.6</v>
      </c>
      <c r="T22" s="928">
        <v>2.4</v>
      </c>
      <c r="U22" s="928">
        <v>7.7</v>
      </c>
      <c r="V22" s="928">
        <v>0.3</v>
      </c>
      <c r="W22" s="928">
        <v>0.2</v>
      </c>
      <c r="X22" s="932">
        <v>571.33221800000001</v>
      </c>
      <c r="Y22" s="924">
        <v>16550.332218</v>
      </c>
      <c r="Z22" s="925"/>
      <c r="AA22" s="926"/>
      <c r="AB22" s="926"/>
      <c r="AC22" s="926"/>
    </row>
    <row r="23" spans="1:29" s="933" customFormat="1" ht="28.5" hidden="1" customHeight="1">
      <c r="A23" s="917">
        <v>39783</v>
      </c>
      <c r="B23" s="927">
        <v>226.59999999999854</v>
      </c>
      <c r="C23" s="928">
        <v>165.5</v>
      </c>
      <c r="D23" s="928">
        <v>229</v>
      </c>
      <c r="E23" s="928">
        <v>1113</v>
      </c>
      <c r="F23" s="928">
        <v>1573.8</v>
      </c>
      <c r="G23" s="928">
        <v>2547.3000000000002</v>
      </c>
      <c r="H23" s="928">
        <v>12585.3</v>
      </c>
      <c r="I23" s="929">
        <v>1155.3</v>
      </c>
      <c r="J23" s="930">
        <v>19595.8</v>
      </c>
      <c r="K23" s="927">
        <v>8.0632180000000009</v>
      </c>
      <c r="L23" s="928">
        <v>12.9</v>
      </c>
      <c r="M23" s="928">
        <v>86.8</v>
      </c>
      <c r="N23" s="931">
        <v>213.1</v>
      </c>
      <c r="O23" s="931">
        <v>89.2</v>
      </c>
      <c r="P23" s="928">
        <v>109</v>
      </c>
      <c r="Q23" s="928">
        <v>26</v>
      </c>
      <c r="R23" s="928">
        <v>6.3</v>
      </c>
      <c r="S23" s="928">
        <v>32.9</v>
      </c>
      <c r="T23" s="928">
        <v>2.4</v>
      </c>
      <c r="U23" s="928">
        <v>7.7</v>
      </c>
      <c r="V23" s="928">
        <v>0.3</v>
      </c>
      <c r="W23" s="928">
        <v>0.2</v>
      </c>
      <c r="X23" s="932">
        <v>595</v>
      </c>
      <c r="Y23" s="924">
        <v>20190.8</v>
      </c>
      <c r="Z23" s="925"/>
      <c r="AA23" s="926"/>
      <c r="AB23" s="926"/>
      <c r="AC23" s="926"/>
    </row>
    <row r="24" spans="1:29" s="933" customFormat="1" ht="28.5" hidden="1" customHeight="1">
      <c r="A24" s="917">
        <v>39814</v>
      </c>
      <c r="B24" s="927">
        <v>226.60000000000218</v>
      </c>
      <c r="C24" s="928">
        <v>166.6</v>
      </c>
      <c r="D24" s="928">
        <v>226.2</v>
      </c>
      <c r="E24" s="928">
        <v>990.3</v>
      </c>
      <c r="F24" s="928">
        <v>1352.6</v>
      </c>
      <c r="G24" s="928">
        <v>2162.3000000000002</v>
      </c>
      <c r="H24" s="928">
        <v>11224.3</v>
      </c>
      <c r="I24" s="929">
        <v>1116.8</v>
      </c>
      <c r="J24" s="930">
        <v>17465.7</v>
      </c>
      <c r="K24" s="927">
        <v>8.1</v>
      </c>
      <c r="L24" s="928">
        <v>12.9</v>
      </c>
      <c r="M24" s="928">
        <v>89.4</v>
      </c>
      <c r="N24" s="931">
        <v>213.5</v>
      </c>
      <c r="O24" s="931">
        <v>89.3</v>
      </c>
      <c r="P24" s="928">
        <v>109.2</v>
      </c>
      <c r="Q24" s="928">
        <v>26.1</v>
      </c>
      <c r="R24" s="928">
        <v>6.3</v>
      </c>
      <c r="S24" s="928">
        <v>33</v>
      </c>
      <c r="T24" s="928">
        <v>2.4</v>
      </c>
      <c r="U24" s="928">
        <v>7.8</v>
      </c>
      <c r="V24" s="928">
        <v>0.3</v>
      </c>
      <c r="W24" s="928">
        <v>0.2</v>
      </c>
      <c r="X24" s="932">
        <v>598.4</v>
      </c>
      <c r="Y24" s="924">
        <v>18064.2</v>
      </c>
      <c r="Z24" s="925"/>
      <c r="AA24" s="926"/>
      <c r="AB24" s="926"/>
      <c r="AC24" s="926"/>
    </row>
    <row r="25" spans="1:29" s="933" customFormat="1" ht="28.5" hidden="1" customHeight="1">
      <c r="A25" s="917">
        <v>39845</v>
      </c>
      <c r="B25" s="927">
        <v>225.5</v>
      </c>
      <c r="C25" s="928">
        <v>161.69999999999999</v>
      </c>
      <c r="D25" s="928">
        <v>219.1</v>
      </c>
      <c r="E25" s="928">
        <v>979.6</v>
      </c>
      <c r="F25" s="928">
        <v>1315</v>
      </c>
      <c r="G25" s="928">
        <v>2087.9</v>
      </c>
      <c r="H25" s="928">
        <v>10977.6</v>
      </c>
      <c r="I25" s="929">
        <v>1089.0999999999999</v>
      </c>
      <c r="J25" s="930">
        <v>17055.5</v>
      </c>
      <c r="K25" s="927">
        <v>8.1</v>
      </c>
      <c r="L25" s="928">
        <v>12.9</v>
      </c>
      <c r="M25" s="928">
        <v>90.1</v>
      </c>
      <c r="N25" s="931">
        <v>213</v>
      </c>
      <c r="O25" s="931">
        <v>89.3</v>
      </c>
      <c r="P25" s="928">
        <v>109.3</v>
      </c>
      <c r="Q25" s="928">
        <v>26.1</v>
      </c>
      <c r="R25" s="928">
        <v>6.3</v>
      </c>
      <c r="S25" s="928">
        <v>33.200000000000003</v>
      </c>
      <c r="T25" s="928">
        <v>2.4</v>
      </c>
      <c r="U25" s="928">
        <v>7.8</v>
      </c>
      <c r="V25" s="928">
        <v>0.3</v>
      </c>
      <c r="W25" s="928">
        <v>0.2</v>
      </c>
      <c r="X25" s="932">
        <v>599.1</v>
      </c>
      <c r="Y25" s="924">
        <v>17654.7</v>
      </c>
      <c r="Z25" s="925"/>
      <c r="AA25" s="926"/>
      <c r="AB25" s="926"/>
      <c r="AC25" s="926"/>
    </row>
    <row r="26" spans="1:29" s="933" customFormat="1" ht="28.5" hidden="1" customHeight="1">
      <c r="A26" s="917">
        <v>39873</v>
      </c>
      <c r="B26" s="927">
        <v>225.10000000000218</v>
      </c>
      <c r="C26" s="928">
        <v>157.9</v>
      </c>
      <c r="D26" s="928">
        <v>217.8</v>
      </c>
      <c r="E26" s="928">
        <v>936.1</v>
      </c>
      <c r="F26" s="928">
        <v>1294</v>
      </c>
      <c r="G26" s="928">
        <v>2027.5</v>
      </c>
      <c r="H26" s="928">
        <v>10783.8</v>
      </c>
      <c r="I26" s="929">
        <v>1069</v>
      </c>
      <c r="J26" s="930">
        <v>16711.2</v>
      </c>
      <c r="K26" s="927">
        <v>8.1</v>
      </c>
      <c r="L26" s="928">
        <v>12.9</v>
      </c>
      <c r="M26" s="928">
        <v>91.1</v>
      </c>
      <c r="N26" s="931">
        <v>212.3</v>
      </c>
      <c r="O26" s="931">
        <v>89.2</v>
      </c>
      <c r="P26" s="928">
        <v>110.2</v>
      </c>
      <c r="Q26" s="928">
        <v>26.2</v>
      </c>
      <c r="R26" s="928">
        <v>6.3</v>
      </c>
      <c r="S26" s="928">
        <v>33.299999999999997</v>
      </c>
      <c r="T26" s="928">
        <v>2.4</v>
      </c>
      <c r="U26" s="928">
        <v>7.9</v>
      </c>
      <c r="V26" s="928">
        <v>0.3</v>
      </c>
      <c r="W26" s="928">
        <v>0.2</v>
      </c>
      <c r="X26" s="932">
        <v>600.5</v>
      </c>
      <c r="Y26" s="924">
        <v>17311.599999999999</v>
      </c>
      <c r="Z26" s="925"/>
      <c r="AA26" s="926"/>
      <c r="AB26" s="926"/>
      <c r="AC26" s="926"/>
    </row>
    <row r="27" spans="1:29" s="933" customFormat="1" ht="28.5" hidden="1" customHeight="1">
      <c r="A27" s="917">
        <v>39904</v>
      </c>
      <c r="B27" s="927">
        <v>225.09999999999854</v>
      </c>
      <c r="C27" s="928">
        <v>154.30000000000001</v>
      </c>
      <c r="D27" s="928">
        <v>213.1</v>
      </c>
      <c r="E27" s="928">
        <v>929.7</v>
      </c>
      <c r="F27" s="928">
        <v>1292.2</v>
      </c>
      <c r="G27" s="928">
        <v>2044.1</v>
      </c>
      <c r="H27" s="928">
        <v>10979.6</v>
      </c>
      <c r="I27" s="929">
        <v>1064.2</v>
      </c>
      <c r="J27" s="930">
        <v>16902.316824999998</v>
      </c>
      <c r="K27" s="927">
        <v>8.1</v>
      </c>
      <c r="L27" s="928">
        <v>12.9</v>
      </c>
      <c r="M27" s="928">
        <v>93.9</v>
      </c>
      <c r="N27" s="931">
        <v>210.6</v>
      </c>
      <c r="O27" s="931">
        <v>89</v>
      </c>
      <c r="P27" s="928">
        <v>110.6</v>
      </c>
      <c r="Q27" s="928">
        <v>26.2</v>
      </c>
      <c r="R27" s="928">
        <v>6.3</v>
      </c>
      <c r="S27" s="928">
        <v>33.340000000000003</v>
      </c>
      <c r="T27" s="928">
        <v>2.4</v>
      </c>
      <c r="U27" s="928">
        <v>7.9</v>
      </c>
      <c r="V27" s="928">
        <v>0.3</v>
      </c>
      <c r="W27" s="928">
        <v>0.2</v>
      </c>
      <c r="X27" s="932">
        <v>601.74</v>
      </c>
      <c r="Y27" s="924">
        <v>17504</v>
      </c>
      <c r="Z27" s="925"/>
      <c r="AA27" s="926"/>
      <c r="AB27" s="926"/>
      <c r="AC27" s="926"/>
    </row>
    <row r="28" spans="1:29" s="933" customFormat="1" ht="28.5" hidden="1" customHeight="1">
      <c r="A28" s="917">
        <v>39934</v>
      </c>
      <c r="B28" s="934">
        <v>224.90000000000146</v>
      </c>
      <c r="C28" s="935">
        <v>149.5</v>
      </c>
      <c r="D28" s="935">
        <v>208.1</v>
      </c>
      <c r="E28" s="935">
        <v>930.1</v>
      </c>
      <c r="F28" s="935">
        <v>1251.9000000000001</v>
      </c>
      <c r="G28" s="935">
        <v>2038.3</v>
      </c>
      <c r="H28" s="935">
        <v>10857.6</v>
      </c>
      <c r="I28" s="936">
        <v>1074.8</v>
      </c>
      <c r="J28" s="937">
        <v>16735.169044999999</v>
      </c>
      <c r="K28" s="934">
        <v>8.1</v>
      </c>
      <c r="L28" s="935">
        <v>12.9</v>
      </c>
      <c r="M28" s="935">
        <v>94.8</v>
      </c>
      <c r="N28" s="938">
        <v>209.1</v>
      </c>
      <c r="O28" s="938">
        <v>89.12</v>
      </c>
      <c r="P28" s="935">
        <v>110.7</v>
      </c>
      <c r="Q28" s="935">
        <v>26.16</v>
      </c>
      <c r="R28" s="935">
        <v>6.3</v>
      </c>
      <c r="S28" s="935">
        <v>33.53</v>
      </c>
      <c r="T28" s="935">
        <v>2.4288059999999998</v>
      </c>
      <c r="U28" s="935">
        <v>7.9450000000000003</v>
      </c>
      <c r="V28" s="935">
        <v>0.33050000000000002</v>
      </c>
      <c r="W28" s="935">
        <v>0.222</v>
      </c>
      <c r="X28" s="939">
        <v>601.68630600000006</v>
      </c>
      <c r="Y28" s="940">
        <v>17336.855350999998</v>
      </c>
      <c r="Z28" s="925"/>
      <c r="AA28" s="926"/>
      <c r="AB28" s="926"/>
      <c r="AC28" s="926"/>
    </row>
    <row r="29" spans="1:29" s="933" customFormat="1" ht="28.5" hidden="1" customHeight="1">
      <c r="A29" s="917">
        <v>39965</v>
      </c>
      <c r="B29" s="934">
        <v>223.8600000000024</v>
      </c>
      <c r="C29" s="935">
        <v>144.30000000000001</v>
      </c>
      <c r="D29" s="935">
        <v>203.24</v>
      </c>
      <c r="E29" s="935">
        <v>928.1</v>
      </c>
      <c r="F29" s="935">
        <v>1243.5</v>
      </c>
      <c r="G29" s="935">
        <v>1990.7</v>
      </c>
      <c r="H29" s="935">
        <v>10762.8</v>
      </c>
      <c r="I29" s="936">
        <v>1086.4000000000001</v>
      </c>
      <c r="J29" s="937">
        <v>16582.900000000001</v>
      </c>
      <c r="K29" s="934">
        <v>8.1</v>
      </c>
      <c r="L29" s="935">
        <v>12.9</v>
      </c>
      <c r="M29" s="935">
        <v>95.2</v>
      </c>
      <c r="N29" s="938">
        <v>209</v>
      </c>
      <c r="O29" s="938">
        <v>89.1</v>
      </c>
      <c r="P29" s="935">
        <v>110.8</v>
      </c>
      <c r="Q29" s="935">
        <v>26.2</v>
      </c>
      <c r="R29" s="935">
        <v>6.3</v>
      </c>
      <c r="S29" s="935">
        <v>33.56</v>
      </c>
      <c r="T29" s="935">
        <v>2.4</v>
      </c>
      <c r="U29" s="935">
        <v>8</v>
      </c>
      <c r="V29" s="935">
        <v>0.3</v>
      </c>
      <c r="W29" s="935">
        <v>0.2</v>
      </c>
      <c r="X29" s="939">
        <v>602.16</v>
      </c>
      <c r="Y29" s="940">
        <v>17185.060000000001</v>
      </c>
      <c r="Z29" s="925"/>
      <c r="AA29" s="926"/>
      <c r="AB29" s="926"/>
      <c r="AC29" s="926"/>
    </row>
    <row r="30" spans="1:29" s="933" customFormat="1" ht="28.5" hidden="1" customHeight="1">
      <c r="A30" s="917">
        <v>39995</v>
      </c>
      <c r="B30" s="934">
        <v>224</v>
      </c>
      <c r="C30" s="935">
        <v>142.69999999999999</v>
      </c>
      <c r="D30" s="935">
        <v>202.2</v>
      </c>
      <c r="E30" s="935">
        <v>922.7</v>
      </c>
      <c r="F30" s="935">
        <v>1283.3</v>
      </c>
      <c r="G30" s="935">
        <v>2090.8000000000002</v>
      </c>
      <c r="H30" s="935">
        <v>11081.6</v>
      </c>
      <c r="I30" s="936">
        <v>1112.2</v>
      </c>
      <c r="J30" s="937">
        <v>17059.5</v>
      </c>
      <c r="K30" s="934">
        <v>8.1</v>
      </c>
      <c r="L30" s="935">
        <v>12.9</v>
      </c>
      <c r="M30" s="935">
        <v>100.5</v>
      </c>
      <c r="N30" s="938">
        <v>209.2</v>
      </c>
      <c r="O30" s="938">
        <v>89.1</v>
      </c>
      <c r="P30" s="935">
        <v>110.9</v>
      </c>
      <c r="Q30" s="935">
        <v>26.3</v>
      </c>
      <c r="R30" s="935">
        <v>6.3</v>
      </c>
      <c r="S30" s="935">
        <v>33.56</v>
      </c>
      <c r="T30" s="935">
        <v>2.4</v>
      </c>
      <c r="U30" s="935">
        <v>8</v>
      </c>
      <c r="V30" s="935">
        <v>0.3</v>
      </c>
      <c r="W30" s="935">
        <v>0.2</v>
      </c>
      <c r="X30" s="939">
        <v>607.8599999999999</v>
      </c>
      <c r="Y30" s="940">
        <v>17667.36</v>
      </c>
      <c r="Z30" s="925"/>
      <c r="AA30" s="926"/>
      <c r="AB30" s="926"/>
      <c r="AC30" s="926"/>
    </row>
    <row r="31" spans="1:29" s="933" customFormat="1" ht="28.5" hidden="1" customHeight="1">
      <c r="A31" s="917">
        <v>40026</v>
      </c>
      <c r="B31" s="934">
        <v>223.9</v>
      </c>
      <c r="C31" s="935">
        <v>142.69999999999999</v>
      </c>
      <c r="D31" s="935">
        <v>201.1</v>
      </c>
      <c r="E31" s="935">
        <v>931.1</v>
      </c>
      <c r="F31" s="935">
        <v>1288.4000000000001</v>
      </c>
      <c r="G31" s="935">
        <v>2081.8000000000002</v>
      </c>
      <c r="H31" s="935">
        <v>11138.7</v>
      </c>
      <c r="I31" s="936">
        <v>1113.7</v>
      </c>
      <c r="J31" s="937">
        <v>17121.400000000001</v>
      </c>
      <c r="K31" s="934">
        <v>8.1</v>
      </c>
      <c r="L31" s="935">
        <v>12.9</v>
      </c>
      <c r="M31" s="935">
        <v>107.3</v>
      </c>
      <c r="N31" s="938">
        <v>209</v>
      </c>
      <c r="O31" s="938">
        <v>89.2</v>
      </c>
      <c r="P31" s="935">
        <v>111.1</v>
      </c>
      <c r="Q31" s="935">
        <v>26.5</v>
      </c>
      <c r="R31" s="935">
        <v>6.3</v>
      </c>
      <c r="S31" s="935">
        <v>33.700000000000003</v>
      </c>
      <c r="T31" s="935">
        <v>2.4</v>
      </c>
      <c r="U31" s="935">
        <v>8</v>
      </c>
      <c r="V31" s="935">
        <v>0.3</v>
      </c>
      <c r="W31" s="935">
        <v>0.2</v>
      </c>
      <c r="X31" s="939">
        <v>615.1</v>
      </c>
      <c r="Y31" s="940">
        <v>17736.5</v>
      </c>
      <c r="Z31" s="925"/>
      <c r="AA31" s="926"/>
      <c r="AB31" s="926"/>
      <c r="AC31" s="926"/>
    </row>
    <row r="32" spans="1:29" s="933" customFormat="1" ht="28.5" hidden="1" customHeight="1">
      <c r="A32" s="917">
        <v>40057</v>
      </c>
      <c r="B32" s="934">
        <v>223.8</v>
      </c>
      <c r="C32" s="935">
        <v>148.5</v>
      </c>
      <c r="D32" s="935">
        <v>200.5</v>
      </c>
      <c r="E32" s="935">
        <v>939.9</v>
      </c>
      <c r="F32" s="935">
        <v>1303.0999999999999</v>
      </c>
      <c r="G32" s="935">
        <v>2058.9</v>
      </c>
      <c r="H32" s="935">
        <v>10927.5</v>
      </c>
      <c r="I32" s="936">
        <v>1104.5</v>
      </c>
      <c r="J32" s="937">
        <v>16906.7</v>
      </c>
      <c r="K32" s="934">
        <v>8.1</v>
      </c>
      <c r="L32" s="935">
        <v>12.9</v>
      </c>
      <c r="M32" s="935">
        <v>113.8</v>
      </c>
      <c r="N32" s="938">
        <v>209.3</v>
      </c>
      <c r="O32" s="938">
        <v>89.2</v>
      </c>
      <c r="P32" s="935">
        <v>111.7</v>
      </c>
      <c r="Q32" s="935">
        <v>26.6</v>
      </c>
      <c r="R32" s="935">
        <v>6.3</v>
      </c>
      <c r="S32" s="935">
        <v>34</v>
      </c>
      <c r="T32" s="935">
        <v>2.4</v>
      </c>
      <c r="U32" s="935">
        <v>8.1</v>
      </c>
      <c r="V32" s="935">
        <v>0.3</v>
      </c>
      <c r="W32" s="935">
        <v>0.2</v>
      </c>
      <c r="X32" s="939">
        <v>623.04499999999996</v>
      </c>
      <c r="Y32" s="940">
        <v>17529.7</v>
      </c>
      <c r="Z32" s="925"/>
      <c r="AA32" s="926"/>
      <c r="AB32" s="926"/>
      <c r="AC32" s="926"/>
    </row>
    <row r="33" spans="1:29" s="933" customFormat="1" ht="28.5" hidden="1" customHeight="1">
      <c r="A33" s="917">
        <v>40087</v>
      </c>
      <c r="B33" s="934">
        <v>223.65862500000003</v>
      </c>
      <c r="C33" s="935">
        <v>154.61484999999999</v>
      </c>
      <c r="D33" s="935">
        <v>199.25479999999999</v>
      </c>
      <c r="E33" s="935">
        <v>951.44920000000002</v>
      </c>
      <c r="F33" s="935">
        <v>1307.9898000000001</v>
      </c>
      <c r="G33" s="935">
        <v>2127.0259999999998</v>
      </c>
      <c r="H33" s="935">
        <v>11263.867</v>
      </c>
      <c r="I33" s="936">
        <v>1113.374</v>
      </c>
      <c r="J33" s="937">
        <v>17341.234274999999</v>
      </c>
      <c r="K33" s="934">
        <v>8.1999999999999993</v>
      </c>
      <c r="L33" s="935">
        <v>12.9</v>
      </c>
      <c r="M33" s="935">
        <v>118.3</v>
      </c>
      <c r="N33" s="938">
        <v>209.3</v>
      </c>
      <c r="O33" s="938">
        <v>89.27</v>
      </c>
      <c r="P33" s="935">
        <v>112</v>
      </c>
      <c r="Q33" s="935">
        <v>26.71</v>
      </c>
      <c r="R33" s="935">
        <v>6.3</v>
      </c>
      <c r="S33" s="935">
        <v>34.25</v>
      </c>
      <c r="T33" s="935">
        <v>2.4</v>
      </c>
      <c r="U33" s="935">
        <v>8.1</v>
      </c>
      <c r="V33" s="935">
        <v>0.3</v>
      </c>
      <c r="W33" s="935">
        <v>0.2</v>
      </c>
      <c r="X33" s="939">
        <v>628.33000000000004</v>
      </c>
      <c r="Y33" s="940">
        <v>17969.564275000001</v>
      </c>
      <c r="Z33" s="925"/>
      <c r="AA33" s="926"/>
      <c r="AB33" s="926"/>
      <c r="AC33" s="926"/>
    </row>
    <row r="34" spans="1:29" s="933" customFormat="1" ht="28.5" hidden="1" customHeight="1">
      <c r="A34" s="917">
        <v>40118</v>
      </c>
      <c r="B34" s="934">
        <v>223.6</v>
      </c>
      <c r="C34" s="935">
        <v>153.30000000000001</v>
      </c>
      <c r="D34" s="935">
        <v>197.7</v>
      </c>
      <c r="E34" s="935">
        <v>964.86</v>
      </c>
      <c r="F34" s="935">
        <v>1333.5</v>
      </c>
      <c r="G34" s="935">
        <v>2126.8000000000002</v>
      </c>
      <c r="H34" s="935">
        <v>11465</v>
      </c>
      <c r="I34" s="936">
        <v>1107.7</v>
      </c>
      <c r="J34" s="937">
        <v>17572.460000000003</v>
      </c>
      <c r="K34" s="934">
        <v>8.5</v>
      </c>
      <c r="L34" s="935">
        <v>13</v>
      </c>
      <c r="M34" s="935">
        <v>122.9</v>
      </c>
      <c r="N34" s="938">
        <v>210.9</v>
      </c>
      <c r="O34" s="938">
        <v>89.7</v>
      </c>
      <c r="P34" s="935">
        <v>113.2</v>
      </c>
      <c r="Q34" s="935">
        <v>27.2</v>
      </c>
      <c r="R34" s="935">
        <v>6.3</v>
      </c>
      <c r="S34" s="935">
        <v>34.5</v>
      </c>
      <c r="T34" s="935">
        <v>2.4</v>
      </c>
      <c r="U34" s="935">
        <v>8.1999999999999993</v>
      </c>
      <c r="V34" s="935">
        <v>0.3</v>
      </c>
      <c r="W34" s="935">
        <v>0.2</v>
      </c>
      <c r="X34" s="939">
        <v>637.30000000000007</v>
      </c>
      <c r="Y34" s="940">
        <v>18209.760000000002</v>
      </c>
      <c r="Z34" s="925"/>
      <c r="AA34" s="926"/>
      <c r="AB34" s="926"/>
      <c r="AC34" s="926"/>
    </row>
    <row r="35" spans="1:29" s="933" customFormat="1" ht="28.5" hidden="1" customHeight="1">
      <c r="A35" s="917">
        <v>40148</v>
      </c>
      <c r="B35" s="934">
        <v>223.5</v>
      </c>
      <c r="C35" s="935">
        <v>157.11632499999999</v>
      </c>
      <c r="D35" s="935">
        <v>207.54839999999999</v>
      </c>
      <c r="E35" s="935">
        <v>1103.7596000000001</v>
      </c>
      <c r="F35" s="935">
        <v>1611.6784</v>
      </c>
      <c r="G35" s="935">
        <v>2578.212</v>
      </c>
      <c r="H35" s="935">
        <v>13609.625</v>
      </c>
      <c r="I35" s="936">
        <v>1163.1199999999999</v>
      </c>
      <c r="J35" s="937">
        <v>20654.559724999999</v>
      </c>
      <c r="K35" s="934">
        <v>8.5850000000000009</v>
      </c>
      <c r="L35" s="935">
        <v>12.955</v>
      </c>
      <c r="M35" s="935">
        <v>133.39807999999999</v>
      </c>
      <c r="N35" s="938">
        <v>216.40622999999999</v>
      </c>
      <c r="O35" s="941">
        <v>93.355885000000001</v>
      </c>
      <c r="P35" s="942">
        <v>114.90643</v>
      </c>
      <c r="Q35" s="935">
        <v>27.515757000000001</v>
      </c>
      <c r="R35" s="935">
        <v>6.3474992500000003</v>
      </c>
      <c r="S35" s="935">
        <v>34.670226199999995</v>
      </c>
      <c r="T35" s="935">
        <v>2.4285654999999999</v>
      </c>
      <c r="U35" s="935">
        <v>8.2286047</v>
      </c>
      <c r="V35" s="935">
        <v>0.33051676000000002</v>
      </c>
      <c r="W35" s="935">
        <v>0.22206902000000001</v>
      </c>
      <c r="X35" s="939">
        <v>659.34986343000003</v>
      </c>
      <c r="Y35" s="940">
        <v>21313.90958843</v>
      </c>
      <c r="Z35" s="925"/>
      <c r="AA35" s="926"/>
      <c r="AB35" s="926"/>
      <c r="AC35" s="926"/>
    </row>
    <row r="36" spans="1:29" s="933" customFormat="1" ht="28.5" hidden="1" customHeight="1">
      <c r="A36" s="917">
        <v>40179</v>
      </c>
      <c r="B36" s="934">
        <v>223.4</v>
      </c>
      <c r="C36" s="935">
        <v>163.1</v>
      </c>
      <c r="D36" s="935">
        <v>206.7</v>
      </c>
      <c r="E36" s="935">
        <v>1000.4</v>
      </c>
      <c r="F36" s="935">
        <v>1380.6</v>
      </c>
      <c r="G36" s="935">
        <v>2232</v>
      </c>
      <c r="H36" s="935">
        <v>12193.1</v>
      </c>
      <c r="I36" s="936">
        <v>1132</v>
      </c>
      <c r="J36" s="937">
        <v>18531.3</v>
      </c>
      <c r="K36" s="934">
        <v>8.6</v>
      </c>
      <c r="L36" s="935">
        <v>12.9621</v>
      </c>
      <c r="M36" s="935">
        <v>136.4</v>
      </c>
      <c r="N36" s="938">
        <v>218.57</v>
      </c>
      <c r="O36" s="941">
        <v>93.36</v>
      </c>
      <c r="P36" s="942">
        <v>116.24</v>
      </c>
      <c r="Q36" s="935">
        <v>27.76</v>
      </c>
      <c r="R36" s="935">
        <v>6.3474992500000003</v>
      </c>
      <c r="S36" s="935">
        <v>34.700000000000003</v>
      </c>
      <c r="T36" s="935">
        <v>2.4</v>
      </c>
      <c r="U36" s="935">
        <v>8.1999999999999993</v>
      </c>
      <c r="V36" s="935">
        <v>0.3</v>
      </c>
      <c r="W36" s="935">
        <v>0.2</v>
      </c>
      <c r="X36" s="939">
        <v>666.03959925000015</v>
      </c>
      <c r="Y36" s="940">
        <v>19197.339599250001</v>
      </c>
      <c r="Z36" s="925"/>
      <c r="AA36" s="926"/>
      <c r="AB36" s="926"/>
      <c r="AC36" s="926"/>
    </row>
    <row r="37" spans="1:29" s="933" customFormat="1" ht="28.5" hidden="1" customHeight="1">
      <c r="A37" s="917">
        <v>40210</v>
      </c>
      <c r="B37" s="934">
        <v>223.3</v>
      </c>
      <c r="C37" s="935">
        <v>161.252725</v>
      </c>
      <c r="D37" s="935">
        <v>206.64425</v>
      </c>
      <c r="E37" s="935">
        <v>979.74149999999997</v>
      </c>
      <c r="F37" s="935">
        <v>1375.3363999999999</v>
      </c>
      <c r="G37" s="935">
        <v>2160.5745000000002</v>
      </c>
      <c r="H37" s="935">
        <v>11993.867</v>
      </c>
      <c r="I37" s="936">
        <v>1119.5519999999999</v>
      </c>
      <c r="J37" s="937">
        <v>18220.268375</v>
      </c>
      <c r="K37" s="934">
        <v>8.6</v>
      </c>
      <c r="L37" s="935">
        <v>13</v>
      </c>
      <c r="M37" s="935">
        <v>134.91</v>
      </c>
      <c r="N37" s="938">
        <v>218.6</v>
      </c>
      <c r="O37" s="941">
        <v>93.4</v>
      </c>
      <c r="P37" s="942">
        <v>116.99</v>
      </c>
      <c r="Q37" s="935">
        <v>27.76</v>
      </c>
      <c r="R37" s="935">
        <v>6.3474992500000003</v>
      </c>
      <c r="S37" s="935">
        <v>34.799999999999997</v>
      </c>
      <c r="T37" s="935">
        <v>2.4</v>
      </c>
      <c r="U37" s="935">
        <v>8.25</v>
      </c>
      <c r="V37" s="935">
        <v>0.33</v>
      </c>
      <c r="W37" s="935">
        <v>0.2</v>
      </c>
      <c r="X37" s="939">
        <v>665.59</v>
      </c>
      <c r="Y37" s="940">
        <v>18885.858375</v>
      </c>
      <c r="Z37" s="925"/>
      <c r="AA37" s="926"/>
      <c r="AB37" s="926"/>
      <c r="AC37" s="926"/>
    </row>
    <row r="38" spans="1:29" s="933" customFormat="1" ht="28.5" hidden="1" customHeight="1">
      <c r="A38" s="917">
        <v>40238</v>
      </c>
      <c r="B38" s="934">
        <v>223.3</v>
      </c>
      <c r="C38" s="935">
        <v>162.4</v>
      </c>
      <c r="D38" s="935">
        <v>203.1</v>
      </c>
      <c r="E38" s="935">
        <v>980.83</v>
      </c>
      <c r="F38" s="935">
        <v>1372.3</v>
      </c>
      <c r="G38" s="935">
        <v>2229.5</v>
      </c>
      <c r="H38" s="935">
        <v>12056.4</v>
      </c>
      <c r="I38" s="936">
        <v>1097.7</v>
      </c>
      <c r="J38" s="937">
        <v>18325.53</v>
      </c>
      <c r="K38" s="934">
        <v>8.61</v>
      </c>
      <c r="L38" s="935">
        <v>12.967000000000001</v>
      </c>
      <c r="M38" s="935">
        <v>130.96</v>
      </c>
      <c r="N38" s="938">
        <v>218.20168000000001</v>
      </c>
      <c r="O38" s="941">
        <v>94.12</v>
      </c>
      <c r="P38" s="942">
        <v>117.398</v>
      </c>
      <c r="Q38" s="935">
        <v>27.76</v>
      </c>
      <c r="R38" s="935">
        <v>6.3470000000000004</v>
      </c>
      <c r="S38" s="935">
        <v>35.049999999999997</v>
      </c>
      <c r="T38" s="935">
        <v>2.4300000000000002</v>
      </c>
      <c r="U38" s="935">
        <v>8.2606000000000002</v>
      </c>
      <c r="V38" s="935">
        <v>0.33</v>
      </c>
      <c r="W38" s="935">
        <v>0.2</v>
      </c>
      <c r="X38" s="939">
        <v>662.63427999999999</v>
      </c>
      <c r="Y38" s="940">
        <v>18988.164280000001</v>
      </c>
      <c r="Z38" s="925"/>
      <c r="AA38" s="926"/>
      <c r="AB38" s="926"/>
      <c r="AC38" s="926"/>
    </row>
    <row r="39" spans="1:29" s="933" customFormat="1" ht="28.5" hidden="1" customHeight="1">
      <c r="A39" s="917">
        <v>40269</v>
      </c>
      <c r="B39" s="934">
        <v>223.2</v>
      </c>
      <c r="C39" s="935">
        <v>170.58</v>
      </c>
      <c r="D39" s="935">
        <v>220.6797</v>
      </c>
      <c r="E39" s="935">
        <v>970.68</v>
      </c>
      <c r="F39" s="935">
        <v>1337.58</v>
      </c>
      <c r="G39" s="935">
        <v>2183.1799999999998</v>
      </c>
      <c r="H39" s="935">
        <v>12143.69</v>
      </c>
      <c r="I39" s="936">
        <v>1082.3499999999999</v>
      </c>
      <c r="J39" s="937">
        <v>18331.939699999999</v>
      </c>
      <c r="K39" s="934">
        <v>8.6</v>
      </c>
      <c r="L39" s="935">
        <v>12.97</v>
      </c>
      <c r="M39" s="935">
        <v>131.37</v>
      </c>
      <c r="N39" s="938">
        <v>218.35</v>
      </c>
      <c r="O39" s="941">
        <v>95.01</v>
      </c>
      <c r="P39" s="942">
        <v>117.64</v>
      </c>
      <c r="Q39" s="935">
        <v>27.75</v>
      </c>
      <c r="R39" s="935">
        <v>6.34</v>
      </c>
      <c r="S39" s="935">
        <v>35.17</v>
      </c>
      <c r="T39" s="935">
        <v>2.42</v>
      </c>
      <c r="U39" s="935">
        <v>8.26</v>
      </c>
      <c r="V39" s="935">
        <v>0.33</v>
      </c>
      <c r="W39" s="935">
        <v>0.22</v>
      </c>
      <c r="X39" s="939">
        <v>664.43</v>
      </c>
      <c r="Y39" s="940">
        <v>18996.369699999999</v>
      </c>
      <c r="Z39" s="925"/>
      <c r="AA39" s="926"/>
      <c r="AB39" s="926"/>
      <c r="AC39" s="926"/>
    </row>
    <row r="40" spans="1:29" s="933" customFormat="1" ht="28.5" hidden="1" customHeight="1">
      <c r="A40" s="917">
        <v>40299</v>
      </c>
      <c r="B40" s="934">
        <v>219.7</v>
      </c>
      <c r="C40" s="935">
        <v>173.1</v>
      </c>
      <c r="D40" s="935">
        <v>233</v>
      </c>
      <c r="E40" s="935">
        <v>978.9</v>
      </c>
      <c r="F40" s="935">
        <v>1364.79</v>
      </c>
      <c r="G40" s="935">
        <v>2189.9</v>
      </c>
      <c r="H40" s="935">
        <v>12249.4</v>
      </c>
      <c r="I40" s="936">
        <v>1080.0999999999999</v>
      </c>
      <c r="J40" s="943">
        <v>18488.89</v>
      </c>
      <c r="K40" s="934">
        <v>8.6</v>
      </c>
      <c r="L40" s="935">
        <v>12.98</v>
      </c>
      <c r="M40" s="935">
        <v>129.77000000000001</v>
      </c>
      <c r="N40" s="944">
        <v>218.63</v>
      </c>
      <c r="O40" s="944">
        <v>95.18</v>
      </c>
      <c r="P40" s="945">
        <v>117.85</v>
      </c>
      <c r="Q40" s="945">
        <v>27.8</v>
      </c>
      <c r="R40" s="935">
        <v>6.3</v>
      </c>
      <c r="S40" s="935">
        <v>35.25</v>
      </c>
      <c r="T40" s="935">
        <v>2.4300000000000002</v>
      </c>
      <c r="U40" s="935">
        <v>8.33</v>
      </c>
      <c r="V40" s="935">
        <v>0.33</v>
      </c>
      <c r="W40" s="935">
        <v>0.22</v>
      </c>
      <c r="X40" s="939">
        <v>663.67</v>
      </c>
      <c r="Y40" s="940">
        <v>19152.559999999998</v>
      </c>
      <c r="Z40" s="925"/>
      <c r="AA40" s="926"/>
      <c r="AB40" s="926"/>
      <c r="AC40" s="926"/>
    </row>
    <row r="41" spans="1:29" s="933" customFormat="1" ht="28.5" hidden="1" customHeight="1">
      <c r="A41" s="917">
        <v>40330</v>
      </c>
      <c r="B41" s="934">
        <v>219.6</v>
      </c>
      <c r="C41" s="935">
        <v>174.9</v>
      </c>
      <c r="D41" s="935">
        <v>236.9</v>
      </c>
      <c r="E41" s="935">
        <v>957.7</v>
      </c>
      <c r="F41" s="935">
        <v>1316</v>
      </c>
      <c r="G41" s="935">
        <v>2155.4</v>
      </c>
      <c r="H41" s="935">
        <v>12099.4</v>
      </c>
      <c r="I41" s="936">
        <v>1068.5</v>
      </c>
      <c r="J41" s="943">
        <v>18228.400000000001</v>
      </c>
      <c r="K41" s="934">
        <v>8.6</v>
      </c>
      <c r="L41" s="935">
        <v>12.98</v>
      </c>
      <c r="M41" s="935">
        <v>128.6</v>
      </c>
      <c r="N41" s="944">
        <v>217.07</v>
      </c>
      <c r="O41" s="944">
        <v>95.27</v>
      </c>
      <c r="P41" s="945">
        <v>118.08</v>
      </c>
      <c r="Q41" s="945">
        <v>27.83</v>
      </c>
      <c r="R41" s="935">
        <v>6.3</v>
      </c>
      <c r="S41" s="935">
        <v>35.54</v>
      </c>
      <c r="T41" s="935">
        <v>2.4300000000000002</v>
      </c>
      <c r="U41" s="935">
        <v>8.41</v>
      </c>
      <c r="V41" s="935">
        <v>0.33</v>
      </c>
      <c r="W41" s="935">
        <v>0.22</v>
      </c>
      <c r="X41" s="939">
        <v>661.66</v>
      </c>
      <c r="Y41" s="940">
        <v>18890.060000000001</v>
      </c>
      <c r="Z41" s="925"/>
      <c r="AA41" s="926"/>
      <c r="AB41" s="926"/>
      <c r="AC41" s="926"/>
    </row>
    <row r="42" spans="1:29" s="933" customFormat="1" ht="28.5" hidden="1" customHeight="1">
      <c r="A42" s="917">
        <v>40360</v>
      </c>
      <c r="B42" s="934">
        <v>219.56</v>
      </c>
      <c r="C42" s="935">
        <v>175.46</v>
      </c>
      <c r="D42" s="935">
        <v>242.4</v>
      </c>
      <c r="E42" s="935">
        <v>973.4</v>
      </c>
      <c r="F42" s="935">
        <v>1327</v>
      </c>
      <c r="G42" s="935">
        <v>2207</v>
      </c>
      <c r="H42" s="935">
        <v>12337.3</v>
      </c>
      <c r="I42" s="936">
        <v>1059.5999999999999</v>
      </c>
      <c r="J42" s="943">
        <v>18541.72</v>
      </c>
      <c r="K42" s="934">
        <v>8.6</v>
      </c>
      <c r="L42" s="935">
        <v>12.98</v>
      </c>
      <c r="M42" s="935">
        <v>126.51</v>
      </c>
      <c r="N42" s="944">
        <v>215.95</v>
      </c>
      <c r="O42" s="944">
        <v>95.09</v>
      </c>
      <c r="P42" s="945">
        <v>118.4</v>
      </c>
      <c r="Q42" s="945">
        <v>27.9</v>
      </c>
      <c r="R42" s="935">
        <v>6.3460000000000001</v>
      </c>
      <c r="S42" s="935">
        <v>35.64</v>
      </c>
      <c r="T42" s="935">
        <v>2.4300000000000002</v>
      </c>
      <c r="U42" s="935">
        <v>8.4600000000000009</v>
      </c>
      <c r="V42" s="935">
        <v>0.33</v>
      </c>
      <c r="W42" s="935">
        <v>0.22</v>
      </c>
      <c r="X42" s="939">
        <v>658.85599999999999</v>
      </c>
      <c r="Y42" s="940">
        <v>19200.575999999997</v>
      </c>
      <c r="Z42" s="925"/>
      <c r="AA42" s="926"/>
      <c r="AB42" s="926"/>
      <c r="AC42" s="926"/>
    </row>
    <row r="43" spans="1:29" s="933" customFormat="1" ht="28.5" hidden="1" customHeight="1">
      <c r="A43" s="917">
        <v>40391</v>
      </c>
      <c r="B43" s="934">
        <v>219.5</v>
      </c>
      <c r="C43" s="935">
        <v>179.6</v>
      </c>
      <c r="D43" s="935">
        <v>251.75</v>
      </c>
      <c r="E43" s="935">
        <v>972.95</v>
      </c>
      <c r="F43" s="935">
        <v>1361.1</v>
      </c>
      <c r="G43" s="935">
        <v>2211.4899999999998</v>
      </c>
      <c r="H43" s="935">
        <v>12434.69</v>
      </c>
      <c r="I43" s="936">
        <v>1049.9000000000001</v>
      </c>
      <c r="J43" s="943">
        <v>18680.98</v>
      </c>
      <c r="K43" s="934">
        <v>8.6300000000000008</v>
      </c>
      <c r="L43" s="935">
        <v>12.99</v>
      </c>
      <c r="M43" s="935">
        <v>126.58</v>
      </c>
      <c r="N43" s="944">
        <v>215.91</v>
      </c>
      <c r="O43" s="944">
        <v>95.42</v>
      </c>
      <c r="P43" s="945">
        <v>118.66</v>
      </c>
      <c r="Q43" s="945">
        <v>28</v>
      </c>
      <c r="R43" s="935">
        <v>6.3460000000000001</v>
      </c>
      <c r="S43" s="935">
        <v>35.89</v>
      </c>
      <c r="T43" s="935">
        <v>2.4</v>
      </c>
      <c r="U43" s="935">
        <v>8.5030000000000001</v>
      </c>
      <c r="V43" s="935">
        <v>0.33</v>
      </c>
      <c r="W43" s="935">
        <v>0.22</v>
      </c>
      <c r="X43" s="939">
        <v>659.87900000000013</v>
      </c>
      <c r="Y43" s="940">
        <v>19340.859000000004</v>
      </c>
      <c r="Z43" s="925"/>
      <c r="AA43" s="926"/>
      <c r="AB43" s="926"/>
      <c r="AC43" s="926"/>
    </row>
    <row r="44" spans="1:29" s="933" customFormat="1" ht="28.5" hidden="1" customHeight="1">
      <c r="A44" s="917">
        <v>40422</v>
      </c>
      <c r="B44" s="934">
        <v>219.44</v>
      </c>
      <c r="C44" s="935">
        <v>182.4</v>
      </c>
      <c r="D44" s="935">
        <v>255.9</v>
      </c>
      <c r="E44" s="935">
        <v>1013.9</v>
      </c>
      <c r="F44" s="935">
        <v>1350.8</v>
      </c>
      <c r="G44" s="935">
        <v>2246.6999999999998</v>
      </c>
      <c r="H44" s="935">
        <v>12363.3</v>
      </c>
      <c r="I44" s="936">
        <v>1044.5999999999999</v>
      </c>
      <c r="J44" s="943">
        <v>18677.039999999997</v>
      </c>
      <c r="K44" s="934">
        <v>8.6</v>
      </c>
      <c r="L44" s="935">
        <v>12.99</v>
      </c>
      <c r="M44" s="935">
        <v>126.69</v>
      </c>
      <c r="N44" s="944">
        <v>215.62</v>
      </c>
      <c r="O44" s="944">
        <v>95.63</v>
      </c>
      <c r="P44" s="945">
        <v>118.81</v>
      </c>
      <c r="Q44" s="945">
        <v>28.06</v>
      </c>
      <c r="R44" s="935">
        <v>6.3</v>
      </c>
      <c r="S44" s="935">
        <v>35.93</v>
      </c>
      <c r="T44" s="935">
        <v>2.4300000000000002</v>
      </c>
      <c r="U44" s="935">
        <v>8.5500000000000007</v>
      </c>
      <c r="V44" s="935">
        <v>0.33</v>
      </c>
      <c r="W44" s="935">
        <v>0.2</v>
      </c>
      <c r="X44" s="939">
        <v>660.14999999999975</v>
      </c>
      <c r="Y44" s="940">
        <v>19337.189999999999</v>
      </c>
      <c r="Z44" s="925"/>
      <c r="AA44" s="926"/>
      <c r="AB44" s="926"/>
      <c r="AC44" s="926"/>
    </row>
    <row r="45" spans="1:29" s="933" customFormat="1" ht="28.5" hidden="1" customHeight="1">
      <c r="A45" s="917">
        <v>40452</v>
      </c>
      <c r="B45" s="934">
        <v>219.39</v>
      </c>
      <c r="C45" s="935">
        <v>180.07</v>
      </c>
      <c r="D45" s="935">
        <v>252.2</v>
      </c>
      <c r="E45" s="935">
        <v>1009.1</v>
      </c>
      <c r="F45" s="935">
        <v>1357.59</v>
      </c>
      <c r="G45" s="935">
        <v>2233.25</v>
      </c>
      <c r="H45" s="935">
        <v>12536.1</v>
      </c>
      <c r="I45" s="936">
        <v>1034.5999999999999</v>
      </c>
      <c r="J45" s="943">
        <v>18822.3</v>
      </c>
      <c r="K45" s="934">
        <v>8.6</v>
      </c>
      <c r="L45" s="935">
        <v>12.996</v>
      </c>
      <c r="M45" s="935">
        <v>127.81</v>
      </c>
      <c r="N45" s="944">
        <v>216.33</v>
      </c>
      <c r="O45" s="944">
        <v>95.79</v>
      </c>
      <c r="P45" s="945">
        <v>119.03</v>
      </c>
      <c r="Q45" s="945">
        <v>28.06</v>
      </c>
      <c r="R45" s="935">
        <v>6.3460000000000001</v>
      </c>
      <c r="S45" s="935">
        <v>35.9</v>
      </c>
      <c r="T45" s="935">
        <v>2.4300000000000002</v>
      </c>
      <c r="U45" s="935">
        <v>8.59</v>
      </c>
      <c r="V45" s="935">
        <v>0.33</v>
      </c>
      <c r="W45" s="935">
        <v>0.22</v>
      </c>
      <c r="X45" s="939">
        <v>662.43200000000002</v>
      </c>
      <c r="Y45" s="940">
        <v>19484.732</v>
      </c>
      <c r="Z45" s="925"/>
      <c r="AA45" s="926"/>
      <c r="AB45" s="926"/>
      <c r="AC45" s="926"/>
    </row>
    <row r="46" spans="1:29" s="933" customFormat="1" ht="28.5" hidden="1" customHeight="1">
      <c r="A46" s="917">
        <v>40483</v>
      </c>
      <c r="B46" s="946">
        <v>219.3</v>
      </c>
      <c r="C46" s="935">
        <v>179.85</v>
      </c>
      <c r="D46" s="935">
        <v>260.08</v>
      </c>
      <c r="E46" s="935">
        <v>1018.2</v>
      </c>
      <c r="F46" s="935">
        <v>1363</v>
      </c>
      <c r="G46" s="935">
        <v>2250.25</v>
      </c>
      <c r="H46" s="935">
        <v>12720.4</v>
      </c>
      <c r="I46" s="936">
        <v>1079.26</v>
      </c>
      <c r="J46" s="943">
        <v>19090.34</v>
      </c>
      <c r="K46" s="934">
        <v>8.6</v>
      </c>
      <c r="L46" s="935">
        <v>13.003</v>
      </c>
      <c r="M46" s="935">
        <v>128.13</v>
      </c>
      <c r="N46" s="935">
        <v>217.26</v>
      </c>
      <c r="O46" s="935">
        <v>96.89</v>
      </c>
      <c r="P46" s="935">
        <v>119.64</v>
      </c>
      <c r="Q46" s="935">
        <v>28.09</v>
      </c>
      <c r="R46" s="935">
        <v>6.3460000000000001</v>
      </c>
      <c r="S46" s="935">
        <v>36.25</v>
      </c>
      <c r="T46" s="935">
        <v>2.4300000000000002</v>
      </c>
      <c r="U46" s="935">
        <v>8.64</v>
      </c>
      <c r="V46" s="935">
        <v>0.33</v>
      </c>
      <c r="W46" s="935">
        <v>0.22</v>
      </c>
      <c r="X46" s="939">
        <v>665.82900000000006</v>
      </c>
      <c r="Y46" s="939">
        <v>19756.169000000002</v>
      </c>
      <c r="Z46" s="925"/>
      <c r="AA46" s="926"/>
      <c r="AB46" s="926"/>
      <c r="AC46" s="926"/>
    </row>
    <row r="47" spans="1:29" s="933" customFormat="1" ht="28.5" hidden="1" customHeight="1">
      <c r="A47" s="917">
        <v>40513</v>
      </c>
      <c r="B47" s="946">
        <v>219.26900000000001</v>
      </c>
      <c r="C47" s="935">
        <v>196.5</v>
      </c>
      <c r="D47" s="935">
        <v>289.39999999999998</v>
      </c>
      <c r="E47" s="935">
        <v>1112.6300000000001</v>
      </c>
      <c r="F47" s="935">
        <v>1563.9</v>
      </c>
      <c r="G47" s="935">
        <v>2688.13</v>
      </c>
      <c r="H47" s="935">
        <v>14930.42</v>
      </c>
      <c r="I47" s="936">
        <v>1154.04</v>
      </c>
      <c r="J47" s="943">
        <v>22154.289000000001</v>
      </c>
      <c r="K47" s="934">
        <v>8.82</v>
      </c>
      <c r="L47" s="935">
        <v>13.009</v>
      </c>
      <c r="M47" s="935">
        <v>131.69999999999999</v>
      </c>
      <c r="N47" s="935">
        <v>221.75</v>
      </c>
      <c r="O47" s="935">
        <v>99.16</v>
      </c>
      <c r="P47" s="935">
        <v>121.23</v>
      </c>
      <c r="Q47" s="935">
        <v>28.18</v>
      </c>
      <c r="R47" s="935">
        <v>6.3460000000000001</v>
      </c>
      <c r="S47" s="935">
        <v>36.700000000000003</v>
      </c>
      <c r="T47" s="935">
        <v>2.4300000000000002</v>
      </c>
      <c r="U47" s="935">
        <v>8.7200000000000006</v>
      </c>
      <c r="V47" s="935">
        <v>0.33</v>
      </c>
      <c r="W47" s="935">
        <v>0.22</v>
      </c>
      <c r="X47" s="939">
        <v>678.59500000000003</v>
      </c>
      <c r="Y47" s="939">
        <v>22832.884000000002</v>
      </c>
      <c r="Z47" s="925"/>
      <c r="AA47" s="926"/>
      <c r="AB47" s="926"/>
      <c r="AC47" s="926"/>
    </row>
    <row r="48" spans="1:29" s="933" customFormat="1" ht="28.5" hidden="1" customHeight="1">
      <c r="A48" s="917">
        <v>40544</v>
      </c>
      <c r="B48" s="946">
        <v>219.2</v>
      </c>
      <c r="C48" s="935">
        <v>189.8</v>
      </c>
      <c r="D48" s="935">
        <v>275</v>
      </c>
      <c r="E48" s="935">
        <v>1033.4000000000001</v>
      </c>
      <c r="F48" s="935">
        <v>1434.5</v>
      </c>
      <c r="G48" s="935">
        <v>2496.1999999999998</v>
      </c>
      <c r="H48" s="935">
        <v>14004.6</v>
      </c>
      <c r="I48" s="936">
        <v>1129.5999999999999</v>
      </c>
      <c r="J48" s="943">
        <v>20782.3</v>
      </c>
      <c r="K48" s="934">
        <v>8.82</v>
      </c>
      <c r="L48" s="935">
        <v>13</v>
      </c>
      <c r="M48" s="935">
        <v>131.9</v>
      </c>
      <c r="N48" s="935">
        <v>223.65</v>
      </c>
      <c r="O48" s="935">
        <v>100.82</v>
      </c>
      <c r="P48" s="935">
        <v>122.25</v>
      </c>
      <c r="Q48" s="935">
        <v>28.28</v>
      </c>
      <c r="R48" s="935">
        <v>6.3460000000000001</v>
      </c>
      <c r="S48" s="935">
        <v>36.880000000000003</v>
      </c>
      <c r="T48" s="935">
        <v>2.4300000000000002</v>
      </c>
      <c r="U48" s="935">
        <v>8.76</v>
      </c>
      <c r="V48" s="935">
        <v>0.33</v>
      </c>
      <c r="W48" s="935">
        <v>0.2</v>
      </c>
      <c r="X48" s="939">
        <v>683.66600000000005</v>
      </c>
      <c r="Y48" s="939">
        <v>21466.016</v>
      </c>
      <c r="Z48" s="925"/>
      <c r="AA48" s="926"/>
      <c r="AB48" s="926"/>
      <c r="AC48" s="926"/>
    </row>
    <row r="49" spans="1:29" s="933" customFormat="1" ht="28.5" hidden="1" customHeight="1">
      <c r="A49" s="917">
        <v>40575</v>
      </c>
      <c r="B49" s="946">
        <v>219.2</v>
      </c>
      <c r="C49" s="935">
        <v>178.8</v>
      </c>
      <c r="D49" s="935">
        <v>260.92</v>
      </c>
      <c r="E49" s="935">
        <v>1008.72</v>
      </c>
      <c r="F49" s="935">
        <v>1393.11</v>
      </c>
      <c r="G49" s="935">
        <v>2357.5</v>
      </c>
      <c r="H49" s="935">
        <v>13570.2</v>
      </c>
      <c r="I49" s="936">
        <v>1107</v>
      </c>
      <c r="J49" s="943">
        <v>20095.45</v>
      </c>
      <c r="K49" s="934">
        <v>8.83</v>
      </c>
      <c r="L49" s="935">
        <v>13.015000000000001</v>
      </c>
      <c r="M49" s="935">
        <v>131.87</v>
      </c>
      <c r="N49" s="935">
        <v>223.57</v>
      </c>
      <c r="O49" s="935">
        <v>101.03</v>
      </c>
      <c r="P49" s="935">
        <v>122.74</v>
      </c>
      <c r="Q49" s="935">
        <v>28.32</v>
      </c>
      <c r="R49" s="935">
        <v>6.3</v>
      </c>
      <c r="S49" s="935">
        <v>37</v>
      </c>
      <c r="T49" s="935">
        <v>2.4</v>
      </c>
      <c r="U49" s="935">
        <v>8.7799999999999994</v>
      </c>
      <c r="V49" s="935">
        <v>0.33</v>
      </c>
      <c r="W49" s="935">
        <v>0.22</v>
      </c>
      <c r="X49" s="939">
        <v>684.40499999999997</v>
      </c>
      <c r="Y49" s="939">
        <v>20779.855</v>
      </c>
      <c r="Z49" s="925"/>
      <c r="AA49" s="926"/>
      <c r="AB49" s="947"/>
      <c r="AC49" s="926"/>
    </row>
    <row r="50" spans="1:29" s="933" customFormat="1" ht="28.5" hidden="1" customHeight="1">
      <c r="A50" s="917">
        <v>40603</v>
      </c>
      <c r="B50" s="946">
        <v>219.1</v>
      </c>
      <c r="C50" s="935">
        <v>175.44</v>
      </c>
      <c r="D50" s="935">
        <v>257.2</v>
      </c>
      <c r="E50" s="935">
        <v>1024</v>
      </c>
      <c r="F50" s="935">
        <v>1410.8</v>
      </c>
      <c r="G50" s="935">
        <v>2354.1999999999998</v>
      </c>
      <c r="H50" s="935">
        <v>13547.2</v>
      </c>
      <c r="I50" s="936">
        <v>1123.7</v>
      </c>
      <c r="J50" s="943">
        <v>20111.64</v>
      </c>
      <c r="K50" s="946">
        <v>8.8000000000000007</v>
      </c>
      <c r="L50" s="938">
        <v>13.021000000000001</v>
      </c>
      <c r="M50" s="938">
        <v>131.93</v>
      </c>
      <c r="N50" s="938">
        <v>223.68</v>
      </c>
      <c r="O50" s="938">
        <v>101.09</v>
      </c>
      <c r="P50" s="938">
        <v>123.83</v>
      </c>
      <c r="Q50" s="938">
        <v>28.5</v>
      </c>
      <c r="R50" s="938">
        <v>6.3460000000000001</v>
      </c>
      <c r="S50" s="938">
        <v>37.229999999999997</v>
      </c>
      <c r="T50" s="938">
        <v>2.4300000000000002</v>
      </c>
      <c r="U50" s="938">
        <v>8.85</v>
      </c>
      <c r="V50" s="938">
        <v>0.33</v>
      </c>
      <c r="W50" s="938">
        <v>0.22</v>
      </c>
      <c r="X50" s="939">
        <v>686.25700000000018</v>
      </c>
      <c r="Y50" s="939">
        <v>20797.897000000004</v>
      </c>
      <c r="Z50" s="925"/>
      <c r="AA50" s="877"/>
      <c r="AB50" s="947"/>
      <c r="AC50" s="926"/>
    </row>
    <row r="51" spans="1:29" s="933" customFormat="1" ht="28.5" hidden="1" customHeight="1">
      <c r="A51" s="917">
        <v>40634</v>
      </c>
      <c r="B51" s="946">
        <v>219.06</v>
      </c>
      <c r="C51" s="935">
        <v>172.1</v>
      </c>
      <c r="D51" s="935">
        <v>253.6</v>
      </c>
      <c r="E51" s="935">
        <v>1007.86</v>
      </c>
      <c r="F51" s="935">
        <v>1364.3</v>
      </c>
      <c r="G51" s="935">
        <v>2308</v>
      </c>
      <c r="H51" s="935">
        <v>13462.2</v>
      </c>
      <c r="I51" s="936">
        <v>1120</v>
      </c>
      <c r="J51" s="943">
        <v>19907.12</v>
      </c>
      <c r="K51" s="946">
        <v>8.84</v>
      </c>
      <c r="L51" s="938">
        <v>13</v>
      </c>
      <c r="M51" s="938">
        <v>132.1</v>
      </c>
      <c r="N51" s="938">
        <v>223.71</v>
      </c>
      <c r="O51" s="938">
        <v>100.77</v>
      </c>
      <c r="P51" s="938">
        <v>124.1</v>
      </c>
      <c r="Q51" s="938">
        <v>28.65</v>
      </c>
      <c r="R51" s="938">
        <v>6.34</v>
      </c>
      <c r="S51" s="938">
        <v>37.270000000000003</v>
      </c>
      <c r="T51" s="938">
        <v>2.4300000000000002</v>
      </c>
      <c r="U51" s="938">
        <v>8.8699999999999992</v>
      </c>
      <c r="V51" s="938">
        <v>0.33</v>
      </c>
      <c r="W51" s="938">
        <v>0.22</v>
      </c>
      <c r="X51" s="939">
        <v>686.63</v>
      </c>
      <c r="Y51" s="939">
        <v>20593.75</v>
      </c>
      <c r="Z51" s="925"/>
      <c r="AA51" s="926"/>
      <c r="AB51" s="947"/>
      <c r="AC51" s="926"/>
    </row>
    <row r="52" spans="1:29" s="933" customFormat="1" ht="28.5" hidden="1" customHeight="1">
      <c r="A52" s="917">
        <v>40664</v>
      </c>
      <c r="B52" s="946">
        <v>219</v>
      </c>
      <c r="C52" s="935">
        <v>172.35</v>
      </c>
      <c r="D52" s="935">
        <v>253.16</v>
      </c>
      <c r="E52" s="935">
        <v>989.89</v>
      </c>
      <c r="F52" s="935">
        <v>1360.39</v>
      </c>
      <c r="G52" s="935">
        <v>2339.66</v>
      </c>
      <c r="H52" s="935">
        <v>13699.36</v>
      </c>
      <c r="I52" s="936">
        <v>1115.7</v>
      </c>
      <c r="J52" s="943">
        <v>20149.509999999998</v>
      </c>
      <c r="K52" s="946">
        <v>8.8000000000000007</v>
      </c>
      <c r="L52" s="938">
        <v>13</v>
      </c>
      <c r="M52" s="938">
        <v>131.5</v>
      </c>
      <c r="N52" s="938">
        <v>223.8</v>
      </c>
      <c r="O52" s="938">
        <v>100.61</v>
      </c>
      <c r="P52" s="938">
        <v>124.5</v>
      </c>
      <c r="Q52" s="938">
        <v>28.84</v>
      </c>
      <c r="R52" s="938">
        <v>6.3460000000000001</v>
      </c>
      <c r="S52" s="938">
        <v>37.4</v>
      </c>
      <c r="T52" s="938">
        <v>2.4300000000000002</v>
      </c>
      <c r="U52" s="938">
        <v>8.91</v>
      </c>
      <c r="V52" s="938">
        <v>0.33</v>
      </c>
      <c r="W52" s="938">
        <v>0.22</v>
      </c>
      <c r="X52" s="939">
        <v>686.68600000000004</v>
      </c>
      <c r="Y52" s="939">
        <v>20836.196000000004</v>
      </c>
      <c r="Z52" s="925"/>
      <c r="AA52" s="948"/>
      <c r="AB52" s="947"/>
      <c r="AC52" s="926"/>
    </row>
    <row r="53" spans="1:29" s="933" customFormat="1" ht="28.5" hidden="1" customHeight="1">
      <c r="A53" s="917">
        <v>40695</v>
      </c>
      <c r="B53" s="946">
        <v>218.97</v>
      </c>
      <c r="C53" s="935">
        <v>169.75</v>
      </c>
      <c r="D53" s="935">
        <v>246.4</v>
      </c>
      <c r="E53" s="935">
        <v>1009.8</v>
      </c>
      <c r="F53" s="935">
        <v>1367.5</v>
      </c>
      <c r="G53" s="935">
        <v>2285.1</v>
      </c>
      <c r="H53" s="935">
        <v>13573.6</v>
      </c>
      <c r="I53" s="936">
        <v>1136.5</v>
      </c>
      <c r="J53" s="943">
        <v>20007.620000000003</v>
      </c>
      <c r="K53" s="946">
        <v>8.8699999999999992</v>
      </c>
      <c r="L53" s="938">
        <v>13.037000000000001</v>
      </c>
      <c r="M53" s="938">
        <v>131.57</v>
      </c>
      <c r="N53" s="938">
        <v>223.79</v>
      </c>
      <c r="O53" s="938">
        <v>100.63</v>
      </c>
      <c r="P53" s="938">
        <v>124.68</v>
      </c>
      <c r="Q53" s="938">
        <v>28.9</v>
      </c>
      <c r="R53" s="938">
        <v>6.3440000000000003</v>
      </c>
      <c r="S53" s="938">
        <v>37.43</v>
      </c>
      <c r="T53" s="938">
        <v>2.4</v>
      </c>
      <c r="U53" s="938">
        <v>8.94</v>
      </c>
      <c r="V53" s="938">
        <v>0.3</v>
      </c>
      <c r="W53" s="938">
        <v>0.22</v>
      </c>
      <c r="X53" s="937">
        <v>687.11099999999999</v>
      </c>
      <c r="Y53" s="937">
        <v>20694.731000000003</v>
      </c>
      <c r="Z53" s="925"/>
      <c r="AA53" s="926"/>
      <c r="AB53" s="947"/>
      <c r="AC53" s="926"/>
    </row>
    <row r="54" spans="1:29" s="933" customFormat="1" ht="28.5" hidden="1" customHeight="1">
      <c r="A54" s="917">
        <v>40725</v>
      </c>
      <c r="B54" s="946">
        <v>218.94</v>
      </c>
      <c r="C54" s="935">
        <v>167.62</v>
      </c>
      <c r="D54" s="935">
        <v>243</v>
      </c>
      <c r="E54" s="935">
        <v>1019.7</v>
      </c>
      <c r="F54" s="935">
        <v>1377.32</v>
      </c>
      <c r="G54" s="935">
        <v>2376.34</v>
      </c>
      <c r="H54" s="935">
        <v>13889.93</v>
      </c>
      <c r="I54" s="936">
        <v>1164.0999999999999</v>
      </c>
      <c r="J54" s="943">
        <v>20456.949999999997</v>
      </c>
      <c r="K54" s="946">
        <v>8.9</v>
      </c>
      <c r="L54" s="938">
        <v>13.04</v>
      </c>
      <c r="M54" s="938">
        <v>132.18</v>
      </c>
      <c r="N54" s="938">
        <v>224.36</v>
      </c>
      <c r="O54" s="938">
        <v>101.29</v>
      </c>
      <c r="P54" s="938">
        <v>125.03</v>
      </c>
      <c r="Q54" s="938">
        <v>29</v>
      </c>
      <c r="R54" s="938">
        <v>6.34</v>
      </c>
      <c r="S54" s="938">
        <v>37.51</v>
      </c>
      <c r="T54" s="938">
        <v>2.4300000000000002</v>
      </c>
      <c r="U54" s="938">
        <v>9</v>
      </c>
      <c r="V54" s="938">
        <v>0.33</v>
      </c>
      <c r="W54" s="938">
        <v>0.22</v>
      </c>
      <c r="X54" s="937">
        <v>689.63000000000011</v>
      </c>
      <c r="Y54" s="937">
        <v>21146.579999999998</v>
      </c>
      <c r="Z54" s="925"/>
      <c r="AA54" s="926"/>
      <c r="AB54" s="947"/>
      <c r="AC54" s="926"/>
    </row>
    <row r="55" spans="1:29" s="933" customFormat="1" ht="28.5" hidden="1" customHeight="1">
      <c r="A55" s="917">
        <v>40756</v>
      </c>
      <c r="B55" s="946">
        <v>218.9</v>
      </c>
      <c r="C55" s="935">
        <v>172.7</v>
      </c>
      <c r="D55" s="935">
        <v>249.2</v>
      </c>
      <c r="E55" s="935">
        <v>1035.5999999999999</v>
      </c>
      <c r="F55" s="935">
        <v>1424.9</v>
      </c>
      <c r="G55" s="935">
        <v>2468.1</v>
      </c>
      <c r="H55" s="935">
        <v>14458.4</v>
      </c>
      <c r="I55" s="936">
        <v>1160.0999999999999</v>
      </c>
      <c r="J55" s="943">
        <v>21187.9</v>
      </c>
      <c r="K55" s="946">
        <v>8.89</v>
      </c>
      <c r="L55" s="938">
        <v>13.04</v>
      </c>
      <c r="M55" s="938">
        <v>137.16</v>
      </c>
      <c r="N55" s="938">
        <v>227.17</v>
      </c>
      <c r="O55" s="938">
        <v>101.93</v>
      </c>
      <c r="P55" s="938">
        <v>125.26</v>
      </c>
      <c r="Q55" s="938">
        <v>29.03</v>
      </c>
      <c r="R55" s="938">
        <v>6.34</v>
      </c>
      <c r="S55" s="938">
        <v>37.58</v>
      </c>
      <c r="T55" s="938">
        <v>2.4300000000000002</v>
      </c>
      <c r="U55" s="938">
        <v>8.98</v>
      </c>
      <c r="V55" s="938">
        <v>0.33</v>
      </c>
      <c r="W55" s="938">
        <v>0.22</v>
      </c>
      <c r="X55" s="937">
        <v>698.36000000000013</v>
      </c>
      <c r="Y55" s="937">
        <v>21886.260000000002</v>
      </c>
      <c r="Z55" s="925"/>
      <c r="AA55" s="926"/>
      <c r="AB55" s="947"/>
      <c r="AC55" s="926"/>
    </row>
    <row r="56" spans="1:29" s="933" customFormat="1" ht="28.5" hidden="1" customHeight="1">
      <c r="A56" s="917">
        <v>40787</v>
      </c>
      <c r="B56" s="946">
        <v>218.8</v>
      </c>
      <c r="C56" s="935">
        <v>172.3</v>
      </c>
      <c r="D56" s="935">
        <v>248.8</v>
      </c>
      <c r="E56" s="935">
        <v>1029.3</v>
      </c>
      <c r="F56" s="935">
        <v>1425.3</v>
      </c>
      <c r="G56" s="935">
        <v>2392.4</v>
      </c>
      <c r="H56" s="935">
        <v>13982.3</v>
      </c>
      <c r="I56" s="936">
        <v>1222.4000000000001</v>
      </c>
      <c r="J56" s="943">
        <v>20691.599999999999</v>
      </c>
      <c r="K56" s="946">
        <v>8.89</v>
      </c>
      <c r="L56" s="938">
        <v>13</v>
      </c>
      <c r="M56" s="938">
        <v>141.16</v>
      </c>
      <c r="N56" s="938">
        <v>229.9</v>
      </c>
      <c r="O56" s="938">
        <v>102.1</v>
      </c>
      <c r="P56" s="938">
        <v>125.6</v>
      </c>
      <c r="Q56" s="938">
        <v>29.09</v>
      </c>
      <c r="R56" s="938">
        <v>6.3</v>
      </c>
      <c r="S56" s="938">
        <v>37.6</v>
      </c>
      <c r="T56" s="938">
        <v>2.4</v>
      </c>
      <c r="U56" s="938">
        <v>9</v>
      </c>
      <c r="V56" s="938">
        <v>0.3</v>
      </c>
      <c r="W56" s="938">
        <v>0.2</v>
      </c>
      <c r="X56" s="937">
        <v>705.95</v>
      </c>
      <c r="Y56" s="937">
        <v>21397.55</v>
      </c>
      <c r="Z56" s="925"/>
      <c r="AA56" s="926"/>
      <c r="AB56" s="947"/>
      <c r="AC56" s="926"/>
    </row>
    <row r="57" spans="1:29" s="933" customFormat="1" ht="28.5" hidden="1" customHeight="1">
      <c r="A57" s="917">
        <v>40817</v>
      </c>
      <c r="B57" s="946">
        <v>218.8</v>
      </c>
      <c r="C57" s="935">
        <v>173.4</v>
      </c>
      <c r="D57" s="935">
        <v>247.7</v>
      </c>
      <c r="E57" s="935">
        <v>1062.0999999999999</v>
      </c>
      <c r="F57" s="935">
        <v>1507.1</v>
      </c>
      <c r="G57" s="935">
        <v>2517.1</v>
      </c>
      <c r="H57" s="935">
        <v>14456.7</v>
      </c>
      <c r="I57" s="936">
        <v>1182.2</v>
      </c>
      <c r="J57" s="943">
        <v>21365.1</v>
      </c>
      <c r="K57" s="946">
        <v>8.9</v>
      </c>
      <c r="L57" s="938">
        <v>13</v>
      </c>
      <c r="M57" s="938">
        <v>145.9</v>
      </c>
      <c r="N57" s="938">
        <v>231.6</v>
      </c>
      <c r="O57" s="938">
        <v>102.6</v>
      </c>
      <c r="P57" s="938">
        <v>126.29</v>
      </c>
      <c r="Q57" s="938">
        <v>29.19</v>
      </c>
      <c r="R57" s="938">
        <v>6.34</v>
      </c>
      <c r="S57" s="938">
        <v>37.82</v>
      </c>
      <c r="T57" s="938">
        <v>2.4300000000000002</v>
      </c>
      <c r="U57" s="938">
        <v>9.0500000000000007</v>
      </c>
      <c r="V57" s="938">
        <v>0.33</v>
      </c>
      <c r="W57" s="938">
        <v>0.22</v>
      </c>
      <c r="X57" s="937">
        <v>713.74</v>
      </c>
      <c r="Y57" s="937">
        <v>22078.880000000001</v>
      </c>
      <c r="Z57" s="925"/>
      <c r="AA57" s="949"/>
      <c r="AB57" s="947"/>
      <c r="AC57" s="926"/>
    </row>
    <row r="58" spans="1:29" s="933" customFormat="1" ht="28.5" hidden="1" customHeight="1">
      <c r="A58" s="917">
        <v>40848</v>
      </c>
      <c r="B58" s="946">
        <v>218.636</v>
      </c>
      <c r="C58" s="935">
        <v>174.2</v>
      </c>
      <c r="D58" s="935">
        <v>247</v>
      </c>
      <c r="E58" s="935">
        <v>1046.0999999999999</v>
      </c>
      <c r="F58" s="935">
        <v>1454.2</v>
      </c>
      <c r="G58" s="935">
        <v>2421.4</v>
      </c>
      <c r="H58" s="935">
        <v>14170.8</v>
      </c>
      <c r="I58" s="936">
        <v>1200.5999999999999</v>
      </c>
      <c r="J58" s="943">
        <v>20932.900000000001</v>
      </c>
      <c r="K58" s="946">
        <v>8.9</v>
      </c>
      <c r="L58" s="938">
        <v>13.067</v>
      </c>
      <c r="M58" s="938">
        <v>150.71</v>
      </c>
      <c r="N58" s="938">
        <v>233.7</v>
      </c>
      <c r="O58" s="938">
        <v>102.9</v>
      </c>
      <c r="P58" s="938">
        <v>127.5</v>
      </c>
      <c r="Q58" s="938">
        <v>29.4</v>
      </c>
      <c r="R58" s="938">
        <v>6.34</v>
      </c>
      <c r="S58" s="938">
        <v>38.07</v>
      </c>
      <c r="T58" s="938">
        <v>2.4300000000000002</v>
      </c>
      <c r="U58" s="938">
        <v>9.1</v>
      </c>
      <c r="V58" s="938">
        <v>0.33</v>
      </c>
      <c r="W58" s="938">
        <v>0.22</v>
      </c>
      <c r="X58" s="937">
        <v>722.7</v>
      </c>
      <c r="Y58" s="937">
        <v>21655.599999999999</v>
      </c>
      <c r="Z58" s="925"/>
      <c r="AA58" s="926"/>
      <c r="AB58" s="947"/>
      <c r="AC58" s="926"/>
    </row>
    <row r="59" spans="1:29" s="933" customFormat="1" ht="28.5" hidden="1" customHeight="1">
      <c r="A59" s="917">
        <v>40878</v>
      </c>
      <c r="B59" s="946">
        <v>218.59</v>
      </c>
      <c r="C59" s="935">
        <v>183.45</v>
      </c>
      <c r="D59" s="935">
        <v>275.99</v>
      </c>
      <c r="E59" s="935">
        <v>1125.3</v>
      </c>
      <c r="F59" s="935">
        <v>1675.97</v>
      </c>
      <c r="G59" s="935">
        <v>2849.27</v>
      </c>
      <c r="H59" s="935">
        <v>16484.45</v>
      </c>
      <c r="I59" s="936">
        <v>1163.2</v>
      </c>
      <c r="J59" s="943">
        <v>23976.22</v>
      </c>
      <c r="K59" s="946">
        <v>9</v>
      </c>
      <c r="L59" s="938">
        <v>13.08</v>
      </c>
      <c r="M59" s="938">
        <v>156.13999999999999</v>
      </c>
      <c r="N59" s="938">
        <v>236.47</v>
      </c>
      <c r="O59" s="938">
        <v>104.04</v>
      </c>
      <c r="P59" s="938">
        <v>128.97999999999999</v>
      </c>
      <c r="Q59" s="938">
        <v>29.53</v>
      </c>
      <c r="R59" s="938">
        <v>6.3419999999999996</v>
      </c>
      <c r="S59" s="938">
        <v>38.43</v>
      </c>
      <c r="T59" s="938">
        <v>2.4300000000000002</v>
      </c>
      <c r="U59" s="938">
        <v>9.19</v>
      </c>
      <c r="V59" s="938">
        <v>0.33</v>
      </c>
      <c r="W59" s="938">
        <v>0.22</v>
      </c>
      <c r="X59" s="937">
        <v>734.1819999999999</v>
      </c>
      <c r="Y59" s="937">
        <v>24710.402000000002</v>
      </c>
      <c r="Z59" s="925"/>
      <c r="AA59" s="926"/>
      <c r="AB59" s="947"/>
      <c r="AC59" s="926"/>
    </row>
    <row r="60" spans="1:29" s="933" customFormat="1" ht="28.5" hidden="1" customHeight="1">
      <c r="A60" s="917">
        <v>40909</v>
      </c>
      <c r="B60" s="946">
        <v>218.56</v>
      </c>
      <c r="C60" s="935">
        <v>180.8</v>
      </c>
      <c r="D60" s="935">
        <v>268.7</v>
      </c>
      <c r="E60" s="935">
        <v>1057.3900000000001</v>
      </c>
      <c r="F60" s="935">
        <v>1551.45</v>
      </c>
      <c r="G60" s="935">
        <v>2575.5</v>
      </c>
      <c r="H60" s="935">
        <v>15069.3</v>
      </c>
      <c r="I60" s="936">
        <v>1171.0999999999999</v>
      </c>
      <c r="J60" s="943">
        <v>22092.799999999996</v>
      </c>
      <c r="K60" s="946">
        <v>8.9749999999999996</v>
      </c>
      <c r="L60" s="938">
        <v>13.083</v>
      </c>
      <c r="M60" s="938">
        <v>156.6</v>
      </c>
      <c r="N60" s="938">
        <v>237.54</v>
      </c>
      <c r="O60" s="938">
        <v>104.11</v>
      </c>
      <c r="P60" s="938">
        <v>129.03</v>
      </c>
      <c r="Q60" s="938">
        <v>29.56</v>
      </c>
      <c r="R60" s="938">
        <v>6.34</v>
      </c>
      <c r="S60" s="938">
        <v>38.5</v>
      </c>
      <c r="T60" s="938">
        <v>2.4300000000000002</v>
      </c>
      <c r="U60" s="938">
        <v>9.1999999999999993</v>
      </c>
      <c r="V60" s="938">
        <v>0.3</v>
      </c>
      <c r="W60" s="938">
        <v>0.2</v>
      </c>
      <c r="X60" s="937">
        <v>735.86799999999994</v>
      </c>
      <c r="Y60" s="937">
        <v>22828.7</v>
      </c>
      <c r="Z60" s="925"/>
      <c r="AA60" s="926"/>
      <c r="AB60" s="947"/>
      <c r="AC60" s="926"/>
    </row>
    <row r="61" spans="1:29" s="933" customFormat="1" ht="28.5" hidden="1" customHeight="1">
      <c r="A61" s="917">
        <v>40940</v>
      </c>
      <c r="B61" s="946">
        <v>218.48</v>
      </c>
      <c r="C61" s="935">
        <v>177.5</v>
      </c>
      <c r="D61" s="935">
        <v>263.3</v>
      </c>
      <c r="E61" s="935">
        <v>1046.0999999999999</v>
      </c>
      <c r="F61" s="935">
        <v>1474.1</v>
      </c>
      <c r="G61" s="935">
        <v>2504.8000000000002</v>
      </c>
      <c r="H61" s="935">
        <v>14837.2</v>
      </c>
      <c r="I61" s="936">
        <v>1159.4000000000001</v>
      </c>
      <c r="J61" s="943">
        <v>21680.9</v>
      </c>
      <c r="K61" s="946">
        <v>8.98</v>
      </c>
      <c r="L61" s="938">
        <v>13.08</v>
      </c>
      <c r="M61" s="938">
        <v>151.87</v>
      </c>
      <c r="N61" s="938">
        <v>237.04</v>
      </c>
      <c r="O61" s="938">
        <v>104.13</v>
      </c>
      <c r="P61" s="938">
        <v>129.08000000000001</v>
      </c>
      <c r="Q61" s="938">
        <v>29.61</v>
      </c>
      <c r="R61" s="938">
        <v>6.34</v>
      </c>
      <c r="S61" s="938">
        <v>38.57</v>
      </c>
      <c r="T61" s="938">
        <v>2.4</v>
      </c>
      <c r="U61" s="938">
        <v>9.1999999999999993</v>
      </c>
      <c r="V61" s="938">
        <v>0.33</v>
      </c>
      <c r="W61" s="938">
        <v>0.22</v>
      </c>
      <c r="X61" s="937">
        <v>730.9</v>
      </c>
      <c r="Y61" s="937">
        <v>22411.8</v>
      </c>
      <c r="Z61" s="925"/>
      <c r="AA61" s="926"/>
      <c r="AB61" s="947"/>
      <c r="AC61" s="926"/>
    </row>
    <row r="62" spans="1:29" s="933" customFormat="1" ht="28.5" hidden="1" customHeight="1">
      <c r="A62" s="917">
        <v>40969</v>
      </c>
      <c r="B62" s="946">
        <v>218.44</v>
      </c>
      <c r="C62" s="935">
        <v>176.9</v>
      </c>
      <c r="D62" s="935">
        <v>262.43</v>
      </c>
      <c r="E62" s="935">
        <v>1034.5</v>
      </c>
      <c r="F62" s="935">
        <v>1453.9</v>
      </c>
      <c r="G62" s="935">
        <v>2412.9</v>
      </c>
      <c r="H62" s="935">
        <v>14691.1</v>
      </c>
      <c r="I62" s="936">
        <v>1123.4000000000001</v>
      </c>
      <c r="J62" s="943">
        <v>21373.55</v>
      </c>
      <c r="K62" s="946">
        <v>9</v>
      </c>
      <c r="L62" s="938">
        <v>13.086</v>
      </c>
      <c r="M62" s="938">
        <v>149.37</v>
      </c>
      <c r="N62" s="938">
        <v>237.2</v>
      </c>
      <c r="O62" s="938">
        <v>104.13</v>
      </c>
      <c r="P62" s="938">
        <v>129.15</v>
      </c>
      <c r="Q62" s="938">
        <v>29.861000000000001</v>
      </c>
      <c r="R62" s="938">
        <v>6.3419999999999996</v>
      </c>
      <c r="S62" s="938">
        <v>38.68</v>
      </c>
      <c r="T62" s="938">
        <v>2.4300000000000002</v>
      </c>
      <c r="U62" s="938">
        <v>9.2330000000000005</v>
      </c>
      <c r="V62" s="938">
        <v>0.33</v>
      </c>
      <c r="W62" s="938">
        <v>0.22</v>
      </c>
      <c r="X62" s="937">
        <v>729.03199999999993</v>
      </c>
      <c r="Y62" s="937">
        <v>22102.581999999999</v>
      </c>
      <c r="Z62" s="925"/>
      <c r="AA62" s="926"/>
      <c r="AB62" s="947"/>
      <c r="AC62" s="926"/>
    </row>
    <row r="63" spans="1:29" s="933" customFormat="1" ht="28.5" hidden="1" customHeight="1">
      <c r="A63" s="917">
        <v>41000</v>
      </c>
      <c r="B63" s="946">
        <v>218.4</v>
      </c>
      <c r="C63" s="935">
        <v>175.53</v>
      </c>
      <c r="D63" s="935">
        <v>261.39</v>
      </c>
      <c r="E63" s="935">
        <v>1000.98</v>
      </c>
      <c r="F63" s="935">
        <v>1462.26</v>
      </c>
      <c r="G63" s="935">
        <v>2422.4</v>
      </c>
      <c r="H63" s="935">
        <v>14778.4</v>
      </c>
      <c r="I63" s="936">
        <v>1131.8</v>
      </c>
      <c r="J63" s="943">
        <v>21451.16</v>
      </c>
      <c r="K63" s="946">
        <v>9</v>
      </c>
      <c r="L63" s="938">
        <v>13.1</v>
      </c>
      <c r="M63" s="938">
        <v>148.83000000000001</v>
      </c>
      <c r="N63" s="938">
        <v>237.2</v>
      </c>
      <c r="O63" s="938">
        <v>104.1</v>
      </c>
      <c r="P63" s="938">
        <v>129.16</v>
      </c>
      <c r="Q63" s="938">
        <v>30.01</v>
      </c>
      <c r="R63" s="938">
        <v>6.3</v>
      </c>
      <c r="S63" s="938">
        <v>38.79</v>
      </c>
      <c r="T63" s="938">
        <v>2.4300000000000002</v>
      </c>
      <c r="U63" s="938">
        <v>9.24</v>
      </c>
      <c r="V63" s="938">
        <v>0.33</v>
      </c>
      <c r="W63" s="938">
        <v>0.2</v>
      </c>
      <c r="X63" s="937">
        <v>728.69</v>
      </c>
      <c r="Y63" s="937">
        <v>22179.85</v>
      </c>
      <c r="Z63" s="925"/>
      <c r="AA63" s="926"/>
      <c r="AB63" s="947"/>
      <c r="AC63" s="926"/>
    </row>
    <row r="64" spans="1:29" s="933" customFormat="1" ht="28.5" hidden="1" customHeight="1">
      <c r="A64" s="917">
        <v>41030</v>
      </c>
      <c r="B64" s="946">
        <v>218.25</v>
      </c>
      <c r="C64" s="935">
        <v>175.9</v>
      </c>
      <c r="D64" s="935">
        <v>259.77999999999997</v>
      </c>
      <c r="E64" s="935">
        <v>996.6</v>
      </c>
      <c r="F64" s="935">
        <v>1464.59</v>
      </c>
      <c r="G64" s="935">
        <v>2443.9</v>
      </c>
      <c r="H64" s="935">
        <v>14911.7</v>
      </c>
      <c r="I64" s="936">
        <v>1126.4000000000001</v>
      </c>
      <c r="J64" s="943">
        <v>21597.09</v>
      </c>
      <c r="K64" s="946">
        <v>9</v>
      </c>
      <c r="L64" s="938">
        <v>13.1</v>
      </c>
      <c r="M64" s="938">
        <v>146.6</v>
      </c>
      <c r="N64" s="938">
        <v>235.8</v>
      </c>
      <c r="O64" s="938">
        <v>104.14</v>
      </c>
      <c r="P64" s="938">
        <v>129.21</v>
      </c>
      <c r="Q64" s="938">
        <v>30.09</v>
      </c>
      <c r="R64" s="938">
        <v>6.34</v>
      </c>
      <c r="S64" s="938">
        <v>38.9</v>
      </c>
      <c r="T64" s="938">
        <v>2.4</v>
      </c>
      <c r="U64" s="938">
        <v>9.25</v>
      </c>
      <c r="V64" s="938">
        <v>0.33</v>
      </c>
      <c r="W64" s="938">
        <v>0.2</v>
      </c>
      <c r="X64" s="937">
        <v>725.36000000000013</v>
      </c>
      <c r="Y64" s="937">
        <v>22322.45</v>
      </c>
      <c r="Z64" s="925"/>
      <c r="AA64" s="926"/>
      <c r="AB64" s="947"/>
      <c r="AC64" s="926"/>
    </row>
    <row r="65" spans="1:29" s="933" customFormat="1" ht="28.5" hidden="1" customHeight="1">
      <c r="A65" s="917">
        <v>41061</v>
      </c>
      <c r="B65" s="946">
        <v>218.22</v>
      </c>
      <c r="C65" s="935">
        <v>176.76</v>
      </c>
      <c r="D65" s="935">
        <v>258.8</v>
      </c>
      <c r="E65" s="935">
        <v>996.95</v>
      </c>
      <c r="F65" s="935">
        <v>1446.05</v>
      </c>
      <c r="G65" s="935">
        <v>2381.3000000000002</v>
      </c>
      <c r="H65" s="935">
        <v>14668.3</v>
      </c>
      <c r="I65" s="936">
        <v>1113.0899999999999</v>
      </c>
      <c r="J65" s="943">
        <v>21259.47</v>
      </c>
      <c r="K65" s="946">
        <v>9</v>
      </c>
      <c r="L65" s="938">
        <v>13.1</v>
      </c>
      <c r="M65" s="938">
        <v>147.6</v>
      </c>
      <c r="N65" s="938">
        <v>235.82</v>
      </c>
      <c r="O65" s="938">
        <v>104.13</v>
      </c>
      <c r="P65" s="938">
        <v>129.15</v>
      </c>
      <c r="Q65" s="938">
        <v>30.2</v>
      </c>
      <c r="R65" s="938">
        <v>6.34</v>
      </c>
      <c r="S65" s="938">
        <v>38.94</v>
      </c>
      <c r="T65" s="938">
        <v>2.4300000000000002</v>
      </c>
      <c r="U65" s="938">
        <v>9.25</v>
      </c>
      <c r="V65" s="938">
        <v>0.3</v>
      </c>
      <c r="W65" s="938">
        <v>0.2</v>
      </c>
      <c r="X65" s="937">
        <v>726.45999999999992</v>
      </c>
      <c r="Y65" s="937">
        <v>21985.93</v>
      </c>
      <c r="Z65" s="925"/>
      <c r="AA65" s="926"/>
      <c r="AB65" s="947"/>
      <c r="AC65" s="926"/>
    </row>
    <row r="66" spans="1:29" s="933" customFormat="1" ht="28.5" hidden="1" customHeight="1">
      <c r="A66" s="917">
        <v>41091</v>
      </c>
      <c r="B66" s="946">
        <v>217.9</v>
      </c>
      <c r="C66" s="935">
        <v>177.9</v>
      </c>
      <c r="D66" s="935">
        <v>259.82</v>
      </c>
      <c r="E66" s="935">
        <v>1005.9</v>
      </c>
      <c r="F66" s="935">
        <v>1430.6</v>
      </c>
      <c r="G66" s="935">
        <v>2469.42</v>
      </c>
      <c r="H66" s="935">
        <v>14993.64</v>
      </c>
      <c r="I66" s="936">
        <v>1105.24</v>
      </c>
      <c r="J66" s="943">
        <v>21660.400000000001</v>
      </c>
      <c r="K66" s="946">
        <v>8.99</v>
      </c>
      <c r="L66" s="938">
        <v>13.1</v>
      </c>
      <c r="M66" s="938">
        <v>150.05000000000001</v>
      </c>
      <c r="N66" s="938">
        <v>235.9</v>
      </c>
      <c r="O66" s="938">
        <v>104.14</v>
      </c>
      <c r="P66" s="938">
        <v>129.19999999999999</v>
      </c>
      <c r="Q66" s="938">
        <v>30.41</v>
      </c>
      <c r="R66" s="938">
        <v>6.34</v>
      </c>
      <c r="S66" s="938">
        <v>38.97</v>
      </c>
      <c r="T66" s="938">
        <v>2.4300000000000002</v>
      </c>
      <c r="U66" s="938">
        <v>9.3000000000000007</v>
      </c>
      <c r="V66" s="938">
        <v>0.3</v>
      </c>
      <c r="W66" s="938">
        <v>0.2</v>
      </c>
      <c r="X66" s="937">
        <v>729.3</v>
      </c>
      <c r="Y66" s="937">
        <f>J66+X66</f>
        <v>22389.7</v>
      </c>
      <c r="Z66" s="925"/>
      <c r="AA66" s="926"/>
      <c r="AB66" s="947"/>
      <c r="AC66" s="926"/>
    </row>
    <row r="67" spans="1:29" s="933" customFormat="1" ht="28.5" hidden="1" customHeight="1">
      <c r="A67" s="917">
        <v>41122</v>
      </c>
      <c r="B67" s="946">
        <v>217.76</v>
      </c>
      <c r="C67" s="935">
        <v>183.5</v>
      </c>
      <c r="D67" s="935">
        <v>266.66000000000003</v>
      </c>
      <c r="E67" s="935">
        <v>1021.68</v>
      </c>
      <c r="F67" s="935">
        <v>1446.14</v>
      </c>
      <c r="G67" s="935">
        <v>2482.6</v>
      </c>
      <c r="H67" s="935">
        <v>15152.7</v>
      </c>
      <c r="I67" s="936">
        <v>1304.97</v>
      </c>
      <c r="J67" s="943">
        <v>22076.010000000002</v>
      </c>
      <c r="K67" s="946">
        <v>8.99</v>
      </c>
      <c r="L67" s="938">
        <v>13.1</v>
      </c>
      <c r="M67" s="938">
        <v>154.34</v>
      </c>
      <c r="N67" s="938">
        <v>238.45</v>
      </c>
      <c r="O67" s="938">
        <v>104.26</v>
      </c>
      <c r="P67" s="938">
        <v>129.19999999999999</v>
      </c>
      <c r="Q67" s="938">
        <v>30.51</v>
      </c>
      <c r="R67" s="938">
        <v>6.34</v>
      </c>
      <c r="S67" s="938">
        <v>38.99</v>
      </c>
      <c r="T67" s="938">
        <v>2.4300000000000002</v>
      </c>
      <c r="U67" s="938">
        <v>9.3000000000000007</v>
      </c>
      <c r="V67" s="938">
        <v>0.33</v>
      </c>
      <c r="W67" s="938">
        <v>0.2</v>
      </c>
      <c r="X67" s="937">
        <v>736.4</v>
      </c>
      <c r="Y67" s="937">
        <v>22812.410000000003</v>
      </c>
      <c r="Z67" s="925"/>
      <c r="AA67" s="926"/>
      <c r="AB67" s="947"/>
      <c r="AC67" s="926"/>
    </row>
    <row r="68" spans="1:29" s="933" customFormat="1" ht="28.5" hidden="1" customHeight="1">
      <c r="A68" s="950">
        <v>41153</v>
      </c>
      <c r="B68" s="946">
        <v>217.63</v>
      </c>
      <c r="C68" s="935">
        <v>183.4</v>
      </c>
      <c r="D68" s="935">
        <v>268.3</v>
      </c>
      <c r="E68" s="935">
        <v>1047</v>
      </c>
      <c r="F68" s="935">
        <v>1444.9</v>
      </c>
      <c r="G68" s="935">
        <v>2460.04</v>
      </c>
      <c r="H68" s="935">
        <v>14838.55</v>
      </c>
      <c r="I68" s="936">
        <v>1495.14</v>
      </c>
      <c r="J68" s="943">
        <f>SUM(B68:I68)</f>
        <v>21954.959999999999</v>
      </c>
      <c r="K68" s="946">
        <v>8.99</v>
      </c>
      <c r="L68" s="938">
        <v>13.1</v>
      </c>
      <c r="M68" s="938">
        <v>154.88</v>
      </c>
      <c r="N68" s="938">
        <v>239</v>
      </c>
      <c r="O68" s="938">
        <v>104.3</v>
      </c>
      <c r="P68" s="938">
        <v>129.19999999999999</v>
      </c>
      <c r="Q68" s="938">
        <v>30.55</v>
      </c>
      <c r="R68" s="938">
        <v>6.34</v>
      </c>
      <c r="S68" s="938">
        <v>39</v>
      </c>
      <c r="T68" s="938">
        <v>2.42</v>
      </c>
      <c r="U68" s="938">
        <v>9.3000000000000007</v>
      </c>
      <c r="V68" s="938">
        <v>0.33</v>
      </c>
      <c r="W68" s="938">
        <v>0.22</v>
      </c>
      <c r="X68" s="937">
        <f t="shared" ref="X68:X90" si="0">SUM(K68:W68)</f>
        <v>737.63</v>
      </c>
      <c r="Y68" s="937">
        <f t="shared" ref="Y68:Y90" si="1">J68+X68</f>
        <v>22692.59</v>
      </c>
      <c r="Z68" s="925"/>
      <c r="AA68" s="926"/>
      <c r="AB68" s="947"/>
      <c r="AC68" s="926"/>
    </row>
    <row r="69" spans="1:29" s="933" customFormat="1" ht="28.5" hidden="1" customHeight="1">
      <c r="A69" s="950">
        <v>41183</v>
      </c>
      <c r="B69" s="946">
        <v>217.49</v>
      </c>
      <c r="C69" s="935">
        <v>195.87</v>
      </c>
      <c r="D69" s="935">
        <v>314.95999999999998</v>
      </c>
      <c r="E69" s="935">
        <v>1059.5</v>
      </c>
      <c r="F69" s="935">
        <v>1415.9</v>
      </c>
      <c r="G69" s="935">
        <v>2464.96</v>
      </c>
      <c r="H69" s="935">
        <v>15104.4</v>
      </c>
      <c r="I69" s="936">
        <v>1759.53</v>
      </c>
      <c r="J69" s="943">
        <f t="shared" ref="J69:J90" si="2">SUM(B69:I69)</f>
        <v>22532.61</v>
      </c>
      <c r="K69" s="946">
        <v>8.99</v>
      </c>
      <c r="L69" s="938">
        <v>13.1</v>
      </c>
      <c r="M69" s="938">
        <v>156.93</v>
      </c>
      <c r="N69" s="938">
        <v>238.97</v>
      </c>
      <c r="O69" s="938">
        <v>104.24</v>
      </c>
      <c r="P69" s="938">
        <v>129.5</v>
      </c>
      <c r="Q69" s="938">
        <v>30.61</v>
      </c>
      <c r="R69" s="938">
        <v>6.34</v>
      </c>
      <c r="S69" s="938">
        <v>39.06</v>
      </c>
      <c r="T69" s="938">
        <v>2.42</v>
      </c>
      <c r="U69" s="938">
        <v>9.2799999999999994</v>
      </c>
      <c r="V69" s="938">
        <v>0.33</v>
      </c>
      <c r="W69" s="938">
        <v>0.22</v>
      </c>
      <c r="X69" s="937">
        <f t="shared" si="0"/>
        <v>739.99</v>
      </c>
      <c r="Y69" s="937">
        <f t="shared" si="1"/>
        <v>23272.600000000002</v>
      </c>
      <c r="Z69" s="925"/>
      <c r="AA69" s="926"/>
      <c r="AB69" s="947"/>
      <c r="AC69" s="926"/>
    </row>
    <row r="70" spans="1:29" s="933" customFormat="1" ht="26.25" hidden="1" customHeight="1">
      <c r="A70" s="950">
        <v>41214</v>
      </c>
      <c r="B70" s="946">
        <v>217.45</v>
      </c>
      <c r="C70" s="935">
        <v>193.43</v>
      </c>
      <c r="D70" s="935">
        <v>310.89999999999998</v>
      </c>
      <c r="E70" s="935">
        <v>1115.9100000000001</v>
      </c>
      <c r="F70" s="935">
        <v>1394.5</v>
      </c>
      <c r="G70" s="935">
        <v>2489.6</v>
      </c>
      <c r="H70" s="935">
        <v>15041</v>
      </c>
      <c r="I70" s="936">
        <v>1945.3</v>
      </c>
      <c r="J70" s="943">
        <f t="shared" si="2"/>
        <v>22708.09</v>
      </c>
      <c r="K70" s="946">
        <v>9.0009829999999997</v>
      </c>
      <c r="L70" s="938">
        <v>13.1</v>
      </c>
      <c r="M70" s="938">
        <v>159.49</v>
      </c>
      <c r="N70" s="938">
        <v>241.42</v>
      </c>
      <c r="O70" s="938">
        <v>105.42</v>
      </c>
      <c r="P70" s="938">
        <v>130.72</v>
      </c>
      <c r="Q70" s="938">
        <v>30.63</v>
      </c>
      <c r="R70" s="938">
        <v>6.3390000000000004</v>
      </c>
      <c r="S70" s="938">
        <v>39.31</v>
      </c>
      <c r="T70" s="938">
        <v>2.42</v>
      </c>
      <c r="U70" s="938">
        <v>9.34</v>
      </c>
      <c r="V70" s="938">
        <v>0.33</v>
      </c>
      <c r="W70" s="938">
        <v>0.22</v>
      </c>
      <c r="X70" s="937">
        <f t="shared" si="0"/>
        <v>747.73998300000005</v>
      </c>
      <c r="Y70" s="937">
        <f t="shared" si="1"/>
        <v>23455.829983</v>
      </c>
      <c r="Z70" s="925"/>
      <c r="AA70" s="926"/>
      <c r="AB70" s="947"/>
      <c r="AC70" s="926"/>
    </row>
    <row r="71" spans="1:29" s="933" customFormat="1" ht="28.5" hidden="1" customHeight="1">
      <c r="A71" s="950">
        <v>41244</v>
      </c>
      <c r="B71" s="946">
        <v>217.39</v>
      </c>
      <c r="C71" s="935">
        <v>194.03</v>
      </c>
      <c r="D71" s="935">
        <v>306.7</v>
      </c>
      <c r="E71" s="935">
        <v>1284.2</v>
      </c>
      <c r="F71" s="935">
        <v>1559.5</v>
      </c>
      <c r="G71" s="935">
        <v>2948.7</v>
      </c>
      <c r="H71" s="935">
        <v>17722.5</v>
      </c>
      <c r="I71" s="936">
        <v>2206.34</v>
      </c>
      <c r="J71" s="943">
        <f t="shared" si="2"/>
        <v>26439.360000000001</v>
      </c>
      <c r="K71" s="946">
        <v>9</v>
      </c>
      <c r="L71" s="938">
        <v>13.1</v>
      </c>
      <c r="M71" s="938">
        <v>165.54</v>
      </c>
      <c r="N71" s="938">
        <v>245.15</v>
      </c>
      <c r="O71" s="938">
        <v>107.89</v>
      </c>
      <c r="P71" s="938">
        <v>131.78</v>
      </c>
      <c r="Q71" s="938">
        <v>30.89</v>
      </c>
      <c r="R71" s="938">
        <v>6.33</v>
      </c>
      <c r="S71" s="938">
        <v>39.54</v>
      </c>
      <c r="T71" s="938">
        <v>2.42</v>
      </c>
      <c r="U71" s="938">
        <v>9.3699999999999992</v>
      </c>
      <c r="V71" s="938">
        <v>0.33</v>
      </c>
      <c r="W71" s="938">
        <v>0.22</v>
      </c>
      <c r="X71" s="937">
        <f t="shared" si="0"/>
        <v>761.56</v>
      </c>
      <c r="Y71" s="937">
        <f t="shared" si="1"/>
        <v>27200.920000000002</v>
      </c>
      <c r="Z71" s="925"/>
      <c r="AA71" s="926"/>
      <c r="AB71" s="947"/>
      <c r="AC71" s="926"/>
    </row>
    <row r="72" spans="1:29" s="933" customFormat="1" ht="28.5" hidden="1" customHeight="1">
      <c r="A72" s="950">
        <v>41275</v>
      </c>
      <c r="B72" s="946">
        <v>217.32</v>
      </c>
      <c r="C72" s="935">
        <v>190.4</v>
      </c>
      <c r="D72" s="935">
        <v>293.81</v>
      </c>
      <c r="E72" s="935">
        <v>1151.3</v>
      </c>
      <c r="F72" s="935">
        <v>1448</v>
      </c>
      <c r="G72" s="935">
        <v>2664.6</v>
      </c>
      <c r="H72" s="935">
        <v>16403.5</v>
      </c>
      <c r="I72" s="936">
        <v>2264</v>
      </c>
      <c r="J72" s="943">
        <f t="shared" si="2"/>
        <v>24632.93</v>
      </c>
      <c r="K72" s="946">
        <v>9</v>
      </c>
      <c r="L72" s="938">
        <v>13.1</v>
      </c>
      <c r="M72" s="938">
        <v>168.79</v>
      </c>
      <c r="N72" s="938">
        <v>247.32</v>
      </c>
      <c r="O72" s="938">
        <v>109.34</v>
      </c>
      <c r="P72" s="938">
        <v>132.81</v>
      </c>
      <c r="Q72" s="938">
        <v>30.96</v>
      </c>
      <c r="R72" s="938">
        <v>6.34</v>
      </c>
      <c r="S72" s="938">
        <v>39.71</v>
      </c>
      <c r="T72" s="938">
        <v>2.42</v>
      </c>
      <c r="U72" s="938">
        <v>9.39</v>
      </c>
      <c r="V72" s="938">
        <v>0.33</v>
      </c>
      <c r="W72" s="938">
        <v>0.2</v>
      </c>
      <c r="X72" s="937">
        <f t="shared" si="0"/>
        <v>769.71</v>
      </c>
      <c r="Y72" s="937">
        <f t="shared" si="1"/>
        <v>25402.639999999999</v>
      </c>
      <c r="Z72" s="925"/>
      <c r="AA72" s="926"/>
      <c r="AB72" s="947"/>
      <c r="AC72" s="926"/>
    </row>
    <row r="73" spans="1:29" s="933" customFormat="1" ht="28.5" hidden="1" customHeight="1">
      <c r="A73" s="950">
        <v>41306</v>
      </c>
      <c r="B73" s="946">
        <v>217.19</v>
      </c>
      <c r="C73" s="935">
        <v>187.92</v>
      </c>
      <c r="D73" s="935">
        <v>288.66000000000003</v>
      </c>
      <c r="E73" s="935">
        <v>1168.05</v>
      </c>
      <c r="F73" s="935">
        <v>1391.75</v>
      </c>
      <c r="G73" s="935">
        <v>2511.4899999999998</v>
      </c>
      <c r="H73" s="935">
        <v>15837.7</v>
      </c>
      <c r="I73" s="936">
        <v>2361.6999999999998</v>
      </c>
      <c r="J73" s="943">
        <f t="shared" si="2"/>
        <v>23964.460000000003</v>
      </c>
      <c r="K73" s="946">
        <v>9</v>
      </c>
      <c r="L73" s="938">
        <v>13.1</v>
      </c>
      <c r="M73" s="938">
        <v>170.14</v>
      </c>
      <c r="N73" s="938">
        <v>247.42500000000001</v>
      </c>
      <c r="O73" s="938">
        <v>110.86499999999999</v>
      </c>
      <c r="P73" s="938">
        <v>133.58000000000001</v>
      </c>
      <c r="Q73" s="938">
        <v>31.02</v>
      </c>
      <c r="R73" s="938">
        <v>6.3390000000000004</v>
      </c>
      <c r="S73" s="938">
        <v>39.85</v>
      </c>
      <c r="T73" s="938">
        <v>2.42</v>
      </c>
      <c r="U73" s="938">
        <v>9.41</v>
      </c>
      <c r="V73" s="938">
        <v>0.33</v>
      </c>
      <c r="W73" s="938">
        <v>0.22</v>
      </c>
      <c r="X73" s="937">
        <f t="shared" si="0"/>
        <v>773.69900000000007</v>
      </c>
      <c r="Y73" s="937">
        <f t="shared" si="1"/>
        <v>24738.159000000003</v>
      </c>
      <c r="Z73" s="925"/>
      <c r="AA73" s="947"/>
      <c r="AB73" s="947"/>
      <c r="AC73" s="926"/>
    </row>
    <row r="74" spans="1:29" s="933" customFormat="1" ht="28.5" hidden="1" customHeight="1">
      <c r="A74" s="950">
        <v>41334</v>
      </c>
      <c r="B74" s="946">
        <v>217.14</v>
      </c>
      <c r="C74" s="935">
        <v>188.9</v>
      </c>
      <c r="D74" s="935">
        <v>287.89999999999998</v>
      </c>
      <c r="E74" s="935">
        <v>1159.3</v>
      </c>
      <c r="F74" s="935">
        <v>1383.7</v>
      </c>
      <c r="G74" s="935">
        <v>2528.1</v>
      </c>
      <c r="H74" s="935">
        <v>16082.1</v>
      </c>
      <c r="I74" s="936">
        <v>2572.8000000000002</v>
      </c>
      <c r="J74" s="943">
        <f t="shared" si="2"/>
        <v>24419.94</v>
      </c>
      <c r="K74" s="946">
        <v>9</v>
      </c>
      <c r="L74" s="938">
        <v>13.1</v>
      </c>
      <c r="M74" s="938">
        <v>169.59</v>
      </c>
      <c r="N74" s="938">
        <v>247.14</v>
      </c>
      <c r="O74" s="938">
        <v>111.5</v>
      </c>
      <c r="P74" s="938">
        <v>134.4</v>
      </c>
      <c r="Q74" s="938">
        <v>31.03</v>
      </c>
      <c r="R74" s="938">
        <v>6.3390000000000004</v>
      </c>
      <c r="S74" s="938">
        <v>39.97</v>
      </c>
      <c r="T74" s="938">
        <v>2.42</v>
      </c>
      <c r="U74" s="938">
        <v>9.4499999999999993</v>
      </c>
      <c r="V74" s="938">
        <v>0.33</v>
      </c>
      <c r="W74" s="938">
        <v>0.22</v>
      </c>
      <c r="X74" s="937">
        <f t="shared" si="0"/>
        <v>774.48900000000003</v>
      </c>
      <c r="Y74" s="937">
        <f t="shared" si="1"/>
        <v>25194.429</v>
      </c>
      <c r="Z74" s="925"/>
      <c r="AA74" s="926"/>
      <c r="AB74" s="947"/>
      <c r="AC74" s="926"/>
    </row>
    <row r="75" spans="1:29" s="933" customFormat="1" ht="28.5" hidden="1" customHeight="1" thickTop="1">
      <c r="A75" s="950">
        <v>41365</v>
      </c>
      <c r="B75" s="946">
        <v>217.04</v>
      </c>
      <c r="C75" s="935">
        <v>188.8</v>
      </c>
      <c r="D75" s="935">
        <v>286.5</v>
      </c>
      <c r="E75" s="935">
        <v>1132.3</v>
      </c>
      <c r="F75" s="935">
        <v>1370.4</v>
      </c>
      <c r="G75" s="935">
        <v>2529.9</v>
      </c>
      <c r="H75" s="935">
        <v>15968.7</v>
      </c>
      <c r="I75" s="936">
        <v>2683.2</v>
      </c>
      <c r="J75" s="943">
        <f t="shared" si="2"/>
        <v>24376.84</v>
      </c>
      <c r="K75" s="946">
        <v>9</v>
      </c>
      <c r="L75" s="938">
        <v>13.1</v>
      </c>
      <c r="M75" s="938">
        <v>174.18</v>
      </c>
      <c r="N75" s="938">
        <v>249.04</v>
      </c>
      <c r="O75" s="938">
        <v>111.62</v>
      </c>
      <c r="P75" s="938">
        <v>135.13999999999999</v>
      </c>
      <c r="Q75" s="938">
        <v>31.04</v>
      </c>
      <c r="R75" s="938">
        <v>6.34</v>
      </c>
      <c r="S75" s="938">
        <v>40.119999999999997</v>
      </c>
      <c r="T75" s="938">
        <v>2.4</v>
      </c>
      <c r="U75" s="938">
        <v>9.4700000000000006</v>
      </c>
      <c r="V75" s="938">
        <v>0.33</v>
      </c>
      <c r="W75" s="938">
        <v>0.22</v>
      </c>
      <c r="X75" s="937">
        <f t="shared" si="0"/>
        <v>782.00000000000011</v>
      </c>
      <c r="Y75" s="937">
        <f t="shared" si="1"/>
        <v>25158.84</v>
      </c>
      <c r="Z75" s="925"/>
      <c r="AA75" s="926"/>
      <c r="AB75" s="947"/>
      <c r="AC75" s="926"/>
    </row>
    <row r="76" spans="1:29" s="933" customFormat="1" ht="28.5" hidden="1" customHeight="1" thickTop="1">
      <c r="A76" s="950">
        <v>41395</v>
      </c>
      <c r="B76" s="946">
        <v>217</v>
      </c>
      <c r="C76" s="935">
        <v>187.1</v>
      </c>
      <c r="D76" s="935">
        <v>273</v>
      </c>
      <c r="E76" s="935">
        <v>1155.7</v>
      </c>
      <c r="F76" s="935">
        <v>1279.6600000000001</v>
      </c>
      <c r="G76" s="935">
        <v>2435.8000000000002</v>
      </c>
      <c r="H76" s="935">
        <v>15705.8</v>
      </c>
      <c r="I76" s="936">
        <v>2788.04</v>
      </c>
      <c r="J76" s="943">
        <f t="shared" si="2"/>
        <v>24042.1</v>
      </c>
      <c r="K76" s="946">
        <v>9</v>
      </c>
      <c r="L76" s="938">
        <v>13.12</v>
      </c>
      <c r="M76" s="938">
        <v>175.44</v>
      </c>
      <c r="N76" s="938">
        <v>249.35</v>
      </c>
      <c r="O76" s="938">
        <v>112.4</v>
      </c>
      <c r="P76" s="938">
        <v>135.77000000000001</v>
      </c>
      <c r="Q76" s="938">
        <v>31.04</v>
      </c>
      <c r="R76" s="938">
        <v>6.33</v>
      </c>
      <c r="S76" s="938">
        <v>40.270000000000003</v>
      </c>
      <c r="T76" s="938">
        <v>2.42</v>
      </c>
      <c r="U76" s="938">
        <v>9.49</v>
      </c>
      <c r="V76" s="938">
        <v>0.33</v>
      </c>
      <c r="W76" s="938">
        <v>0.2</v>
      </c>
      <c r="X76" s="937">
        <f t="shared" si="0"/>
        <v>785.16</v>
      </c>
      <c r="Y76" s="937">
        <f t="shared" si="1"/>
        <v>24827.26</v>
      </c>
      <c r="Z76" s="925"/>
      <c r="AA76" s="926"/>
      <c r="AB76" s="947"/>
      <c r="AC76" s="926"/>
    </row>
    <row r="77" spans="1:29" s="933" customFormat="1" ht="28.5" hidden="1" customHeight="1" thickTop="1">
      <c r="A77" s="950">
        <v>41426</v>
      </c>
      <c r="B77" s="946">
        <v>216.73</v>
      </c>
      <c r="C77" s="935">
        <v>185.3</v>
      </c>
      <c r="D77" s="935">
        <v>275.7</v>
      </c>
      <c r="E77" s="935">
        <v>1119.3</v>
      </c>
      <c r="F77" s="935">
        <v>1241.4000000000001</v>
      </c>
      <c r="G77" s="935">
        <v>2417.9</v>
      </c>
      <c r="H77" s="935">
        <v>15537.8</v>
      </c>
      <c r="I77" s="936">
        <v>2861.2</v>
      </c>
      <c r="J77" s="943">
        <f t="shared" si="2"/>
        <v>23855.329999999998</v>
      </c>
      <c r="K77" s="946">
        <v>9</v>
      </c>
      <c r="L77" s="938">
        <v>13.1</v>
      </c>
      <c r="M77" s="938">
        <v>177.63</v>
      </c>
      <c r="N77" s="938">
        <v>249.49</v>
      </c>
      <c r="O77" s="938">
        <v>112.83</v>
      </c>
      <c r="P77" s="938">
        <v>136.38999999999999</v>
      </c>
      <c r="Q77" s="938">
        <v>31.06</v>
      </c>
      <c r="R77" s="938">
        <v>6.33</v>
      </c>
      <c r="S77" s="938">
        <v>40.4</v>
      </c>
      <c r="T77" s="938">
        <v>2.4</v>
      </c>
      <c r="U77" s="938">
        <v>9.5</v>
      </c>
      <c r="V77" s="938">
        <v>0.3</v>
      </c>
      <c r="W77" s="938">
        <v>0.22</v>
      </c>
      <c r="X77" s="937">
        <f t="shared" si="0"/>
        <v>788.65</v>
      </c>
      <c r="Y77" s="937">
        <f t="shared" si="1"/>
        <v>24643.98</v>
      </c>
      <c r="Z77" s="925"/>
      <c r="AA77" s="926"/>
      <c r="AB77" s="947"/>
      <c r="AC77" s="926"/>
    </row>
    <row r="78" spans="1:29" s="933" customFormat="1" ht="28.5" customHeight="1" thickTop="1">
      <c r="A78" s="950">
        <v>41456</v>
      </c>
      <c r="B78" s="946">
        <v>216.7</v>
      </c>
      <c r="C78" s="935">
        <v>184.3</v>
      </c>
      <c r="D78" s="935">
        <v>285.8</v>
      </c>
      <c r="E78" s="935">
        <v>1182.2</v>
      </c>
      <c r="F78" s="935">
        <v>1248.74</v>
      </c>
      <c r="G78" s="935">
        <v>2543.02</v>
      </c>
      <c r="H78" s="935">
        <v>16147.8</v>
      </c>
      <c r="I78" s="936">
        <v>2858.21</v>
      </c>
      <c r="J78" s="943">
        <f t="shared" si="2"/>
        <v>24666.769999999997</v>
      </c>
      <c r="K78" s="946">
        <v>9</v>
      </c>
      <c r="L78" s="938">
        <v>13.1</v>
      </c>
      <c r="M78" s="938">
        <v>180.1</v>
      </c>
      <c r="N78" s="938">
        <v>249.92</v>
      </c>
      <c r="O78" s="938">
        <v>113</v>
      </c>
      <c r="P78" s="938">
        <v>137.30000000000001</v>
      </c>
      <c r="Q78" s="938">
        <v>31.07</v>
      </c>
      <c r="R78" s="938">
        <v>6.33</v>
      </c>
      <c r="S78" s="938">
        <v>40.630000000000003</v>
      </c>
      <c r="T78" s="938">
        <v>2.4</v>
      </c>
      <c r="U78" s="938">
        <v>9.5500000000000007</v>
      </c>
      <c r="V78" s="938">
        <v>0.3</v>
      </c>
      <c r="W78" s="938">
        <v>0.22</v>
      </c>
      <c r="X78" s="937">
        <f t="shared" si="0"/>
        <v>792.92000000000007</v>
      </c>
      <c r="Y78" s="937">
        <f t="shared" si="1"/>
        <v>25459.689999999995</v>
      </c>
      <c r="Z78" s="925"/>
      <c r="AA78" s="926"/>
      <c r="AB78" s="947"/>
      <c r="AC78" s="926"/>
    </row>
    <row r="79" spans="1:29" s="933" customFormat="1" ht="28.5" customHeight="1">
      <c r="A79" s="950">
        <v>41487</v>
      </c>
      <c r="B79" s="946">
        <v>216.7</v>
      </c>
      <c r="C79" s="935">
        <v>187.18</v>
      </c>
      <c r="D79" s="935">
        <v>297.89999999999998</v>
      </c>
      <c r="E79" s="935">
        <v>1198</v>
      </c>
      <c r="F79" s="935">
        <v>1344.75</v>
      </c>
      <c r="G79" s="935">
        <v>2691.3</v>
      </c>
      <c r="H79" s="935">
        <v>15862.32</v>
      </c>
      <c r="I79" s="936">
        <v>2956.46</v>
      </c>
      <c r="J79" s="943">
        <f t="shared" si="2"/>
        <v>24754.61</v>
      </c>
      <c r="K79" s="946">
        <v>9</v>
      </c>
      <c r="L79" s="938">
        <v>13.13</v>
      </c>
      <c r="M79" s="938">
        <v>185.49</v>
      </c>
      <c r="N79" s="938">
        <v>252.23</v>
      </c>
      <c r="O79" s="938">
        <v>113.3</v>
      </c>
      <c r="P79" s="938">
        <v>137.69</v>
      </c>
      <c r="Q79" s="938">
        <v>31.09</v>
      </c>
      <c r="R79" s="938">
        <v>6.33</v>
      </c>
      <c r="S79" s="938">
        <v>40.770000000000003</v>
      </c>
      <c r="T79" s="938">
        <v>2.42</v>
      </c>
      <c r="U79" s="938">
        <v>9.58</v>
      </c>
      <c r="V79" s="938">
        <v>0.33</v>
      </c>
      <c r="W79" s="938">
        <v>0.2</v>
      </c>
      <c r="X79" s="937">
        <f t="shared" si="0"/>
        <v>801.56000000000006</v>
      </c>
      <c r="Y79" s="937">
        <f t="shared" si="1"/>
        <v>25556.170000000002</v>
      </c>
      <c r="Z79" s="925"/>
      <c r="AA79" s="926"/>
      <c r="AB79" s="947"/>
      <c r="AC79" s="926"/>
    </row>
    <row r="80" spans="1:29" s="933" customFormat="1" ht="28.5" customHeight="1">
      <c r="A80" s="950">
        <v>41518</v>
      </c>
      <c r="B80" s="946">
        <v>216.6</v>
      </c>
      <c r="C80" s="935">
        <v>191.66</v>
      </c>
      <c r="D80" s="935">
        <v>301.35000000000002</v>
      </c>
      <c r="E80" s="935">
        <v>1171</v>
      </c>
      <c r="F80" s="935">
        <v>1301.67</v>
      </c>
      <c r="G80" s="935">
        <v>2676.1</v>
      </c>
      <c r="H80" s="935">
        <v>15481.5</v>
      </c>
      <c r="I80" s="936">
        <v>3000.4</v>
      </c>
      <c r="J80" s="943">
        <f t="shared" si="2"/>
        <v>24340.280000000002</v>
      </c>
      <c r="K80" s="946">
        <v>9</v>
      </c>
      <c r="L80" s="938">
        <v>13.1</v>
      </c>
      <c r="M80" s="938">
        <v>185.8</v>
      </c>
      <c r="N80" s="938">
        <v>254.6</v>
      </c>
      <c r="O80" s="938">
        <v>113.43</v>
      </c>
      <c r="P80" s="938">
        <v>137.9</v>
      </c>
      <c r="Q80" s="938">
        <v>31.2</v>
      </c>
      <c r="R80" s="938">
        <v>6.3</v>
      </c>
      <c r="S80" s="938">
        <v>40.97</v>
      </c>
      <c r="T80" s="938">
        <v>2.4</v>
      </c>
      <c r="U80" s="938">
        <v>9.6199999999999992</v>
      </c>
      <c r="V80" s="938">
        <v>0.33</v>
      </c>
      <c r="W80" s="938">
        <v>0.22</v>
      </c>
      <c r="X80" s="937">
        <f t="shared" si="0"/>
        <v>804.87000000000012</v>
      </c>
      <c r="Y80" s="937">
        <f t="shared" si="1"/>
        <v>25145.15</v>
      </c>
      <c r="Z80" s="925"/>
      <c r="AA80" s="926"/>
      <c r="AB80" s="947"/>
      <c r="AC80" s="926"/>
    </row>
    <row r="81" spans="1:29" s="933" customFormat="1" ht="28.5" customHeight="1">
      <c r="A81" s="950">
        <v>41548</v>
      </c>
      <c r="B81" s="946">
        <v>216.59</v>
      </c>
      <c r="C81" s="935">
        <v>200.39</v>
      </c>
      <c r="D81" s="935">
        <v>303.49</v>
      </c>
      <c r="E81" s="935">
        <v>1232.4000000000001</v>
      </c>
      <c r="F81" s="935">
        <v>1295.586</v>
      </c>
      <c r="G81" s="935">
        <v>2784.4</v>
      </c>
      <c r="H81" s="935">
        <v>15740.6</v>
      </c>
      <c r="I81" s="936">
        <v>3172.1</v>
      </c>
      <c r="J81" s="943">
        <f t="shared" si="2"/>
        <v>24945.555999999997</v>
      </c>
      <c r="K81" s="946">
        <v>9</v>
      </c>
      <c r="L81" s="938">
        <v>13.13</v>
      </c>
      <c r="M81" s="938">
        <v>186.82</v>
      </c>
      <c r="N81" s="938">
        <v>254.99</v>
      </c>
      <c r="O81" s="938">
        <v>113.76</v>
      </c>
      <c r="P81" s="938">
        <v>139.25</v>
      </c>
      <c r="Q81" s="938">
        <v>31.17</v>
      </c>
      <c r="R81" s="938">
        <v>6.3319999999999999</v>
      </c>
      <c r="S81" s="938">
        <v>41.17</v>
      </c>
      <c r="T81" s="938">
        <v>2.4</v>
      </c>
      <c r="U81" s="938">
        <v>9.66</v>
      </c>
      <c r="V81" s="938">
        <v>0.33</v>
      </c>
      <c r="W81" s="938">
        <v>0.22</v>
      </c>
      <c r="X81" s="937">
        <f t="shared" si="0"/>
        <v>808.23199999999997</v>
      </c>
      <c r="Y81" s="937">
        <f t="shared" si="1"/>
        <v>25753.787999999997</v>
      </c>
      <c r="Z81" s="925"/>
      <c r="AA81" s="926"/>
      <c r="AB81" s="947"/>
      <c r="AC81" s="926"/>
    </row>
    <row r="82" spans="1:29" s="933" customFormat="1" ht="28.5" customHeight="1">
      <c r="A82" s="950">
        <v>41579</v>
      </c>
      <c r="B82" s="946">
        <v>216.54</v>
      </c>
      <c r="C82" s="935">
        <v>207.7</v>
      </c>
      <c r="D82" s="935">
        <v>302.2</v>
      </c>
      <c r="E82" s="935">
        <v>1211.0999999999999</v>
      </c>
      <c r="F82" s="935">
        <v>1310.2</v>
      </c>
      <c r="G82" s="935">
        <v>2846.9</v>
      </c>
      <c r="H82" s="935">
        <v>15425.9</v>
      </c>
      <c r="I82" s="936">
        <v>3258.4</v>
      </c>
      <c r="J82" s="943">
        <f t="shared" si="2"/>
        <v>24778.940000000002</v>
      </c>
      <c r="K82" s="946">
        <v>9.0079999999999991</v>
      </c>
      <c r="L82" s="938">
        <v>13.13</v>
      </c>
      <c r="M82" s="938">
        <v>188.9</v>
      </c>
      <c r="N82" s="938">
        <v>257.10000000000002</v>
      </c>
      <c r="O82" s="938">
        <v>115.03</v>
      </c>
      <c r="P82" s="938">
        <v>140.91</v>
      </c>
      <c r="Q82" s="938">
        <v>31.47</v>
      </c>
      <c r="R82" s="938">
        <v>6.33</v>
      </c>
      <c r="S82" s="938">
        <v>41.4</v>
      </c>
      <c r="T82" s="938">
        <v>2.42</v>
      </c>
      <c r="U82" s="938">
        <v>9.7100000000000009</v>
      </c>
      <c r="V82" s="938">
        <v>0.3</v>
      </c>
      <c r="W82" s="938">
        <v>0.2</v>
      </c>
      <c r="X82" s="937">
        <f t="shared" si="0"/>
        <v>815.90800000000002</v>
      </c>
      <c r="Y82" s="937">
        <f t="shared" si="1"/>
        <v>25594.848000000002</v>
      </c>
      <c r="Z82" s="925"/>
      <c r="AA82" s="926"/>
      <c r="AB82" s="947"/>
      <c r="AC82" s="926"/>
    </row>
    <row r="83" spans="1:29" s="933" customFormat="1" ht="28.5" customHeight="1">
      <c r="A83" s="950">
        <v>41609</v>
      </c>
      <c r="B83" s="946">
        <v>216.5</v>
      </c>
      <c r="C83" s="935">
        <v>225.7</v>
      </c>
      <c r="D83" s="935">
        <v>331.6</v>
      </c>
      <c r="E83" s="935">
        <v>1373.1</v>
      </c>
      <c r="F83" s="935">
        <v>1596</v>
      </c>
      <c r="G83" s="935">
        <v>3535</v>
      </c>
      <c r="H83" s="935">
        <v>18480.2</v>
      </c>
      <c r="I83" s="936">
        <v>3778.6</v>
      </c>
      <c r="J83" s="943">
        <f t="shared" si="2"/>
        <v>29536.699999999997</v>
      </c>
      <c r="K83" s="946">
        <v>9</v>
      </c>
      <c r="L83" s="938">
        <v>13.13</v>
      </c>
      <c r="M83" s="938">
        <v>195.7</v>
      </c>
      <c r="N83" s="938">
        <v>260.76</v>
      </c>
      <c r="O83" s="938">
        <v>116.66</v>
      </c>
      <c r="P83" s="938">
        <v>142.16999999999999</v>
      </c>
      <c r="Q83" s="938">
        <v>31.7</v>
      </c>
      <c r="R83" s="938">
        <v>6.3</v>
      </c>
      <c r="S83" s="938">
        <v>41.6</v>
      </c>
      <c r="T83" s="938">
        <v>2.4</v>
      </c>
      <c r="U83" s="938">
        <v>9.8000000000000007</v>
      </c>
      <c r="V83" s="938">
        <v>0.3</v>
      </c>
      <c r="W83" s="938">
        <v>0.2</v>
      </c>
      <c r="X83" s="937">
        <f t="shared" si="0"/>
        <v>829.71999999999991</v>
      </c>
      <c r="Y83" s="937">
        <f t="shared" si="1"/>
        <v>30366.42</v>
      </c>
      <c r="Z83" s="925"/>
      <c r="AA83" s="926"/>
      <c r="AB83" s="947"/>
      <c r="AC83" s="926"/>
    </row>
    <row r="84" spans="1:29" s="933" customFormat="1" ht="28.5" customHeight="1">
      <c r="A84" s="950">
        <v>41640</v>
      </c>
      <c r="B84" s="946">
        <v>216.49</v>
      </c>
      <c r="C84" s="935">
        <v>222.4</v>
      </c>
      <c r="D84" s="935">
        <v>322.3</v>
      </c>
      <c r="E84" s="935">
        <v>1255.5</v>
      </c>
      <c r="F84" s="935">
        <v>1353.2</v>
      </c>
      <c r="G84" s="935">
        <v>2984.3</v>
      </c>
      <c r="H84" s="935">
        <v>16470.3</v>
      </c>
      <c r="I84" s="936">
        <v>3915.1</v>
      </c>
      <c r="J84" s="943">
        <f t="shared" si="2"/>
        <v>26739.589999999997</v>
      </c>
      <c r="K84" s="946">
        <v>9.02</v>
      </c>
      <c r="L84" s="938">
        <v>13.1</v>
      </c>
      <c r="M84" s="938">
        <v>197.81</v>
      </c>
      <c r="N84" s="938">
        <v>263.2</v>
      </c>
      <c r="O84" s="938">
        <v>116.7</v>
      </c>
      <c r="P84" s="938">
        <v>142.54</v>
      </c>
      <c r="Q84" s="938">
        <v>31.82</v>
      </c>
      <c r="R84" s="938">
        <v>6.33</v>
      </c>
      <c r="S84" s="938">
        <v>41.73</v>
      </c>
      <c r="T84" s="938">
        <v>2.42</v>
      </c>
      <c r="U84" s="938">
        <v>9.77</v>
      </c>
      <c r="V84" s="938">
        <v>0.3</v>
      </c>
      <c r="W84" s="938">
        <v>0.2</v>
      </c>
      <c r="X84" s="937">
        <f t="shared" si="0"/>
        <v>834.94</v>
      </c>
      <c r="Y84" s="937">
        <f t="shared" si="1"/>
        <v>27574.529999999995</v>
      </c>
      <c r="Z84" s="925"/>
      <c r="AA84" s="926"/>
      <c r="AB84" s="947"/>
      <c r="AC84" s="926"/>
    </row>
    <row r="85" spans="1:29" s="933" customFormat="1" ht="28.5" customHeight="1">
      <c r="A85" s="950">
        <v>41671</v>
      </c>
      <c r="B85" s="946">
        <v>216.47</v>
      </c>
      <c r="C85" s="935">
        <v>221.1</v>
      </c>
      <c r="D85" s="935">
        <v>321.39999999999998</v>
      </c>
      <c r="E85" s="935">
        <v>1268.8</v>
      </c>
      <c r="F85" s="935">
        <v>1350.3</v>
      </c>
      <c r="G85" s="935">
        <v>2963.5</v>
      </c>
      <c r="H85" s="935">
        <v>15923.1</v>
      </c>
      <c r="I85" s="936">
        <v>4074.2</v>
      </c>
      <c r="J85" s="943">
        <f t="shared" si="2"/>
        <v>26338.87</v>
      </c>
      <c r="K85" s="946">
        <v>9.02</v>
      </c>
      <c r="L85" s="938">
        <v>13.14</v>
      </c>
      <c r="M85" s="938">
        <v>198.45</v>
      </c>
      <c r="N85" s="938">
        <v>263.13</v>
      </c>
      <c r="O85" s="938">
        <v>117.6</v>
      </c>
      <c r="P85" s="938">
        <v>143.19999999999999</v>
      </c>
      <c r="Q85" s="938">
        <v>31.92</v>
      </c>
      <c r="R85" s="938">
        <v>6.33</v>
      </c>
      <c r="S85" s="938">
        <v>41.83</v>
      </c>
      <c r="T85" s="938">
        <v>2.42</v>
      </c>
      <c r="U85" s="938">
        <v>9.8000000000000007</v>
      </c>
      <c r="V85" s="938">
        <v>0.33</v>
      </c>
      <c r="W85" s="938">
        <v>0.22</v>
      </c>
      <c r="X85" s="937">
        <f t="shared" si="0"/>
        <v>837.39</v>
      </c>
      <c r="Y85" s="937">
        <f t="shared" si="1"/>
        <v>27176.26</v>
      </c>
      <c r="Z85" s="925"/>
      <c r="AA85" s="947"/>
      <c r="AB85" s="947"/>
      <c r="AC85" s="926"/>
    </row>
    <row r="86" spans="1:29" s="933" customFormat="1" ht="28.5" customHeight="1">
      <c r="A86" s="950">
        <v>41699</v>
      </c>
      <c r="B86" s="946">
        <v>216.4</v>
      </c>
      <c r="C86" s="935">
        <v>221.1</v>
      </c>
      <c r="D86" s="935">
        <v>317.66000000000003</v>
      </c>
      <c r="E86" s="935">
        <v>1249.8499999999999</v>
      </c>
      <c r="F86" s="935">
        <v>1345</v>
      </c>
      <c r="G86" s="935">
        <v>2928.45</v>
      </c>
      <c r="H86" s="935">
        <v>15660.1</v>
      </c>
      <c r="I86" s="936">
        <v>4229.26</v>
      </c>
      <c r="J86" s="943">
        <f t="shared" si="2"/>
        <v>26167.82</v>
      </c>
      <c r="K86" s="946">
        <v>9.02</v>
      </c>
      <c r="L86" s="938">
        <v>13.14</v>
      </c>
      <c r="M86" s="938">
        <v>199.7</v>
      </c>
      <c r="N86" s="938">
        <v>263.33</v>
      </c>
      <c r="O86" s="938">
        <v>117.73</v>
      </c>
      <c r="P86" s="938">
        <v>143.87</v>
      </c>
      <c r="Q86" s="938">
        <v>32.020000000000003</v>
      </c>
      <c r="R86" s="938">
        <v>6.33</v>
      </c>
      <c r="S86" s="938">
        <v>41.95</v>
      </c>
      <c r="T86" s="938">
        <v>2.42</v>
      </c>
      <c r="U86" s="938">
        <v>9.82</v>
      </c>
      <c r="V86" s="938">
        <v>0.33</v>
      </c>
      <c r="W86" s="938">
        <v>0.2</v>
      </c>
      <c r="X86" s="937">
        <f t="shared" si="0"/>
        <v>839.86000000000013</v>
      </c>
      <c r="Y86" s="937">
        <f t="shared" si="1"/>
        <v>27007.68</v>
      </c>
      <c r="Z86" s="925"/>
      <c r="AA86" s="947"/>
      <c r="AB86" s="947"/>
      <c r="AC86" s="926"/>
    </row>
    <row r="87" spans="1:29" s="933" customFormat="1" ht="28.5" customHeight="1">
      <c r="A87" s="950">
        <v>41730</v>
      </c>
      <c r="B87" s="946">
        <v>216.36</v>
      </c>
      <c r="C87" s="935">
        <v>219.9</v>
      </c>
      <c r="D87" s="935">
        <v>313.60000000000002</v>
      </c>
      <c r="E87" s="935">
        <v>1251.98</v>
      </c>
      <c r="F87" s="935">
        <v>1325.4</v>
      </c>
      <c r="G87" s="935">
        <v>2877.1</v>
      </c>
      <c r="H87" s="935">
        <v>15524.2</v>
      </c>
      <c r="I87" s="936">
        <v>4389.1000000000004</v>
      </c>
      <c r="J87" s="943">
        <f t="shared" si="2"/>
        <v>26117.64</v>
      </c>
      <c r="K87" s="946">
        <v>9</v>
      </c>
      <c r="L87" s="938">
        <v>13.1</v>
      </c>
      <c r="M87" s="938">
        <v>199.9</v>
      </c>
      <c r="N87" s="938">
        <v>263.89999999999998</v>
      </c>
      <c r="O87" s="938">
        <v>118.4</v>
      </c>
      <c r="P87" s="938">
        <v>144.5</v>
      </c>
      <c r="Q87" s="938">
        <v>32.200000000000003</v>
      </c>
      <c r="R87" s="938">
        <v>6.33</v>
      </c>
      <c r="S87" s="938">
        <v>42.03</v>
      </c>
      <c r="T87" s="938">
        <v>2.42</v>
      </c>
      <c r="U87" s="938">
        <v>9.86</v>
      </c>
      <c r="V87" s="938">
        <v>0.33</v>
      </c>
      <c r="W87" s="938">
        <v>0.2</v>
      </c>
      <c r="X87" s="937">
        <f t="shared" si="0"/>
        <v>842.17000000000007</v>
      </c>
      <c r="Y87" s="937">
        <f t="shared" si="1"/>
        <v>26959.809999999998</v>
      </c>
      <c r="Z87" s="925"/>
      <c r="AA87" s="947"/>
      <c r="AB87" s="947"/>
      <c r="AC87" s="926"/>
    </row>
    <row r="88" spans="1:29" s="933" customFormat="1" ht="28.5" customHeight="1">
      <c r="A88" s="950">
        <v>41760</v>
      </c>
      <c r="B88" s="946">
        <v>216.3</v>
      </c>
      <c r="C88" s="935">
        <v>217.9</v>
      </c>
      <c r="D88" s="935">
        <v>311.89999999999998</v>
      </c>
      <c r="E88" s="935">
        <v>1213.92</v>
      </c>
      <c r="F88" s="935">
        <v>1268.71</v>
      </c>
      <c r="G88" s="935">
        <v>2866.19</v>
      </c>
      <c r="H88" s="935">
        <v>14803.5</v>
      </c>
      <c r="I88" s="936">
        <v>4518</v>
      </c>
      <c r="J88" s="943">
        <f t="shared" si="2"/>
        <v>25416.42</v>
      </c>
      <c r="K88" s="946">
        <v>9.0229999999999997</v>
      </c>
      <c r="L88" s="938">
        <v>13.14</v>
      </c>
      <c r="M88" s="938">
        <v>200.2</v>
      </c>
      <c r="N88" s="938">
        <v>265.02999999999997</v>
      </c>
      <c r="O88" s="938">
        <v>118.7</v>
      </c>
      <c r="P88" s="938">
        <v>144.9</v>
      </c>
      <c r="Q88" s="938">
        <v>32.299999999999997</v>
      </c>
      <c r="R88" s="938">
        <v>6.33</v>
      </c>
      <c r="S88" s="938">
        <v>42</v>
      </c>
      <c r="T88" s="938">
        <v>2.42</v>
      </c>
      <c r="U88" s="938">
        <v>9.9</v>
      </c>
      <c r="V88" s="938">
        <v>0.33</v>
      </c>
      <c r="W88" s="938">
        <v>0.22</v>
      </c>
      <c r="X88" s="937">
        <f t="shared" si="0"/>
        <v>844.49299999999994</v>
      </c>
      <c r="Y88" s="937">
        <f t="shared" si="1"/>
        <v>26260.912999999997</v>
      </c>
      <c r="Z88" s="925"/>
      <c r="AA88" s="947"/>
      <c r="AB88" s="947"/>
      <c r="AC88" s="926"/>
    </row>
    <row r="89" spans="1:29" s="933" customFormat="1" ht="28.5" customHeight="1">
      <c r="A89" s="950">
        <v>41791</v>
      </c>
      <c r="B89" s="951">
        <v>216.26</v>
      </c>
      <c r="C89" s="935">
        <v>218.5</v>
      </c>
      <c r="D89" s="935">
        <v>314.39999999999998</v>
      </c>
      <c r="E89" s="935">
        <v>1236.5999999999999</v>
      </c>
      <c r="F89" s="935">
        <v>1282.9000000000001</v>
      </c>
      <c r="G89" s="935">
        <v>2870.9</v>
      </c>
      <c r="H89" s="935">
        <v>15064.12</v>
      </c>
      <c r="I89" s="936">
        <v>4532</v>
      </c>
      <c r="J89" s="943">
        <f t="shared" si="2"/>
        <v>25735.68</v>
      </c>
      <c r="K89" s="946">
        <v>9.0239999999999991</v>
      </c>
      <c r="L89" s="938">
        <v>13.14</v>
      </c>
      <c r="M89" s="938">
        <v>201</v>
      </c>
      <c r="N89" s="938">
        <v>266.10000000000002</v>
      </c>
      <c r="O89" s="938">
        <v>119.4</v>
      </c>
      <c r="P89" s="938">
        <v>145.4</v>
      </c>
      <c r="Q89" s="938">
        <v>32.4</v>
      </c>
      <c r="R89" s="938">
        <v>6.33</v>
      </c>
      <c r="S89" s="938">
        <v>42.15</v>
      </c>
      <c r="T89" s="938">
        <v>2.4</v>
      </c>
      <c r="U89" s="938">
        <v>9.9</v>
      </c>
      <c r="V89" s="938">
        <v>0.3</v>
      </c>
      <c r="W89" s="938">
        <v>0.22</v>
      </c>
      <c r="X89" s="937">
        <f t="shared" si="0"/>
        <v>847.7639999999999</v>
      </c>
      <c r="Y89" s="937">
        <f t="shared" si="1"/>
        <v>26583.444</v>
      </c>
      <c r="Z89" s="925"/>
      <c r="AA89" s="947"/>
      <c r="AB89" s="947"/>
      <c r="AC89" s="926"/>
    </row>
    <row r="90" spans="1:29" s="933" customFormat="1" ht="28.5" customHeight="1">
      <c r="A90" s="950">
        <v>41821</v>
      </c>
      <c r="B90" s="951">
        <v>216.25</v>
      </c>
      <c r="C90" s="935">
        <v>223.36</v>
      </c>
      <c r="D90" s="935">
        <v>321.7</v>
      </c>
      <c r="E90" s="935">
        <v>1267.75</v>
      </c>
      <c r="F90" s="935">
        <v>1342.8</v>
      </c>
      <c r="G90" s="935">
        <v>2978.2</v>
      </c>
      <c r="H90" s="935">
        <v>15851</v>
      </c>
      <c r="I90" s="936">
        <v>4526.1000000000004</v>
      </c>
      <c r="J90" s="943">
        <f t="shared" si="2"/>
        <v>26727.159999999996</v>
      </c>
      <c r="K90" s="946">
        <v>9.0239999999999991</v>
      </c>
      <c r="L90" s="938">
        <v>13.14</v>
      </c>
      <c r="M90" s="938">
        <v>201.4</v>
      </c>
      <c r="N90" s="938">
        <v>266.62</v>
      </c>
      <c r="O90" s="938">
        <v>119.89</v>
      </c>
      <c r="P90" s="938">
        <v>145.87</v>
      </c>
      <c r="Q90" s="938">
        <v>32.549999999999997</v>
      </c>
      <c r="R90" s="938">
        <v>6.3319999999999999</v>
      </c>
      <c r="S90" s="938">
        <v>42.38</v>
      </c>
      <c r="T90" s="938">
        <v>2.42</v>
      </c>
      <c r="U90" s="938">
        <v>9.9499999999999993</v>
      </c>
      <c r="V90" s="938">
        <v>0.33</v>
      </c>
      <c r="W90" s="938">
        <v>0.22</v>
      </c>
      <c r="X90" s="937">
        <f t="shared" si="0"/>
        <v>850.12600000000009</v>
      </c>
      <c r="Y90" s="937">
        <f t="shared" si="1"/>
        <v>27577.285999999996</v>
      </c>
      <c r="Z90" s="925"/>
      <c r="AA90" s="947"/>
      <c r="AB90" s="947"/>
      <c r="AC90" s="926"/>
    </row>
    <row r="91" spans="1:29" ht="12.75" customHeight="1" thickBot="1">
      <c r="A91" s="952"/>
      <c r="B91" s="953"/>
      <c r="C91" s="954"/>
      <c r="D91" s="954"/>
      <c r="E91" s="954"/>
      <c r="F91" s="954"/>
      <c r="G91" s="954"/>
      <c r="H91" s="954"/>
      <c r="I91" s="955"/>
      <c r="J91" s="956"/>
      <c r="K91" s="953"/>
      <c r="L91" s="954"/>
      <c r="M91" s="954"/>
      <c r="N91" s="954"/>
      <c r="O91" s="954"/>
      <c r="P91" s="954"/>
      <c r="Q91" s="954"/>
      <c r="R91" s="954"/>
      <c r="S91" s="954"/>
      <c r="T91" s="954"/>
      <c r="U91" s="954"/>
      <c r="V91" s="954"/>
      <c r="W91" s="954"/>
      <c r="X91" s="957"/>
      <c r="Y91" s="958"/>
      <c r="Z91" s="873"/>
      <c r="AA91" s="926"/>
      <c r="AB91" s="926"/>
      <c r="AC91" s="926"/>
    </row>
    <row r="92" spans="1:29" s="966" customFormat="1" ht="28.5" customHeight="1" thickTop="1">
      <c r="A92" s="959" t="s">
        <v>240</v>
      </c>
      <c r="B92" s="960"/>
      <c r="C92" s="960"/>
      <c r="D92" s="960"/>
      <c r="E92" s="960"/>
      <c r="F92" s="960"/>
      <c r="G92" s="960"/>
      <c r="H92" s="960"/>
      <c r="I92" s="960"/>
      <c r="J92" s="961"/>
      <c r="K92" s="960"/>
      <c r="L92" s="960"/>
      <c r="M92" s="960"/>
      <c r="N92" s="960"/>
      <c r="O92" s="960"/>
      <c r="P92" s="960"/>
      <c r="Q92" s="960"/>
      <c r="R92" s="960"/>
      <c r="S92" s="960"/>
      <c r="T92" s="960"/>
      <c r="U92" s="960"/>
      <c r="V92" s="960"/>
      <c r="W92" s="962"/>
      <c r="X92" s="961"/>
      <c r="Y92" s="961"/>
      <c r="Z92" s="963"/>
      <c r="AA92" s="964"/>
      <c r="AB92" s="965"/>
      <c r="AC92" s="965"/>
    </row>
    <row r="93" spans="1:29" ht="28.5" customHeight="1">
      <c r="A93" s="967" t="s">
        <v>180</v>
      </c>
      <c r="I93" s="947"/>
      <c r="J93" s="968"/>
      <c r="K93" s="969"/>
      <c r="L93" s="970"/>
      <c r="N93" s="971"/>
      <c r="U93" s="972"/>
      <c r="X93" s="973"/>
      <c r="Y93" s="974"/>
      <c r="AA93" s="926"/>
      <c r="AB93" s="926"/>
      <c r="AC93" s="926"/>
    </row>
    <row r="94" spans="1:29" ht="28.5" customHeight="1">
      <c r="A94" s="975"/>
      <c r="E94" s="968"/>
      <c r="G94" s="947"/>
      <c r="K94" s="968"/>
      <c r="M94" s="970"/>
      <c r="Q94" s="968"/>
      <c r="T94" s="947"/>
      <c r="U94" s="970"/>
      <c r="V94" s="970"/>
      <c r="Y94" s="926"/>
      <c r="AA94" s="926"/>
      <c r="AB94" s="926"/>
      <c r="AC94" s="926"/>
    </row>
    <row r="95" spans="1:29">
      <c r="F95" s="947"/>
      <c r="M95" s="978"/>
      <c r="O95" s="969"/>
      <c r="P95" s="926"/>
      <c r="R95" s="979"/>
      <c r="S95" s="979"/>
      <c r="T95" s="970"/>
      <c r="U95" s="970"/>
      <c r="V95" s="968"/>
      <c r="W95" s="968"/>
      <c r="X95" s="980"/>
      <c r="Y95" s="926"/>
      <c r="AA95" s="926"/>
      <c r="AB95" s="926"/>
      <c r="AC95" s="926"/>
    </row>
    <row r="96" spans="1:29">
      <c r="D96" s="970"/>
      <c r="E96" s="970"/>
      <c r="F96" s="970"/>
      <c r="G96" s="970"/>
      <c r="H96" s="970"/>
      <c r="I96" s="970"/>
      <c r="J96" s="968"/>
      <c r="O96" s="968"/>
      <c r="Q96" s="968"/>
      <c r="S96" s="970"/>
      <c r="X96" s="981"/>
      <c r="AA96" s="926"/>
      <c r="AB96" s="926"/>
      <c r="AC96" s="926"/>
    </row>
    <row r="97" spans="8:29">
      <c r="AA97" s="926"/>
      <c r="AB97" s="926"/>
      <c r="AC97" s="926"/>
    </row>
    <row r="98" spans="8:29">
      <c r="H98" s="970"/>
      <c r="AA98" s="926"/>
      <c r="AB98" s="926"/>
      <c r="AC98" s="926"/>
    </row>
    <row r="99" spans="8:29">
      <c r="K99" s="982"/>
      <c r="AA99" s="926"/>
      <c r="AB99" s="926"/>
      <c r="AC99" s="926"/>
    </row>
    <row r="100" spans="8:29">
      <c r="AA100" s="926"/>
      <c r="AB100" s="926"/>
      <c r="AC100" s="926"/>
    </row>
    <row r="101" spans="8:29">
      <c r="AA101" s="926"/>
      <c r="AB101" s="926"/>
      <c r="AC101" s="926"/>
    </row>
    <row r="102" spans="8:29">
      <c r="AA102" s="926"/>
      <c r="AB102" s="926"/>
      <c r="AC102" s="926"/>
    </row>
    <row r="103" spans="8:29">
      <c r="AA103" s="926"/>
      <c r="AB103" s="926"/>
      <c r="AC103" s="926"/>
    </row>
    <row r="104" spans="8:29">
      <c r="AA104" s="926"/>
      <c r="AB104" s="926"/>
      <c r="AC104" s="926"/>
    </row>
    <row r="105" spans="8:29">
      <c r="AA105" s="926"/>
      <c r="AB105" s="926"/>
      <c r="AC105" s="926"/>
    </row>
    <row r="106" spans="8:29">
      <c r="AA106" s="926"/>
      <c r="AB106" s="926"/>
      <c r="AC106" s="926"/>
    </row>
    <row r="107" spans="8:29">
      <c r="AA107" s="926"/>
      <c r="AB107" s="926"/>
      <c r="AC107" s="926"/>
    </row>
    <row r="108" spans="8:29">
      <c r="AA108" s="926"/>
      <c r="AB108" s="926"/>
      <c r="AC108" s="926"/>
    </row>
    <row r="109" spans="8:29">
      <c r="AA109" s="926"/>
      <c r="AB109" s="926"/>
      <c r="AC109" s="926"/>
    </row>
    <row r="110" spans="8:29">
      <c r="AA110" s="926"/>
      <c r="AC110" s="926"/>
    </row>
    <row r="111" spans="8:29">
      <c r="AA111" s="926"/>
      <c r="AC111" s="926"/>
    </row>
    <row r="112" spans="8:29">
      <c r="AA112" s="926"/>
    </row>
    <row r="113" spans="27:27">
      <c r="AA113" s="926"/>
    </row>
    <row r="114" spans="27:27">
      <c r="AA114" s="926"/>
    </row>
    <row r="115" spans="27:27">
      <c r="AA115" s="926"/>
    </row>
    <row r="116" spans="27:27">
      <c r="AA116" s="926"/>
    </row>
    <row r="117" spans="27:27">
      <c r="AA117" s="926"/>
    </row>
    <row r="118" spans="27:27">
      <c r="AA118" s="926"/>
    </row>
    <row r="119" spans="27:27">
      <c r="AA119" s="926"/>
    </row>
    <row r="120" spans="27:27">
      <c r="AA120" s="926"/>
    </row>
    <row r="121" spans="27:27">
      <c r="AA121" s="926"/>
    </row>
    <row r="122" spans="27:27">
      <c r="AA122" s="926"/>
    </row>
    <row r="123" spans="27:27">
      <c r="AA123" s="926"/>
    </row>
    <row r="124" spans="27:27">
      <c r="AA124" s="926"/>
    </row>
    <row r="125" spans="27:27">
      <c r="AA125" s="926"/>
    </row>
    <row r="126" spans="27:27">
      <c r="AA126" s="926"/>
    </row>
    <row r="127" spans="27:27">
      <c r="AA127" s="926"/>
    </row>
    <row r="128" spans="27:27">
      <c r="AA128" s="926"/>
    </row>
    <row r="129" spans="27:27">
      <c r="AA129" s="926"/>
    </row>
    <row r="130" spans="27:27">
      <c r="AA130" s="926"/>
    </row>
    <row r="131" spans="27:27">
      <c r="AA131" s="926"/>
    </row>
    <row r="132" spans="27:27">
      <c r="AA132" s="926"/>
    </row>
    <row r="133" spans="27:27">
      <c r="AA133" s="926"/>
    </row>
    <row r="134" spans="27:27">
      <c r="AA134" s="926"/>
    </row>
    <row r="135" spans="27:27">
      <c r="AA135" s="926"/>
    </row>
    <row r="136" spans="27:27">
      <c r="AA136" s="926"/>
    </row>
    <row r="137" spans="27:27">
      <c r="AA137" s="926"/>
    </row>
    <row r="138" spans="27:27">
      <c r="AA138" s="926"/>
    </row>
    <row r="139" spans="27:27">
      <c r="AA139" s="926"/>
    </row>
    <row r="140" spans="27:27">
      <c r="AA140" s="926"/>
    </row>
    <row r="141" spans="27:27">
      <c r="AA141" s="926"/>
    </row>
    <row r="142" spans="27:27">
      <c r="AA142" s="926"/>
    </row>
    <row r="143" spans="27:27">
      <c r="AA143" s="926"/>
    </row>
    <row r="144" spans="27:27">
      <c r="AA144" s="926"/>
    </row>
    <row r="145" spans="27:27">
      <c r="AA145" s="926"/>
    </row>
    <row r="146" spans="27:27">
      <c r="AA146" s="926"/>
    </row>
    <row r="147" spans="27:27">
      <c r="AA147" s="926"/>
    </row>
    <row r="148" spans="27:27">
      <c r="AA148" s="926"/>
    </row>
    <row r="149" spans="27:27">
      <c r="AA149" s="926"/>
    </row>
    <row r="150" spans="27:27">
      <c r="AA150" s="926"/>
    </row>
    <row r="151" spans="27:27">
      <c r="AA151" s="926"/>
    </row>
    <row r="152" spans="27:27">
      <c r="AA152" s="926"/>
    </row>
    <row r="153" spans="27:27">
      <c r="AA153" s="926"/>
    </row>
    <row r="154" spans="27:27">
      <c r="AA154" s="926"/>
    </row>
    <row r="155" spans="27:27">
      <c r="AA155" s="926"/>
    </row>
    <row r="156" spans="27:27">
      <c r="AA156" s="926"/>
    </row>
    <row r="157" spans="27:27">
      <c r="AA157" s="926"/>
    </row>
    <row r="158" spans="27:27">
      <c r="AA158" s="926"/>
    </row>
    <row r="159" spans="27:27">
      <c r="AA159" s="926"/>
    </row>
    <row r="160" spans="27:27">
      <c r="AA160" s="926"/>
    </row>
    <row r="161" spans="27:27">
      <c r="AA161" s="926"/>
    </row>
    <row r="162" spans="27:27">
      <c r="AA162" s="926"/>
    </row>
    <row r="163" spans="27:27">
      <c r="AA163" s="926"/>
    </row>
    <row r="164" spans="27:27">
      <c r="AA164" s="926"/>
    </row>
    <row r="165" spans="27:27">
      <c r="AA165" s="926"/>
    </row>
    <row r="166" spans="27:27">
      <c r="AA166" s="926"/>
    </row>
    <row r="167" spans="27:27">
      <c r="AA167" s="926"/>
    </row>
    <row r="168" spans="27:27">
      <c r="AA168" s="926"/>
    </row>
    <row r="169" spans="27:27">
      <c r="AA169" s="926"/>
    </row>
    <row r="170" spans="27:27">
      <c r="AA170" s="926"/>
    </row>
    <row r="171" spans="27:27">
      <c r="AA171" s="926"/>
    </row>
    <row r="172" spans="27:27">
      <c r="AA172" s="926"/>
    </row>
    <row r="173" spans="27:27">
      <c r="AA173" s="926"/>
    </row>
    <row r="174" spans="27:27">
      <c r="AA174" s="926"/>
    </row>
    <row r="175" spans="27:27">
      <c r="AA175" s="926"/>
    </row>
    <row r="176" spans="27:27">
      <c r="AA176" s="926"/>
    </row>
    <row r="177" spans="27:27">
      <c r="AA177" s="926"/>
    </row>
    <row r="178" spans="27:27">
      <c r="AA178" s="926"/>
    </row>
    <row r="179" spans="27:27">
      <c r="AA179" s="926"/>
    </row>
    <row r="180" spans="27:27">
      <c r="AA180" s="926"/>
    </row>
    <row r="181" spans="27:27">
      <c r="AA181" s="926"/>
    </row>
    <row r="182" spans="27:27">
      <c r="AA182" s="926"/>
    </row>
    <row r="183" spans="27:27">
      <c r="AA183" s="926"/>
    </row>
    <row r="184" spans="27:27">
      <c r="AA184" s="926"/>
    </row>
    <row r="185" spans="27:27">
      <c r="AA185" s="926"/>
    </row>
    <row r="186" spans="27:27">
      <c r="AA186" s="926"/>
    </row>
    <row r="187" spans="27:27">
      <c r="AA187" s="926"/>
    </row>
    <row r="188" spans="27:27">
      <c r="AA188" s="926"/>
    </row>
    <row r="189" spans="27:27">
      <c r="AA189" s="926"/>
    </row>
    <row r="190" spans="27:27">
      <c r="AA190" s="926"/>
    </row>
    <row r="191" spans="27:27">
      <c r="AA191" s="926"/>
    </row>
    <row r="192" spans="27:27">
      <c r="AA192" s="926"/>
    </row>
    <row r="193" spans="27:27">
      <c r="AA193" s="926"/>
    </row>
    <row r="194" spans="27:27">
      <c r="AA194" s="926"/>
    </row>
    <row r="195" spans="27:27">
      <c r="AA195" s="926"/>
    </row>
    <row r="196" spans="27:27">
      <c r="AA196" s="926"/>
    </row>
    <row r="197" spans="27:27">
      <c r="AA197" s="926"/>
    </row>
    <row r="198" spans="27:27">
      <c r="AA198" s="926"/>
    </row>
    <row r="199" spans="27:27">
      <c r="AA199" s="926"/>
    </row>
    <row r="200" spans="27:27">
      <c r="AA200" s="926"/>
    </row>
    <row r="201" spans="27:27">
      <c r="AA201" s="926"/>
    </row>
    <row r="202" spans="27:27">
      <c r="AA202" s="926"/>
    </row>
    <row r="203" spans="27:27">
      <c r="AA203" s="926"/>
    </row>
    <row r="204" spans="27:27">
      <c r="AA204" s="926"/>
    </row>
    <row r="205" spans="27:27">
      <c r="AA205" s="926"/>
    </row>
    <row r="206" spans="27:27">
      <c r="AA206" s="926"/>
    </row>
    <row r="207" spans="27:27">
      <c r="AA207" s="926"/>
    </row>
    <row r="208" spans="27:27">
      <c r="AA208" s="926"/>
    </row>
    <row r="209" spans="27:27">
      <c r="AA209" s="926"/>
    </row>
    <row r="210" spans="27:27">
      <c r="AA210" s="926"/>
    </row>
    <row r="211" spans="27:27">
      <c r="AA211" s="926"/>
    </row>
    <row r="212" spans="27:27">
      <c r="AA212" s="926"/>
    </row>
    <row r="213" spans="27:27">
      <c r="AA213" s="926"/>
    </row>
    <row r="214" spans="27:27">
      <c r="AA214" s="926"/>
    </row>
    <row r="215" spans="27:27">
      <c r="AA215" s="926"/>
    </row>
    <row r="216" spans="27:27">
      <c r="AA216" s="926"/>
    </row>
    <row r="217" spans="27:27">
      <c r="AA217" s="926"/>
    </row>
    <row r="218" spans="27:27">
      <c r="AA218" s="926"/>
    </row>
    <row r="219" spans="27:27">
      <c r="AA219" s="926"/>
    </row>
    <row r="220" spans="27:27">
      <c r="AA220" s="926"/>
    </row>
    <row r="221" spans="27:27">
      <c r="AA221" s="926"/>
    </row>
    <row r="222" spans="27:27">
      <c r="AA222" s="926"/>
    </row>
    <row r="223" spans="27:27">
      <c r="AA223" s="926"/>
    </row>
    <row r="224" spans="27:27">
      <c r="AA224" s="926"/>
    </row>
    <row r="225" spans="27:27">
      <c r="AA225" s="926"/>
    </row>
    <row r="226" spans="27:27">
      <c r="AA226" s="926"/>
    </row>
    <row r="227" spans="27:27">
      <c r="AA227" s="926"/>
    </row>
    <row r="228" spans="27:27">
      <c r="AA228" s="926"/>
    </row>
    <row r="229" spans="27:27">
      <c r="AA229" s="926"/>
    </row>
    <row r="230" spans="27:27">
      <c r="AA230" s="926"/>
    </row>
    <row r="231" spans="27:27">
      <c r="AA231" s="926"/>
    </row>
    <row r="232" spans="27:27">
      <c r="AA232" s="926"/>
    </row>
    <row r="233" spans="27:27">
      <c r="AA233" s="926"/>
    </row>
    <row r="234" spans="27:27">
      <c r="AA234" s="926"/>
    </row>
    <row r="235" spans="27:27">
      <c r="AA235" s="926"/>
    </row>
    <row r="236" spans="27:27">
      <c r="AA236" s="926"/>
    </row>
    <row r="237" spans="27:27">
      <c r="AA237" s="926"/>
    </row>
    <row r="238" spans="27:27">
      <c r="AA238" s="926"/>
    </row>
    <row r="239" spans="27:27">
      <c r="AA239" s="926"/>
    </row>
    <row r="240" spans="27:27">
      <c r="AA240" s="926"/>
    </row>
    <row r="241" spans="27:27">
      <c r="AA241" s="926"/>
    </row>
    <row r="242" spans="27:27">
      <c r="AA242" s="926"/>
    </row>
    <row r="243" spans="27:27">
      <c r="AA243" s="926"/>
    </row>
    <row r="244" spans="27:27">
      <c r="AA244" s="926"/>
    </row>
    <row r="245" spans="27:27">
      <c r="AA245" s="926"/>
    </row>
    <row r="246" spans="27:27">
      <c r="AA246" s="926"/>
    </row>
    <row r="247" spans="27:27">
      <c r="AA247" s="926"/>
    </row>
    <row r="248" spans="27:27">
      <c r="AA248" s="926"/>
    </row>
    <row r="249" spans="27:27">
      <c r="AA249" s="926"/>
    </row>
    <row r="250" spans="27:27">
      <c r="AA250" s="926"/>
    </row>
    <row r="251" spans="27:27">
      <c r="AA251" s="926"/>
    </row>
    <row r="252" spans="27:27">
      <c r="AA252" s="926"/>
    </row>
    <row r="253" spans="27:27">
      <c r="AA253" s="926"/>
    </row>
    <row r="254" spans="27:27">
      <c r="AA254" s="926"/>
    </row>
    <row r="255" spans="27:27">
      <c r="AA255" s="926"/>
    </row>
    <row r="256" spans="27:27">
      <c r="AA256" s="926"/>
    </row>
    <row r="257" spans="27:27">
      <c r="AA257" s="926"/>
    </row>
    <row r="258" spans="27:27">
      <c r="AA258" s="926"/>
    </row>
    <row r="259" spans="27:27">
      <c r="AA259" s="926"/>
    </row>
    <row r="260" spans="27:27">
      <c r="AA260" s="926"/>
    </row>
    <row r="261" spans="27:27">
      <c r="AA261" s="926"/>
    </row>
    <row r="262" spans="27:27">
      <c r="AA262" s="926"/>
    </row>
    <row r="263" spans="27:27">
      <c r="AA263" s="926"/>
    </row>
    <row r="264" spans="27:27">
      <c r="AA264" s="926"/>
    </row>
    <row r="265" spans="27:27">
      <c r="AA265" s="926"/>
    </row>
    <row r="266" spans="27:27">
      <c r="AA266" s="926"/>
    </row>
    <row r="267" spans="27:27">
      <c r="AA267" s="926"/>
    </row>
    <row r="268" spans="27:27">
      <c r="AA268" s="926"/>
    </row>
    <row r="269" spans="27:27">
      <c r="AA269" s="926"/>
    </row>
    <row r="270" spans="27:27">
      <c r="AA270" s="926"/>
    </row>
    <row r="271" spans="27:27">
      <c r="AA271" s="926"/>
    </row>
    <row r="272" spans="27:27">
      <c r="AA272" s="926"/>
    </row>
    <row r="273" spans="27:27">
      <c r="AA273" s="926"/>
    </row>
    <row r="274" spans="27:27">
      <c r="AA274" s="926"/>
    </row>
    <row r="275" spans="27:27">
      <c r="AA275" s="926"/>
    </row>
    <row r="276" spans="27:27">
      <c r="AA276" s="926"/>
    </row>
    <row r="277" spans="27:27">
      <c r="AA277" s="926"/>
    </row>
    <row r="278" spans="27:27">
      <c r="AA278" s="926"/>
    </row>
    <row r="279" spans="27:27">
      <c r="AA279" s="926"/>
    </row>
    <row r="280" spans="27:27">
      <c r="AA280" s="926"/>
    </row>
    <row r="281" spans="27:27">
      <c r="AA281" s="926"/>
    </row>
    <row r="282" spans="27:27">
      <c r="AA282" s="926"/>
    </row>
    <row r="283" spans="27:27">
      <c r="AA283" s="926"/>
    </row>
    <row r="284" spans="27:27">
      <c r="AA284" s="926"/>
    </row>
    <row r="285" spans="27:27">
      <c r="AA285" s="926"/>
    </row>
    <row r="286" spans="27:27">
      <c r="AA286" s="926"/>
    </row>
    <row r="287" spans="27:27">
      <c r="AA287" s="926"/>
    </row>
    <row r="288" spans="27:27">
      <c r="AA288" s="926"/>
    </row>
    <row r="289" spans="27:27">
      <c r="AA289" s="926"/>
    </row>
    <row r="290" spans="27:27">
      <c r="AA290" s="926"/>
    </row>
    <row r="291" spans="27:27">
      <c r="AA291" s="926"/>
    </row>
    <row r="292" spans="27:27">
      <c r="AA292" s="926"/>
    </row>
    <row r="293" spans="27:27">
      <c r="AA293" s="926"/>
    </row>
    <row r="294" spans="27:27">
      <c r="AA294" s="926"/>
    </row>
    <row r="295" spans="27:27">
      <c r="AA295" s="926"/>
    </row>
    <row r="296" spans="27:27">
      <c r="AA296" s="926"/>
    </row>
    <row r="297" spans="27:27">
      <c r="AA297" s="926"/>
    </row>
    <row r="298" spans="27:27">
      <c r="AA298" s="926"/>
    </row>
    <row r="299" spans="27:27">
      <c r="AA299" s="926"/>
    </row>
    <row r="300" spans="27:27">
      <c r="AA300" s="926"/>
    </row>
    <row r="301" spans="27:27">
      <c r="AA301" s="926"/>
    </row>
    <row r="302" spans="27:27">
      <c r="AA302" s="926"/>
    </row>
    <row r="303" spans="27:27">
      <c r="AA303" s="926"/>
    </row>
    <row r="304" spans="27:27">
      <c r="AA304" s="926"/>
    </row>
    <row r="305" spans="27:27">
      <c r="AA305" s="926"/>
    </row>
    <row r="306" spans="27:27">
      <c r="AA306" s="926"/>
    </row>
    <row r="307" spans="27:27">
      <c r="AA307" s="926"/>
    </row>
    <row r="308" spans="27:27">
      <c r="AA308" s="926"/>
    </row>
    <row r="309" spans="27:27">
      <c r="AA309" s="926"/>
    </row>
    <row r="310" spans="27:27">
      <c r="AA310" s="926"/>
    </row>
    <row r="311" spans="27:27">
      <c r="AA311" s="926"/>
    </row>
    <row r="312" spans="27:27">
      <c r="AA312" s="926"/>
    </row>
    <row r="313" spans="27:27">
      <c r="AA313" s="926"/>
    </row>
    <row r="314" spans="27:27">
      <c r="AA314" s="926"/>
    </row>
    <row r="315" spans="27:27">
      <c r="AA315" s="926"/>
    </row>
    <row r="316" spans="27:27">
      <c r="AA316" s="926"/>
    </row>
    <row r="317" spans="27:27">
      <c r="AA317" s="926"/>
    </row>
    <row r="318" spans="27:27">
      <c r="AA318" s="926"/>
    </row>
    <row r="319" spans="27:27">
      <c r="AA319" s="926"/>
    </row>
    <row r="320" spans="27:27">
      <c r="AA320" s="926"/>
    </row>
    <row r="321" spans="27:27">
      <c r="AA321" s="926"/>
    </row>
    <row r="322" spans="27:27">
      <c r="AA322" s="926"/>
    </row>
    <row r="323" spans="27:27">
      <c r="AA323" s="926"/>
    </row>
    <row r="324" spans="27:27">
      <c r="AA324" s="926"/>
    </row>
    <row r="325" spans="27:27">
      <c r="AA325" s="926"/>
    </row>
    <row r="326" spans="27:27">
      <c r="AA326" s="926"/>
    </row>
    <row r="327" spans="27:27">
      <c r="AA327" s="926"/>
    </row>
    <row r="328" spans="27:27">
      <c r="AA328" s="926"/>
    </row>
    <row r="329" spans="27:27">
      <c r="AA329" s="926"/>
    </row>
    <row r="330" spans="27:27">
      <c r="AA330" s="926"/>
    </row>
    <row r="331" spans="27:27">
      <c r="AA331" s="926"/>
    </row>
    <row r="332" spans="27:27">
      <c r="AA332" s="926"/>
    </row>
    <row r="333" spans="27:27">
      <c r="AA333" s="926"/>
    </row>
    <row r="334" spans="27:27">
      <c r="AA334" s="926"/>
    </row>
    <row r="335" spans="27:27">
      <c r="AA335" s="926"/>
    </row>
    <row r="336" spans="27:27">
      <c r="AA336" s="926"/>
    </row>
    <row r="337" spans="27:27">
      <c r="AA337" s="926"/>
    </row>
    <row r="338" spans="27:27">
      <c r="AA338" s="926"/>
    </row>
    <row r="339" spans="27:27">
      <c r="AA339" s="926"/>
    </row>
    <row r="340" spans="27:27">
      <c r="AA340" s="926"/>
    </row>
    <row r="341" spans="27:27">
      <c r="AA341" s="926"/>
    </row>
    <row r="342" spans="27:27">
      <c r="AA342" s="926"/>
    </row>
    <row r="343" spans="27:27">
      <c r="AA343" s="926"/>
    </row>
    <row r="344" spans="27:27">
      <c r="AA344" s="926"/>
    </row>
    <row r="345" spans="27:27">
      <c r="AA345" s="926"/>
    </row>
    <row r="346" spans="27:27">
      <c r="AA346" s="926"/>
    </row>
    <row r="347" spans="27:27">
      <c r="AA347" s="926"/>
    </row>
    <row r="348" spans="27:27">
      <c r="AA348" s="926"/>
    </row>
    <row r="349" spans="27:27">
      <c r="AA349" s="926"/>
    </row>
    <row r="350" spans="27:27">
      <c r="AA350" s="926"/>
    </row>
    <row r="351" spans="27:27">
      <c r="AA351" s="926"/>
    </row>
    <row r="352" spans="27:27">
      <c r="AA352" s="926"/>
    </row>
    <row r="353" spans="27:27">
      <c r="AA353" s="926"/>
    </row>
    <row r="354" spans="27:27">
      <c r="AA354" s="926"/>
    </row>
    <row r="355" spans="27:27">
      <c r="AA355" s="926"/>
    </row>
    <row r="356" spans="27:27">
      <c r="AA356" s="926"/>
    </row>
    <row r="357" spans="27:27">
      <c r="AA357" s="926"/>
    </row>
    <row r="358" spans="27:27">
      <c r="AA358" s="926"/>
    </row>
    <row r="359" spans="27:27">
      <c r="AA359" s="926"/>
    </row>
    <row r="360" spans="27:27">
      <c r="AA360" s="926"/>
    </row>
    <row r="361" spans="27:27">
      <c r="AA361" s="926"/>
    </row>
    <row r="362" spans="27:27">
      <c r="AA362" s="926"/>
    </row>
    <row r="363" spans="27:27">
      <c r="AA363" s="926"/>
    </row>
    <row r="364" spans="27:27">
      <c r="AA364" s="926"/>
    </row>
    <row r="365" spans="27:27">
      <c r="AA365" s="926"/>
    </row>
    <row r="366" spans="27:27">
      <c r="AA366" s="926"/>
    </row>
    <row r="367" spans="27:27">
      <c r="AA367" s="926"/>
    </row>
    <row r="368" spans="27:27">
      <c r="AA368" s="926"/>
    </row>
    <row r="369" spans="27:27">
      <c r="AA369" s="926"/>
    </row>
    <row r="370" spans="27:27">
      <c r="AA370" s="926"/>
    </row>
    <row r="371" spans="27:27">
      <c r="AA371" s="926"/>
    </row>
    <row r="372" spans="27:27">
      <c r="AA372" s="926"/>
    </row>
    <row r="373" spans="27:27">
      <c r="AA373" s="926"/>
    </row>
    <row r="374" spans="27:27">
      <c r="AA374" s="926"/>
    </row>
    <row r="375" spans="27:27">
      <c r="AA375" s="926"/>
    </row>
    <row r="376" spans="27:27">
      <c r="AA376" s="926"/>
    </row>
    <row r="377" spans="27:27">
      <c r="AA377" s="926"/>
    </row>
    <row r="378" spans="27:27">
      <c r="AA378" s="926"/>
    </row>
    <row r="379" spans="27:27">
      <c r="AA379" s="926"/>
    </row>
    <row r="380" spans="27:27">
      <c r="AA380" s="926"/>
    </row>
    <row r="381" spans="27:27">
      <c r="AA381" s="926"/>
    </row>
    <row r="382" spans="27:27">
      <c r="AA382" s="926"/>
    </row>
    <row r="383" spans="27:27">
      <c r="AA383" s="926"/>
    </row>
    <row r="384" spans="27:27">
      <c r="AA384" s="926"/>
    </row>
    <row r="385" spans="27:27">
      <c r="AA385" s="926"/>
    </row>
    <row r="386" spans="27:27">
      <c r="AA386" s="926"/>
    </row>
    <row r="387" spans="27:27">
      <c r="AA387" s="926"/>
    </row>
    <row r="388" spans="27:27">
      <c r="AA388" s="926"/>
    </row>
    <row r="389" spans="27:27">
      <c r="AA389" s="926"/>
    </row>
    <row r="390" spans="27:27">
      <c r="AA390" s="926"/>
    </row>
    <row r="391" spans="27:27">
      <c r="AA391" s="926"/>
    </row>
    <row r="392" spans="27:27">
      <c r="AA392" s="926"/>
    </row>
    <row r="393" spans="27:27">
      <c r="AA393" s="926"/>
    </row>
    <row r="394" spans="27:27">
      <c r="AA394" s="926"/>
    </row>
    <row r="395" spans="27:27">
      <c r="AA395" s="926"/>
    </row>
    <row r="396" spans="27:27">
      <c r="AA396" s="926"/>
    </row>
    <row r="397" spans="27:27">
      <c r="AA397" s="926"/>
    </row>
    <row r="398" spans="27:27">
      <c r="AA398" s="926"/>
    </row>
    <row r="399" spans="27:27">
      <c r="AA399" s="926"/>
    </row>
    <row r="400" spans="27:27">
      <c r="AA400" s="926"/>
    </row>
    <row r="401" spans="27:27">
      <c r="AA401" s="926"/>
    </row>
    <row r="402" spans="27:27">
      <c r="AA402" s="926"/>
    </row>
    <row r="403" spans="27:27">
      <c r="AA403" s="926"/>
    </row>
    <row r="404" spans="27:27">
      <c r="AA404" s="926"/>
    </row>
    <row r="405" spans="27:27">
      <c r="AA405" s="926"/>
    </row>
    <row r="406" spans="27:27">
      <c r="AA406" s="926"/>
    </row>
    <row r="407" spans="27:27">
      <c r="AA407" s="926"/>
    </row>
    <row r="408" spans="27:27">
      <c r="AA408" s="926"/>
    </row>
    <row r="409" spans="27:27">
      <c r="AA409" s="926"/>
    </row>
    <row r="410" spans="27:27">
      <c r="AA410" s="926"/>
    </row>
    <row r="411" spans="27:27">
      <c r="AA411" s="926"/>
    </row>
    <row r="412" spans="27:27">
      <c r="AA412" s="926"/>
    </row>
    <row r="413" spans="27:27">
      <c r="AA413" s="926"/>
    </row>
    <row r="414" spans="27:27">
      <c r="AA414" s="926"/>
    </row>
    <row r="415" spans="27:27">
      <c r="AA415" s="926"/>
    </row>
    <row r="416" spans="27:27">
      <c r="AA416" s="926"/>
    </row>
    <row r="417" spans="27:27">
      <c r="AA417" s="926"/>
    </row>
    <row r="418" spans="27:27">
      <c r="AA418" s="926"/>
    </row>
    <row r="419" spans="27:27">
      <c r="AA419" s="926"/>
    </row>
    <row r="420" spans="27:27">
      <c r="AA420" s="926"/>
    </row>
    <row r="421" spans="27:27">
      <c r="AA421" s="926"/>
    </row>
    <row r="422" spans="27:27">
      <c r="AA422" s="926"/>
    </row>
    <row r="423" spans="27:27">
      <c r="AA423" s="926"/>
    </row>
    <row r="424" spans="27:27">
      <c r="AA424" s="926"/>
    </row>
    <row r="425" spans="27:27">
      <c r="AA425" s="926"/>
    </row>
    <row r="426" spans="27:27">
      <c r="AA426" s="926"/>
    </row>
    <row r="427" spans="27:27">
      <c r="AA427" s="926"/>
    </row>
    <row r="428" spans="27:27">
      <c r="AA428" s="926"/>
    </row>
    <row r="429" spans="27:27">
      <c r="AA429" s="926"/>
    </row>
    <row r="430" spans="27:27">
      <c r="AA430" s="926"/>
    </row>
    <row r="431" spans="27:27">
      <c r="AA431" s="926"/>
    </row>
    <row r="432" spans="27:27">
      <c r="AA432" s="926"/>
    </row>
    <row r="433" spans="27:27">
      <c r="AA433" s="926"/>
    </row>
    <row r="434" spans="27:27">
      <c r="AA434" s="926"/>
    </row>
    <row r="435" spans="27:27">
      <c r="AA435" s="926"/>
    </row>
    <row r="436" spans="27:27">
      <c r="AA436" s="926"/>
    </row>
    <row r="437" spans="27:27">
      <c r="AA437" s="926"/>
    </row>
    <row r="438" spans="27:27">
      <c r="AA438" s="926"/>
    </row>
    <row r="439" spans="27:27">
      <c r="AA439" s="926"/>
    </row>
    <row r="440" spans="27:27">
      <c r="AA440" s="926"/>
    </row>
    <row r="441" spans="27:27">
      <c r="AA441" s="926"/>
    </row>
    <row r="442" spans="27:27">
      <c r="AA442" s="926"/>
    </row>
    <row r="443" spans="27:27">
      <c r="AA443" s="926"/>
    </row>
    <row r="444" spans="27:27">
      <c r="AA444" s="926"/>
    </row>
    <row r="445" spans="27:27">
      <c r="AA445" s="926"/>
    </row>
    <row r="446" spans="27:27">
      <c r="AA446" s="926"/>
    </row>
    <row r="447" spans="27:27">
      <c r="AA447" s="926"/>
    </row>
    <row r="448" spans="27:27">
      <c r="AA448" s="926"/>
    </row>
    <row r="449" spans="27:27">
      <c r="AA449" s="926"/>
    </row>
    <row r="450" spans="27:27">
      <c r="AA450" s="926"/>
    </row>
    <row r="451" spans="27:27">
      <c r="AA451" s="926"/>
    </row>
    <row r="452" spans="27:27">
      <c r="AA452" s="926"/>
    </row>
    <row r="453" spans="27:27">
      <c r="AA453" s="926"/>
    </row>
    <row r="454" spans="27:27">
      <c r="AA454" s="926"/>
    </row>
    <row r="455" spans="27:27">
      <c r="AA455" s="926"/>
    </row>
    <row r="456" spans="27:27">
      <c r="AA456" s="926"/>
    </row>
    <row r="457" spans="27:27">
      <c r="AA457" s="926"/>
    </row>
    <row r="458" spans="27:27">
      <c r="AA458" s="926"/>
    </row>
    <row r="459" spans="27:27">
      <c r="AA459" s="926"/>
    </row>
    <row r="460" spans="27:27">
      <c r="AA460" s="926"/>
    </row>
    <row r="461" spans="27:27">
      <c r="AA461" s="926"/>
    </row>
    <row r="462" spans="27:27">
      <c r="AA462" s="926"/>
    </row>
    <row r="463" spans="27:27">
      <c r="AA463" s="926"/>
    </row>
    <row r="464" spans="27:27">
      <c r="AA464" s="926"/>
    </row>
    <row r="465" spans="27:27">
      <c r="AA465" s="926"/>
    </row>
    <row r="466" spans="27:27">
      <c r="AA466" s="926"/>
    </row>
    <row r="467" spans="27:27">
      <c r="AA467" s="926"/>
    </row>
    <row r="468" spans="27:27">
      <c r="AA468" s="926"/>
    </row>
    <row r="469" spans="27:27">
      <c r="AA469" s="926"/>
    </row>
    <row r="470" spans="27:27">
      <c r="AA470" s="926"/>
    </row>
    <row r="471" spans="27:27">
      <c r="AA471" s="926"/>
    </row>
    <row r="472" spans="27:27">
      <c r="AA472" s="926"/>
    </row>
    <row r="473" spans="27:27">
      <c r="AA473" s="926"/>
    </row>
    <row r="474" spans="27:27">
      <c r="AA474" s="926"/>
    </row>
    <row r="475" spans="27:27">
      <c r="AA475" s="926"/>
    </row>
    <row r="476" spans="27:27">
      <c r="AA476" s="926"/>
    </row>
    <row r="477" spans="27:27">
      <c r="AA477" s="926"/>
    </row>
    <row r="478" spans="27:27">
      <c r="AA478" s="926"/>
    </row>
    <row r="479" spans="27:27">
      <c r="AA479" s="926"/>
    </row>
    <row r="480" spans="27:27">
      <c r="AA480" s="926"/>
    </row>
    <row r="481" spans="27:27">
      <c r="AA481" s="926"/>
    </row>
    <row r="482" spans="27:27">
      <c r="AA482" s="926"/>
    </row>
    <row r="483" spans="27:27">
      <c r="AA483" s="926"/>
    </row>
    <row r="484" spans="27:27">
      <c r="AA484" s="926"/>
    </row>
    <row r="485" spans="27:27">
      <c r="AA485" s="926"/>
    </row>
    <row r="486" spans="27:27">
      <c r="AA486" s="926"/>
    </row>
    <row r="487" spans="27:27">
      <c r="AA487" s="926"/>
    </row>
    <row r="488" spans="27:27">
      <c r="AA488" s="926"/>
    </row>
    <row r="489" spans="27:27">
      <c r="AA489" s="926"/>
    </row>
    <row r="490" spans="27:27">
      <c r="AA490" s="926"/>
    </row>
    <row r="491" spans="27:27">
      <c r="AA491" s="926"/>
    </row>
    <row r="492" spans="27:27">
      <c r="AA492" s="926"/>
    </row>
    <row r="493" spans="27:27">
      <c r="AA493" s="926"/>
    </row>
    <row r="494" spans="27:27">
      <c r="AA494" s="926"/>
    </row>
    <row r="495" spans="27:27">
      <c r="AA495" s="926"/>
    </row>
    <row r="496" spans="27:27">
      <c r="AA496" s="926"/>
    </row>
    <row r="497" spans="27:27">
      <c r="AA497" s="926"/>
    </row>
    <row r="498" spans="27:27">
      <c r="AA498" s="926"/>
    </row>
    <row r="499" spans="27:27">
      <c r="AA499" s="926"/>
    </row>
    <row r="500" spans="27:27">
      <c r="AA500" s="926"/>
    </row>
    <row r="501" spans="27:27">
      <c r="AA501" s="926"/>
    </row>
    <row r="502" spans="27:27">
      <c r="AA502" s="926"/>
    </row>
    <row r="503" spans="27:27">
      <c r="AA503" s="926"/>
    </row>
    <row r="504" spans="27:27">
      <c r="AA504" s="926"/>
    </row>
    <row r="505" spans="27:27">
      <c r="AA505" s="926"/>
    </row>
    <row r="506" spans="27:27">
      <c r="AA506" s="926"/>
    </row>
    <row r="507" spans="27:27">
      <c r="AA507" s="926"/>
    </row>
    <row r="508" spans="27:27">
      <c r="AA508" s="926"/>
    </row>
    <row r="509" spans="27:27">
      <c r="AA509" s="926"/>
    </row>
    <row r="510" spans="27:27">
      <c r="AA510" s="926"/>
    </row>
    <row r="511" spans="27:27">
      <c r="AA511" s="926"/>
    </row>
    <row r="512" spans="27:27">
      <c r="AA512" s="926"/>
    </row>
    <row r="513" spans="27:27">
      <c r="AA513" s="926"/>
    </row>
    <row r="514" spans="27:27">
      <c r="AA514" s="926"/>
    </row>
    <row r="515" spans="27:27">
      <c r="AA515" s="926"/>
    </row>
    <row r="516" spans="27:27">
      <c r="AA516" s="926"/>
    </row>
    <row r="517" spans="27:27">
      <c r="AA517" s="926"/>
    </row>
    <row r="518" spans="27:27">
      <c r="AA518" s="926"/>
    </row>
    <row r="519" spans="27:27">
      <c r="AA519" s="926"/>
    </row>
    <row r="520" spans="27:27">
      <c r="AA520" s="926"/>
    </row>
    <row r="521" spans="27:27">
      <c r="AA521" s="926"/>
    </row>
    <row r="522" spans="27:27">
      <c r="AA522" s="926"/>
    </row>
    <row r="523" spans="27:27">
      <c r="AA523" s="926"/>
    </row>
    <row r="524" spans="27:27">
      <c r="AA524" s="926"/>
    </row>
    <row r="525" spans="27:27">
      <c r="AA525" s="926"/>
    </row>
    <row r="526" spans="27:27">
      <c r="AA526" s="926"/>
    </row>
    <row r="527" spans="27:27">
      <c r="AA527" s="926"/>
    </row>
    <row r="528" spans="27:27">
      <c r="AA528" s="926"/>
    </row>
    <row r="529" spans="27:27">
      <c r="AA529" s="926"/>
    </row>
    <row r="530" spans="27:27">
      <c r="AA530" s="926"/>
    </row>
    <row r="531" spans="27:27">
      <c r="AA531" s="926"/>
    </row>
    <row r="532" spans="27:27">
      <c r="AA532" s="926"/>
    </row>
    <row r="533" spans="27:27">
      <c r="AA533" s="926"/>
    </row>
    <row r="534" spans="27:27">
      <c r="AA534" s="926"/>
    </row>
    <row r="535" spans="27:27">
      <c r="AA535" s="926"/>
    </row>
    <row r="536" spans="27:27">
      <c r="AA536" s="926"/>
    </row>
    <row r="537" spans="27:27">
      <c r="AA537" s="926"/>
    </row>
    <row r="538" spans="27:27">
      <c r="AA538" s="926"/>
    </row>
    <row r="539" spans="27:27">
      <c r="AA539" s="926"/>
    </row>
    <row r="540" spans="27:27">
      <c r="AA540" s="926"/>
    </row>
    <row r="541" spans="27:27">
      <c r="AA541" s="926"/>
    </row>
    <row r="542" spans="27:27">
      <c r="AA542" s="926"/>
    </row>
    <row r="543" spans="27:27">
      <c r="AA543" s="926"/>
    </row>
    <row r="544" spans="27:27">
      <c r="AA544" s="926"/>
    </row>
    <row r="545" spans="27:27">
      <c r="AA545" s="926"/>
    </row>
    <row r="546" spans="27:27">
      <c r="AA546" s="926"/>
    </row>
    <row r="547" spans="27:27">
      <c r="AA547" s="926"/>
    </row>
    <row r="548" spans="27:27">
      <c r="AA548" s="926"/>
    </row>
    <row r="549" spans="27:27">
      <c r="AA549" s="926"/>
    </row>
    <row r="550" spans="27:27">
      <c r="AA550" s="926"/>
    </row>
    <row r="551" spans="27:27">
      <c r="AA551" s="926"/>
    </row>
    <row r="552" spans="27:27">
      <c r="AA552" s="926"/>
    </row>
    <row r="553" spans="27:27">
      <c r="AA553" s="926"/>
    </row>
    <row r="554" spans="27:27">
      <c r="AA554" s="926"/>
    </row>
    <row r="555" spans="27:27">
      <c r="AA555" s="926"/>
    </row>
    <row r="556" spans="27:27">
      <c r="AA556" s="926"/>
    </row>
    <row r="557" spans="27:27">
      <c r="AA557" s="926"/>
    </row>
    <row r="558" spans="27:27">
      <c r="AA558" s="926"/>
    </row>
    <row r="559" spans="27:27">
      <c r="AA559" s="926"/>
    </row>
    <row r="560" spans="27:27">
      <c r="AA560" s="926"/>
    </row>
    <row r="561" spans="27:27">
      <c r="AA561" s="926"/>
    </row>
    <row r="562" spans="27:27">
      <c r="AA562" s="926"/>
    </row>
    <row r="563" spans="27:27">
      <c r="AA563" s="926"/>
    </row>
    <row r="564" spans="27:27">
      <c r="AA564" s="926"/>
    </row>
    <row r="565" spans="27:27">
      <c r="AA565" s="926"/>
    </row>
    <row r="566" spans="27:27">
      <c r="AA566" s="926"/>
    </row>
    <row r="567" spans="27:27">
      <c r="AA567" s="926"/>
    </row>
    <row r="568" spans="27:27">
      <c r="AA568" s="926"/>
    </row>
    <row r="569" spans="27:27">
      <c r="AA569" s="926"/>
    </row>
    <row r="570" spans="27:27">
      <c r="AA570" s="926"/>
    </row>
    <row r="571" spans="27:27">
      <c r="AA571" s="926"/>
    </row>
    <row r="572" spans="27:27">
      <c r="AA572" s="926"/>
    </row>
    <row r="573" spans="27:27">
      <c r="AA573" s="926"/>
    </row>
    <row r="574" spans="27:27">
      <c r="AA574" s="926"/>
    </row>
    <row r="575" spans="27:27">
      <c r="AA575" s="926"/>
    </row>
    <row r="576" spans="27:27">
      <c r="AA576" s="926"/>
    </row>
    <row r="577" spans="27:27">
      <c r="AA577" s="926"/>
    </row>
    <row r="578" spans="27:27">
      <c r="AA578" s="926"/>
    </row>
    <row r="579" spans="27:27">
      <c r="AA579" s="926"/>
    </row>
    <row r="580" spans="27:27">
      <c r="AA580" s="926"/>
    </row>
    <row r="581" spans="27:27">
      <c r="AA581" s="926"/>
    </row>
    <row r="582" spans="27:27">
      <c r="AA582" s="926"/>
    </row>
    <row r="583" spans="27:27">
      <c r="AA583" s="926"/>
    </row>
    <row r="584" spans="27:27">
      <c r="AA584" s="926"/>
    </row>
    <row r="585" spans="27:27">
      <c r="AA585" s="926"/>
    </row>
    <row r="586" spans="27:27">
      <c r="AA586" s="926"/>
    </row>
    <row r="587" spans="27:27">
      <c r="AA587" s="926"/>
    </row>
    <row r="588" spans="27:27">
      <c r="AA588" s="926"/>
    </row>
    <row r="589" spans="27:27">
      <c r="AA589" s="926"/>
    </row>
    <row r="590" spans="27:27">
      <c r="AA590" s="926"/>
    </row>
    <row r="591" spans="27:27">
      <c r="AA591" s="926"/>
    </row>
    <row r="592" spans="27:27">
      <c r="AA592" s="926"/>
    </row>
    <row r="593" spans="27:27">
      <c r="AA593" s="926"/>
    </row>
    <row r="594" spans="27:27">
      <c r="AA594" s="926"/>
    </row>
    <row r="595" spans="27:27">
      <c r="AA595" s="926"/>
    </row>
    <row r="596" spans="27:27">
      <c r="AA596" s="926"/>
    </row>
    <row r="597" spans="27:27">
      <c r="AA597" s="926"/>
    </row>
    <row r="598" spans="27:27">
      <c r="AA598" s="926"/>
    </row>
    <row r="599" spans="27:27">
      <c r="AA599" s="926"/>
    </row>
    <row r="600" spans="27:27">
      <c r="AA600" s="926"/>
    </row>
    <row r="601" spans="27:27">
      <c r="AA601" s="926"/>
    </row>
    <row r="602" spans="27:27">
      <c r="AA602" s="926"/>
    </row>
    <row r="603" spans="27:27">
      <c r="AA603" s="926"/>
    </row>
    <row r="604" spans="27:27">
      <c r="AA604" s="926"/>
    </row>
    <row r="605" spans="27:27">
      <c r="AA605" s="926"/>
    </row>
    <row r="606" spans="27:27">
      <c r="AA606" s="926"/>
    </row>
    <row r="607" spans="27:27">
      <c r="AA607" s="926"/>
    </row>
    <row r="608" spans="27:27">
      <c r="AA608" s="926"/>
    </row>
    <row r="609" spans="27:27">
      <c r="AA609" s="926"/>
    </row>
    <row r="610" spans="27:27">
      <c r="AA610" s="926"/>
    </row>
    <row r="611" spans="27:27">
      <c r="AA611" s="926"/>
    </row>
    <row r="612" spans="27:27">
      <c r="AA612" s="926"/>
    </row>
    <row r="613" spans="27:27">
      <c r="AA613" s="926"/>
    </row>
    <row r="614" spans="27:27">
      <c r="AA614" s="926"/>
    </row>
    <row r="615" spans="27:27">
      <c r="AA615" s="926"/>
    </row>
    <row r="616" spans="27:27">
      <c r="AA616" s="926"/>
    </row>
    <row r="617" spans="27:27">
      <c r="AA617" s="926"/>
    </row>
    <row r="618" spans="27:27">
      <c r="AA618" s="926"/>
    </row>
    <row r="619" spans="27:27">
      <c r="AA619" s="926"/>
    </row>
    <row r="620" spans="27:27">
      <c r="AA620" s="926"/>
    </row>
    <row r="621" spans="27:27">
      <c r="AA621" s="926"/>
    </row>
    <row r="622" spans="27:27">
      <c r="AA622" s="926"/>
    </row>
    <row r="623" spans="27:27">
      <c r="AA623" s="926"/>
    </row>
    <row r="624" spans="27:27">
      <c r="AA624" s="926"/>
    </row>
    <row r="625" spans="27:27">
      <c r="AA625" s="926"/>
    </row>
    <row r="626" spans="27:27">
      <c r="AA626" s="926"/>
    </row>
    <row r="627" spans="27:27">
      <c r="AA627" s="926"/>
    </row>
    <row r="628" spans="27:27">
      <c r="AA628" s="926"/>
    </row>
    <row r="629" spans="27:27">
      <c r="AA629" s="926"/>
    </row>
    <row r="630" spans="27:27">
      <c r="AA630" s="926"/>
    </row>
    <row r="631" spans="27:27">
      <c r="AA631" s="926"/>
    </row>
    <row r="632" spans="27:27">
      <c r="AA632" s="926"/>
    </row>
    <row r="633" spans="27:27">
      <c r="AA633" s="926"/>
    </row>
    <row r="634" spans="27:27">
      <c r="AA634" s="926"/>
    </row>
    <row r="635" spans="27:27">
      <c r="AA635" s="926"/>
    </row>
    <row r="636" spans="27:27">
      <c r="AA636" s="926"/>
    </row>
    <row r="637" spans="27:27">
      <c r="AA637" s="926"/>
    </row>
    <row r="638" spans="27:27">
      <c r="AA638" s="926"/>
    </row>
    <row r="639" spans="27:27">
      <c r="AA639" s="926"/>
    </row>
    <row r="640" spans="27:27">
      <c r="AA640" s="926"/>
    </row>
    <row r="641" spans="27:27">
      <c r="AA641" s="926"/>
    </row>
    <row r="642" spans="27:27">
      <c r="AA642" s="926"/>
    </row>
    <row r="643" spans="27:27">
      <c r="AA643" s="926"/>
    </row>
    <row r="644" spans="27:27">
      <c r="AA644" s="926"/>
    </row>
    <row r="645" spans="27:27">
      <c r="AA645" s="926"/>
    </row>
    <row r="646" spans="27:27">
      <c r="AA646" s="926"/>
    </row>
    <row r="647" spans="27:27">
      <c r="AA647" s="926"/>
    </row>
    <row r="648" spans="27:27">
      <c r="AA648" s="926"/>
    </row>
    <row r="649" spans="27:27">
      <c r="AA649" s="926"/>
    </row>
    <row r="650" spans="27:27">
      <c r="AA650" s="926"/>
    </row>
    <row r="651" spans="27:27">
      <c r="AA651" s="926"/>
    </row>
    <row r="652" spans="27:27">
      <c r="AA652" s="926"/>
    </row>
    <row r="653" spans="27:27">
      <c r="AA653" s="926"/>
    </row>
    <row r="654" spans="27:27">
      <c r="AA654" s="926"/>
    </row>
    <row r="655" spans="27:27">
      <c r="AA655" s="926"/>
    </row>
    <row r="656" spans="27:27">
      <c r="AA656" s="926"/>
    </row>
    <row r="657" spans="27:27">
      <c r="AA657" s="926"/>
    </row>
    <row r="658" spans="27:27">
      <c r="AA658" s="926"/>
    </row>
    <row r="659" spans="27:27">
      <c r="AA659" s="926"/>
    </row>
    <row r="660" spans="27:27">
      <c r="AA660" s="926"/>
    </row>
    <row r="661" spans="27:27">
      <c r="AA661" s="926"/>
    </row>
    <row r="662" spans="27:27">
      <c r="AA662" s="926"/>
    </row>
    <row r="663" spans="27:27">
      <c r="AA663" s="926"/>
    </row>
    <row r="664" spans="27:27">
      <c r="AA664" s="926"/>
    </row>
    <row r="665" spans="27:27">
      <c r="AA665" s="926"/>
    </row>
    <row r="666" spans="27:27">
      <c r="AA666" s="926"/>
    </row>
    <row r="667" spans="27:27">
      <c r="AA667" s="926"/>
    </row>
    <row r="668" spans="27:27">
      <c r="AA668" s="926"/>
    </row>
    <row r="669" spans="27:27">
      <c r="AA669" s="926"/>
    </row>
    <row r="670" spans="27:27">
      <c r="AA670" s="926"/>
    </row>
    <row r="671" spans="27:27">
      <c r="AA671" s="926"/>
    </row>
    <row r="672" spans="27:27">
      <c r="AA672" s="926"/>
    </row>
    <row r="673" spans="27:27">
      <c r="AA673" s="926"/>
    </row>
    <row r="674" spans="27:27">
      <c r="AA674" s="926"/>
    </row>
    <row r="675" spans="27:27">
      <c r="AA675" s="926"/>
    </row>
    <row r="676" spans="27:27">
      <c r="AA676" s="926"/>
    </row>
    <row r="677" spans="27:27">
      <c r="AA677" s="926"/>
    </row>
    <row r="678" spans="27:27">
      <c r="AA678" s="926"/>
    </row>
    <row r="679" spans="27:27">
      <c r="AA679" s="926"/>
    </row>
    <row r="680" spans="27:27">
      <c r="AA680" s="926"/>
    </row>
    <row r="681" spans="27:27">
      <c r="AA681" s="926"/>
    </row>
    <row r="682" spans="27:27">
      <c r="AA682" s="926"/>
    </row>
    <row r="683" spans="27:27">
      <c r="AA683" s="926"/>
    </row>
    <row r="684" spans="27:27">
      <c r="AA684" s="926"/>
    </row>
    <row r="685" spans="27:27">
      <c r="AA685" s="926"/>
    </row>
    <row r="686" spans="27:27">
      <c r="AA686" s="926"/>
    </row>
    <row r="687" spans="27:27">
      <c r="AA687" s="926"/>
    </row>
    <row r="688" spans="27:27">
      <c r="AA688" s="926"/>
    </row>
    <row r="689" spans="27:27">
      <c r="AA689" s="926"/>
    </row>
    <row r="690" spans="27:27">
      <c r="AA690" s="926"/>
    </row>
    <row r="691" spans="27:27">
      <c r="AA691" s="926"/>
    </row>
    <row r="692" spans="27:27">
      <c r="AA692" s="926"/>
    </row>
    <row r="693" spans="27:27">
      <c r="AA693" s="926"/>
    </row>
    <row r="694" spans="27:27">
      <c r="AA694" s="926"/>
    </row>
    <row r="695" spans="27:27">
      <c r="AA695" s="926"/>
    </row>
    <row r="696" spans="27:27">
      <c r="AA696" s="926"/>
    </row>
    <row r="697" spans="27:27">
      <c r="AA697" s="926"/>
    </row>
    <row r="698" spans="27:27">
      <c r="AA698" s="926"/>
    </row>
    <row r="699" spans="27:27">
      <c r="AA699" s="926"/>
    </row>
    <row r="700" spans="27:27">
      <c r="AA700" s="926"/>
    </row>
    <row r="701" spans="27:27">
      <c r="AA701" s="926"/>
    </row>
    <row r="702" spans="27:27">
      <c r="AA702" s="926"/>
    </row>
    <row r="703" spans="27:27">
      <c r="AA703" s="926"/>
    </row>
    <row r="704" spans="27:27">
      <c r="AA704" s="926"/>
    </row>
    <row r="705" spans="27:27">
      <c r="AA705" s="926"/>
    </row>
    <row r="706" spans="27:27">
      <c r="AA706" s="926"/>
    </row>
    <row r="707" spans="27:27">
      <c r="AA707" s="926"/>
    </row>
    <row r="708" spans="27:27">
      <c r="AA708" s="926"/>
    </row>
    <row r="709" spans="27:27">
      <c r="AA709" s="926"/>
    </row>
    <row r="710" spans="27:27">
      <c r="AA710" s="926"/>
    </row>
    <row r="711" spans="27:27">
      <c r="AA711" s="926"/>
    </row>
    <row r="712" spans="27:27">
      <c r="AA712" s="926"/>
    </row>
    <row r="713" spans="27:27">
      <c r="AA713" s="926"/>
    </row>
    <row r="714" spans="27:27">
      <c r="AA714" s="926"/>
    </row>
    <row r="715" spans="27:27">
      <c r="AA715" s="926"/>
    </row>
    <row r="716" spans="27:27">
      <c r="AA716" s="926"/>
    </row>
    <row r="717" spans="27:27">
      <c r="AA717" s="926"/>
    </row>
    <row r="718" spans="27:27">
      <c r="AA718" s="926"/>
    </row>
    <row r="719" spans="27:27">
      <c r="AA719" s="926"/>
    </row>
    <row r="720" spans="27:27">
      <c r="AA720" s="926"/>
    </row>
    <row r="721" spans="27:27">
      <c r="AA721" s="926"/>
    </row>
    <row r="722" spans="27:27">
      <c r="AA722" s="926"/>
    </row>
    <row r="723" spans="27:27">
      <c r="AA723" s="926"/>
    </row>
    <row r="724" spans="27:27">
      <c r="AA724" s="926"/>
    </row>
    <row r="725" spans="27:27">
      <c r="AA725" s="926"/>
    </row>
    <row r="726" spans="27:27">
      <c r="AA726" s="926"/>
    </row>
    <row r="727" spans="27:27">
      <c r="AA727" s="926"/>
    </row>
    <row r="728" spans="27:27">
      <c r="AA728" s="926"/>
    </row>
    <row r="729" spans="27:27">
      <c r="AA729" s="926"/>
    </row>
    <row r="730" spans="27:27">
      <c r="AA730" s="926"/>
    </row>
    <row r="731" spans="27:27">
      <c r="AA731" s="926"/>
    </row>
    <row r="732" spans="27:27">
      <c r="AA732" s="926"/>
    </row>
    <row r="733" spans="27:27">
      <c r="AA733" s="926"/>
    </row>
    <row r="734" spans="27:27">
      <c r="AA734" s="926"/>
    </row>
    <row r="735" spans="27:27">
      <c r="AA735" s="926"/>
    </row>
    <row r="736" spans="27:27">
      <c r="AA736" s="926"/>
    </row>
    <row r="737" spans="27:27">
      <c r="AA737" s="926"/>
    </row>
    <row r="738" spans="27:27">
      <c r="AA738" s="926"/>
    </row>
    <row r="739" spans="27:27">
      <c r="AA739" s="926"/>
    </row>
    <row r="740" spans="27:27">
      <c r="AA740" s="926"/>
    </row>
    <row r="741" spans="27:27">
      <c r="AA741" s="926"/>
    </row>
    <row r="742" spans="27:27">
      <c r="AA742" s="926"/>
    </row>
    <row r="743" spans="27:27">
      <c r="AA743" s="926"/>
    </row>
    <row r="744" spans="27:27">
      <c r="AA744" s="926"/>
    </row>
    <row r="745" spans="27:27">
      <c r="AA745" s="926"/>
    </row>
    <row r="746" spans="27:27">
      <c r="AA746" s="926"/>
    </row>
    <row r="747" spans="27:27">
      <c r="AA747" s="926"/>
    </row>
    <row r="748" spans="27:27">
      <c r="AA748" s="926"/>
    </row>
    <row r="749" spans="27:27">
      <c r="AA749" s="926"/>
    </row>
    <row r="750" spans="27:27">
      <c r="AA750" s="926"/>
    </row>
    <row r="751" spans="27:27">
      <c r="AA751" s="926"/>
    </row>
    <row r="752" spans="27:27">
      <c r="AA752" s="926"/>
    </row>
    <row r="753" spans="27:27">
      <c r="AA753" s="926"/>
    </row>
    <row r="754" spans="27:27">
      <c r="AA754" s="926"/>
    </row>
    <row r="755" spans="27:27">
      <c r="AA755" s="926"/>
    </row>
    <row r="756" spans="27:27">
      <c r="AA756" s="926"/>
    </row>
    <row r="757" spans="27:27">
      <c r="AA757" s="926"/>
    </row>
    <row r="758" spans="27:27">
      <c r="AA758" s="926"/>
    </row>
    <row r="759" spans="27:27">
      <c r="AA759" s="926"/>
    </row>
    <row r="760" spans="27:27">
      <c r="AA760" s="926"/>
    </row>
    <row r="761" spans="27:27">
      <c r="AA761" s="926"/>
    </row>
    <row r="762" spans="27:27">
      <c r="AA762" s="926"/>
    </row>
    <row r="763" spans="27:27">
      <c r="AA763" s="926"/>
    </row>
    <row r="764" spans="27:27">
      <c r="AA764" s="926"/>
    </row>
    <row r="765" spans="27:27">
      <c r="AA765" s="926"/>
    </row>
    <row r="766" spans="27:27">
      <c r="AA766" s="926"/>
    </row>
    <row r="767" spans="27:27">
      <c r="AA767" s="926"/>
    </row>
    <row r="768" spans="27:27">
      <c r="AA768" s="926"/>
    </row>
    <row r="769" spans="27:27">
      <c r="AA769" s="926"/>
    </row>
    <row r="770" spans="27:27">
      <c r="AA770" s="926"/>
    </row>
    <row r="771" spans="27:27">
      <c r="AA771" s="926"/>
    </row>
    <row r="772" spans="27:27">
      <c r="AA772" s="926"/>
    </row>
    <row r="773" spans="27:27">
      <c r="AA773" s="926"/>
    </row>
    <row r="774" spans="27:27">
      <c r="AA774" s="926"/>
    </row>
    <row r="775" spans="27:27">
      <c r="AA775" s="926"/>
    </row>
    <row r="776" spans="27:27">
      <c r="AA776" s="926"/>
    </row>
    <row r="777" spans="27:27">
      <c r="AA777" s="926"/>
    </row>
    <row r="778" spans="27:27">
      <c r="AA778" s="926"/>
    </row>
    <row r="779" spans="27:27">
      <c r="AA779" s="926"/>
    </row>
    <row r="780" spans="27:27">
      <c r="AA780" s="926"/>
    </row>
    <row r="781" spans="27:27">
      <c r="AA781" s="926"/>
    </row>
    <row r="782" spans="27:27">
      <c r="AA782" s="926"/>
    </row>
    <row r="783" spans="27:27">
      <c r="AA783" s="926"/>
    </row>
    <row r="784" spans="27:27">
      <c r="AA784" s="926"/>
    </row>
    <row r="785" spans="27:27">
      <c r="AA785" s="926"/>
    </row>
    <row r="786" spans="27:27">
      <c r="AA786" s="926"/>
    </row>
    <row r="787" spans="27:27">
      <c r="AA787" s="926"/>
    </row>
    <row r="788" spans="27:27">
      <c r="AA788" s="926"/>
    </row>
    <row r="789" spans="27:27">
      <c r="AA789" s="926"/>
    </row>
    <row r="790" spans="27:27">
      <c r="AA790" s="926"/>
    </row>
    <row r="791" spans="27:27">
      <c r="AA791" s="926"/>
    </row>
    <row r="792" spans="27:27">
      <c r="AA792" s="926"/>
    </row>
    <row r="793" spans="27:27">
      <c r="AA793" s="926"/>
    </row>
    <row r="794" spans="27:27">
      <c r="AA794" s="926"/>
    </row>
    <row r="795" spans="27:27">
      <c r="AA795" s="926"/>
    </row>
    <row r="796" spans="27:27">
      <c r="AA796" s="926"/>
    </row>
    <row r="797" spans="27:27">
      <c r="AA797" s="926"/>
    </row>
    <row r="798" spans="27:27">
      <c r="AA798" s="926"/>
    </row>
    <row r="799" spans="27:27">
      <c r="AA799" s="926"/>
    </row>
    <row r="800" spans="27:27">
      <c r="AA800" s="926"/>
    </row>
    <row r="801" spans="27:27">
      <c r="AA801" s="926"/>
    </row>
    <row r="802" spans="27:27">
      <c r="AA802" s="926"/>
    </row>
    <row r="803" spans="27:27">
      <c r="AA803" s="926"/>
    </row>
    <row r="804" spans="27:27">
      <c r="AA804" s="926"/>
    </row>
    <row r="805" spans="27:27">
      <c r="AA805" s="926"/>
    </row>
    <row r="806" spans="27:27">
      <c r="AA806" s="926"/>
    </row>
    <row r="807" spans="27:27">
      <c r="AA807" s="926"/>
    </row>
    <row r="808" spans="27:27">
      <c r="AA808" s="926"/>
    </row>
    <row r="809" spans="27:27">
      <c r="AA809" s="926"/>
    </row>
    <row r="810" spans="27:27">
      <c r="AA810" s="926"/>
    </row>
    <row r="811" spans="27:27">
      <c r="AA811" s="926"/>
    </row>
    <row r="812" spans="27:27">
      <c r="AA812" s="926"/>
    </row>
    <row r="813" spans="27:27">
      <c r="AA813" s="926"/>
    </row>
    <row r="814" spans="27:27">
      <c r="AA814" s="926"/>
    </row>
    <row r="815" spans="27:27">
      <c r="AA815" s="926"/>
    </row>
    <row r="816" spans="27:27">
      <c r="AA816" s="926"/>
    </row>
    <row r="817" spans="27:27">
      <c r="AA817" s="926"/>
    </row>
    <row r="818" spans="27:27">
      <c r="AA818" s="926"/>
    </row>
    <row r="819" spans="27:27">
      <c r="AA819" s="926"/>
    </row>
    <row r="820" spans="27:27">
      <c r="AA820" s="926"/>
    </row>
    <row r="821" spans="27:27">
      <c r="AA821" s="926"/>
    </row>
    <row r="822" spans="27:27">
      <c r="AA822" s="926"/>
    </row>
    <row r="823" spans="27:27">
      <c r="AA823" s="926"/>
    </row>
    <row r="824" spans="27:27">
      <c r="AA824" s="926"/>
    </row>
    <row r="825" spans="27:27">
      <c r="AA825" s="926"/>
    </row>
    <row r="826" spans="27:27">
      <c r="AA826" s="926"/>
    </row>
    <row r="827" spans="27:27">
      <c r="AA827" s="926"/>
    </row>
    <row r="828" spans="27:27">
      <c r="AA828" s="926"/>
    </row>
    <row r="829" spans="27:27">
      <c r="AA829" s="926"/>
    </row>
    <row r="830" spans="27:27">
      <c r="AA830" s="926"/>
    </row>
    <row r="831" spans="27:27">
      <c r="AA831" s="926"/>
    </row>
    <row r="832" spans="27:27">
      <c r="AA832" s="926"/>
    </row>
    <row r="833" spans="27:27">
      <c r="AA833" s="926"/>
    </row>
    <row r="834" spans="27:27">
      <c r="AA834" s="926"/>
    </row>
    <row r="835" spans="27:27">
      <c r="AA835" s="926"/>
    </row>
    <row r="836" spans="27:27">
      <c r="AA836" s="926"/>
    </row>
    <row r="837" spans="27:27">
      <c r="AA837" s="926"/>
    </row>
    <row r="838" spans="27:27">
      <c r="AA838" s="926"/>
    </row>
    <row r="839" spans="27:27">
      <c r="AA839" s="926"/>
    </row>
    <row r="840" spans="27:27">
      <c r="AA840" s="926"/>
    </row>
    <row r="841" spans="27:27">
      <c r="AA841" s="926"/>
    </row>
    <row r="842" spans="27:27">
      <c r="AA842" s="926"/>
    </row>
    <row r="843" spans="27:27">
      <c r="AA843" s="926"/>
    </row>
    <row r="844" spans="27:27">
      <c r="AA844" s="926"/>
    </row>
    <row r="845" spans="27:27">
      <c r="AA845" s="926"/>
    </row>
    <row r="846" spans="27:27">
      <c r="AA846" s="926"/>
    </row>
    <row r="847" spans="27:27">
      <c r="AA847" s="926"/>
    </row>
    <row r="848" spans="27:27">
      <c r="AA848" s="926"/>
    </row>
    <row r="849" spans="27:27">
      <c r="AA849" s="926"/>
    </row>
    <row r="850" spans="27:27">
      <c r="AA850" s="926"/>
    </row>
    <row r="851" spans="27:27">
      <c r="AA851" s="926"/>
    </row>
    <row r="852" spans="27:27">
      <c r="AA852" s="926"/>
    </row>
    <row r="853" spans="27:27">
      <c r="AA853" s="926"/>
    </row>
    <row r="854" spans="27:27">
      <c r="AA854" s="926"/>
    </row>
    <row r="855" spans="27:27">
      <c r="AA855" s="926"/>
    </row>
    <row r="856" spans="27:27">
      <c r="AA856" s="926"/>
    </row>
    <row r="857" spans="27:27">
      <c r="AA857" s="926"/>
    </row>
    <row r="858" spans="27:27">
      <c r="AA858" s="926"/>
    </row>
    <row r="859" spans="27:27">
      <c r="AA859" s="926"/>
    </row>
    <row r="860" spans="27:27">
      <c r="AA860" s="926"/>
    </row>
    <row r="861" spans="27:27">
      <c r="AA861" s="926"/>
    </row>
    <row r="862" spans="27:27">
      <c r="AA862" s="926"/>
    </row>
    <row r="863" spans="27:27">
      <c r="AA863" s="926"/>
    </row>
    <row r="864" spans="27:27">
      <c r="AA864" s="926"/>
    </row>
    <row r="865" spans="27:27">
      <c r="AA865" s="926"/>
    </row>
    <row r="866" spans="27:27">
      <c r="AA866" s="926"/>
    </row>
    <row r="867" spans="27:27">
      <c r="AA867" s="926"/>
    </row>
    <row r="868" spans="27:27">
      <c r="AA868" s="926"/>
    </row>
    <row r="869" spans="27:27">
      <c r="AA869" s="926"/>
    </row>
    <row r="870" spans="27:27">
      <c r="AA870" s="926"/>
    </row>
    <row r="871" spans="27:27">
      <c r="AA871" s="926"/>
    </row>
    <row r="872" spans="27:27">
      <c r="AA872" s="926"/>
    </row>
    <row r="873" spans="27:27">
      <c r="AA873" s="926"/>
    </row>
    <row r="874" spans="27:27">
      <c r="AA874" s="926"/>
    </row>
    <row r="875" spans="27:27">
      <c r="AA875" s="926"/>
    </row>
    <row r="876" spans="27:27">
      <c r="AA876" s="926"/>
    </row>
    <row r="877" spans="27:27">
      <c r="AA877" s="926"/>
    </row>
    <row r="878" spans="27:27">
      <c r="AA878" s="926"/>
    </row>
    <row r="879" spans="27:27">
      <c r="AA879" s="926"/>
    </row>
    <row r="880" spans="27:27">
      <c r="AA880" s="926"/>
    </row>
    <row r="881" spans="27:27">
      <c r="AA881" s="926"/>
    </row>
    <row r="882" spans="27:27">
      <c r="AA882" s="926"/>
    </row>
    <row r="883" spans="27:27">
      <c r="AA883" s="926"/>
    </row>
    <row r="884" spans="27:27">
      <c r="AA884" s="926"/>
    </row>
    <row r="885" spans="27:27">
      <c r="AA885" s="926"/>
    </row>
    <row r="886" spans="27:27">
      <c r="AA886" s="926"/>
    </row>
    <row r="887" spans="27:27">
      <c r="AA887" s="926"/>
    </row>
    <row r="888" spans="27:27">
      <c r="AA888" s="926"/>
    </row>
    <row r="889" spans="27:27">
      <c r="AA889" s="926"/>
    </row>
    <row r="890" spans="27:27">
      <c r="AA890" s="926"/>
    </row>
    <row r="891" spans="27:27">
      <c r="AA891" s="926"/>
    </row>
    <row r="892" spans="27:27">
      <c r="AA892" s="926"/>
    </row>
    <row r="893" spans="27:27">
      <c r="AA893" s="926"/>
    </row>
    <row r="894" spans="27:27">
      <c r="AA894" s="926"/>
    </row>
    <row r="895" spans="27:27">
      <c r="AA895" s="926"/>
    </row>
    <row r="896" spans="27:27">
      <c r="AA896" s="926"/>
    </row>
    <row r="897" spans="27:27">
      <c r="AA897" s="926"/>
    </row>
    <row r="898" spans="27:27">
      <c r="AA898" s="926"/>
    </row>
    <row r="899" spans="27:27">
      <c r="AA899" s="926"/>
    </row>
    <row r="900" spans="27:27">
      <c r="AA900" s="926"/>
    </row>
    <row r="901" spans="27:27">
      <c r="AA901" s="926"/>
    </row>
    <row r="902" spans="27:27">
      <c r="AA902" s="926"/>
    </row>
    <row r="903" spans="27:27">
      <c r="AA903" s="926"/>
    </row>
    <row r="904" spans="27:27">
      <c r="AA904" s="926"/>
    </row>
    <row r="905" spans="27:27">
      <c r="AA905" s="926"/>
    </row>
    <row r="906" spans="27:27">
      <c r="AA906" s="926"/>
    </row>
    <row r="907" spans="27:27">
      <c r="AA907" s="926"/>
    </row>
    <row r="908" spans="27:27">
      <c r="AA908" s="926"/>
    </row>
    <row r="909" spans="27:27">
      <c r="AA909" s="926"/>
    </row>
    <row r="910" spans="27:27">
      <c r="AA910" s="926"/>
    </row>
    <row r="911" spans="27:27">
      <c r="AA911" s="926"/>
    </row>
    <row r="912" spans="27:27">
      <c r="AA912" s="926"/>
    </row>
    <row r="913" spans="27:27">
      <c r="AA913" s="926"/>
    </row>
    <row r="914" spans="27:27">
      <c r="AA914" s="926"/>
    </row>
    <row r="915" spans="27:27">
      <c r="AA915" s="926"/>
    </row>
    <row r="916" spans="27:27">
      <c r="AA916" s="926"/>
    </row>
    <row r="917" spans="27:27">
      <c r="AA917" s="926"/>
    </row>
    <row r="918" spans="27:27">
      <c r="AA918" s="926"/>
    </row>
    <row r="919" spans="27:27">
      <c r="AA919" s="926"/>
    </row>
    <row r="920" spans="27:27">
      <c r="AA920" s="926"/>
    </row>
    <row r="921" spans="27:27">
      <c r="AA921" s="926"/>
    </row>
    <row r="922" spans="27:27">
      <c r="AA922" s="926"/>
    </row>
    <row r="923" spans="27:27">
      <c r="AA923" s="926"/>
    </row>
    <row r="924" spans="27:27">
      <c r="AA924" s="926"/>
    </row>
    <row r="925" spans="27:27">
      <c r="AA925" s="926"/>
    </row>
    <row r="926" spans="27:27">
      <c r="AA926" s="926"/>
    </row>
    <row r="927" spans="27:27">
      <c r="AA927" s="926"/>
    </row>
    <row r="928" spans="27:27">
      <c r="AA928" s="926"/>
    </row>
    <row r="929" spans="27:27">
      <c r="AA929" s="926"/>
    </row>
    <row r="930" spans="27:27">
      <c r="AA930" s="926"/>
    </row>
    <row r="931" spans="27:27">
      <c r="AA931" s="926"/>
    </row>
    <row r="932" spans="27:27">
      <c r="AA932" s="926"/>
    </row>
    <row r="933" spans="27:27">
      <c r="AA933" s="926"/>
    </row>
    <row r="934" spans="27:27">
      <c r="AA934" s="926"/>
    </row>
    <row r="935" spans="27:27">
      <c r="AA935" s="926"/>
    </row>
    <row r="936" spans="27:27">
      <c r="AA936" s="926"/>
    </row>
    <row r="937" spans="27:27">
      <c r="AA937" s="926"/>
    </row>
    <row r="938" spans="27:27">
      <c r="AA938" s="926"/>
    </row>
    <row r="939" spans="27:27">
      <c r="AA939" s="926"/>
    </row>
    <row r="940" spans="27:27">
      <c r="AA940" s="926"/>
    </row>
    <row r="941" spans="27:27">
      <c r="AA941" s="926"/>
    </row>
    <row r="942" spans="27:27">
      <c r="AA942" s="926"/>
    </row>
    <row r="943" spans="27:27">
      <c r="AA943" s="926"/>
    </row>
    <row r="944" spans="27:27">
      <c r="AA944" s="926"/>
    </row>
    <row r="945" spans="27:27">
      <c r="AA945" s="926"/>
    </row>
    <row r="946" spans="27:27">
      <c r="AA946" s="926"/>
    </row>
    <row r="947" spans="27:27">
      <c r="AA947" s="926"/>
    </row>
    <row r="948" spans="27:27">
      <c r="AA948" s="926"/>
    </row>
    <row r="949" spans="27:27">
      <c r="AA949" s="926"/>
    </row>
    <row r="950" spans="27:27">
      <c r="AA950" s="926"/>
    </row>
    <row r="951" spans="27:27">
      <c r="AA951" s="926"/>
    </row>
    <row r="952" spans="27:27">
      <c r="AA952" s="926"/>
    </row>
    <row r="953" spans="27:27">
      <c r="AA953" s="926"/>
    </row>
    <row r="954" spans="27:27">
      <c r="AA954" s="926"/>
    </row>
    <row r="955" spans="27:27">
      <c r="AA955" s="926"/>
    </row>
    <row r="956" spans="27:27">
      <c r="AA956" s="926"/>
    </row>
    <row r="957" spans="27:27">
      <c r="AA957" s="926"/>
    </row>
    <row r="958" spans="27:27">
      <c r="AA958" s="926"/>
    </row>
    <row r="959" spans="27:27">
      <c r="AA959" s="926"/>
    </row>
    <row r="960" spans="27:27">
      <c r="AA960" s="926"/>
    </row>
    <row r="961" spans="27:27">
      <c r="AA961" s="926"/>
    </row>
    <row r="962" spans="27:27">
      <c r="AA962" s="926"/>
    </row>
    <row r="963" spans="27:27">
      <c r="AA963" s="926"/>
    </row>
    <row r="964" spans="27:27">
      <c r="AA964" s="926"/>
    </row>
    <row r="965" spans="27:27">
      <c r="AA965" s="926"/>
    </row>
    <row r="966" spans="27:27">
      <c r="AA966" s="926"/>
    </row>
    <row r="967" spans="27:27">
      <c r="AA967" s="926"/>
    </row>
    <row r="968" spans="27:27">
      <c r="AA968" s="926"/>
    </row>
    <row r="969" spans="27:27">
      <c r="AA969" s="926"/>
    </row>
    <row r="970" spans="27:27">
      <c r="AA970" s="926"/>
    </row>
    <row r="971" spans="27:27">
      <c r="AA971" s="926"/>
    </row>
    <row r="972" spans="27:27">
      <c r="AA972" s="926"/>
    </row>
    <row r="973" spans="27:27">
      <c r="AA973" s="926"/>
    </row>
    <row r="974" spans="27:27">
      <c r="AA974" s="926"/>
    </row>
    <row r="975" spans="27:27">
      <c r="AA975" s="926"/>
    </row>
    <row r="976" spans="27:27">
      <c r="AA976" s="926"/>
    </row>
    <row r="977" spans="27:27">
      <c r="AA977" s="926"/>
    </row>
    <row r="978" spans="27:27">
      <c r="AA978" s="926"/>
    </row>
    <row r="979" spans="27:27">
      <c r="AA979" s="926"/>
    </row>
    <row r="980" spans="27:27">
      <c r="AA980" s="926"/>
    </row>
    <row r="981" spans="27:27">
      <c r="AA981" s="926"/>
    </row>
    <row r="982" spans="27:27">
      <c r="AA982" s="926"/>
    </row>
    <row r="983" spans="27:27">
      <c r="AA983" s="926"/>
    </row>
    <row r="984" spans="27:27">
      <c r="AA984" s="926"/>
    </row>
    <row r="985" spans="27:27">
      <c r="AA985" s="926"/>
    </row>
    <row r="986" spans="27:27">
      <c r="AA986" s="926"/>
    </row>
    <row r="987" spans="27:27">
      <c r="AA987" s="926"/>
    </row>
    <row r="988" spans="27:27">
      <c r="AA988" s="926"/>
    </row>
    <row r="989" spans="27:27">
      <c r="AA989" s="926"/>
    </row>
    <row r="990" spans="27:27">
      <c r="AA990" s="926"/>
    </row>
    <row r="991" spans="27:27">
      <c r="AA991" s="926"/>
    </row>
    <row r="992" spans="27:27">
      <c r="AA992" s="926"/>
    </row>
    <row r="993" spans="27:27">
      <c r="AA993" s="926"/>
    </row>
    <row r="994" spans="27:27">
      <c r="AA994" s="926"/>
    </row>
    <row r="995" spans="27:27">
      <c r="AA995" s="926"/>
    </row>
    <row r="996" spans="27:27">
      <c r="AA996" s="926"/>
    </row>
    <row r="997" spans="27:27">
      <c r="AA997" s="926"/>
    </row>
    <row r="998" spans="27:27">
      <c r="AA998" s="926"/>
    </row>
    <row r="999" spans="27:27">
      <c r="AA999" s="926"/>
    </row>
    <row r="1000" spans="27:27">
      <c r="AA1000" s="926"/>
    </row>
    <row r="1001" spans="27:27">
      <c r="AA1001" s="926"/>
    </row>
    <row r="1002" spans="27:27">
      <c r="AA1002" s="926"/>
    </row>
    <row r="1003" spans="27:27">
      <c r="AA1003" s="926"/>
    </row>
    <row r="1004" spans="27:27">
      <c r="AA1004" s="926"/>
    </row>
    <row r="1005" spans="27:27">
      <c r="AA1005" s="926"/>
    </row>
    <row r="1006" spans="27:27">
      <c r="AA1006" s="926"/>
    </row>
    <row r="1007" spans="27:27">
      <c r="AA1007" s="926"/>
    </row>
    <row r="1008" spans="27:27">
      <c r="AA1008" s="926"/>
    </row>
    <row r="1009" spans="27:27">
      <c r="AA1009" s="926"/>
    </row>
    <row r="1010" spans="27:27">
      <c r="AA1010" s="926"/>
    </row>
    <row r="1011" spans="27:27">
      <c r="AA1011" s="926"/>
    </row>
    <row r="1012" spans="27:27">
      <c r="AA1012" s="926"/>
    </row>
    <row r="1013" spans="27:27">
      <c r="AA1013" s="926"/>
    </row>
    <row r="1014" spans="27:27">
      <c r="AA1014" s="926"/>
    </row>
    <row r="1015" spans="27:27">
      <c r="AA1015" s="926"/>
    </row>
    <row r="1016" spans="27:27">
      <c r="AA1016" s="926"/>
    </row>
    <row r="1017" spans="27:27">
      <c r="AA1017" s="926"/>
    </row>
    <row r="1018" spans="27:27">
      <c r="AA1018" s="926"/>
    </row>
    <row r="1019" spans="27:27">
      <c r="AA1019" s="926"/>
    </row>
    <row r="1020" spans="27:27">
      <c r="AA1020" s="926"/>
    </row>
    <row r="1021" spans="27:27">
      <c r="AA1021" s="926"/>
    </row>
    <row r="1022" spans="27:27">
      <c r="AA1022" s="926"/>
    </row>
    <row r="1023" spans="27:27">
      <c r="AA1023" s="926"/>
    </row>
    <row r="1024" spans="27:27">
      <c r="AA1024" s="926"/>
    </row>
    <row r="1025" spans="27:27">
      <c r="AA1025" s="926"/>
    </row>
    <row r="1026" spans="27:27">
      <c r="AA1026" s="926"/>
    </row>
    <row r="1027" spans="27:27">
      <c r="AA1027" s="926"/>
    </row>
    <row r="1028" spans="27:27">
      <c r="AA1028" s="926"/>
    </row>
    <row r="1029" spans="27:27">
      <c r="AA1029" s="926"/>
    </row>
    <row r="1030" spans="27:27">
      <c r="AA1030" s="926"/>
    </row>
    <row r="1031" spans="27:27">
      <c r="AA1031" s="926"/>
    </row>
    <row r="1032" spans="27:27">
      <c r="AA1032" s="926"/>
    </row>
    <row r="1033" spans="27:27">
      <c r="AA1033" s="926"/>
    </row>
    <row r="1034" spans="27:27">
      <c r="AA1034" s="926"/>
    </row>
    <row r="1035" spans="27:27">
      <c r="AA1035" s="926"/>
    </row>
    <row r="1036" spans="27:27">
      <c r="AA1036" s="926"/>
    </row>
    <row r="1037" spans="27:27">
      <c r="AA1037" s="926"/>
    </row>
    <row r="1038" spans="27:27">
      <c r="AA1038" s="926"/>
    </row>
    <row r="1039" spans="27:27">
      <c r="AA1039" s="926"/>
    </row>
    <row r="1040" spans="27:27">
      <c r="AA1040" s="926"/>
    </row>
    <row r="1041" spans="27:27">
      <c r="AA1041" s="926"/>
    </row>
    <row r="1042" spans="27:27">
      <c r="AA1042" s="926"/>
    </row>
    <row r="1043" spans="27:27">
      <c r="AA1043" s="926"/>
    </row>
    <row r="1044" spans="27:27">
      <c r="AA1044" s="926"/>
    </row>
    <row r="1045" spans="27:27">
      <c r="AA1045" s="926"/>
    </row>
    <row r="1046" spans="27:27">
      <c r="AA1046" s="926"/>
    </row>
    <row r="1047" spans="27:27">
      <c r="AA1047" s="926"/>
    </row>
    <row r="1048" spans="27:27">
      <c r="AA1048" s="926"/>
    </row>
    <row r="1049" spans="27:27">
      <c r="AA1049" s="926"/>
    </row>
    <row r="1050" spans="27:27">
      <c r="AA1050" s="926"/>
    </row>
    <row r="1051" spans="27:27">
      <c r="AA1051" s="926"/>
    </row>
    <row r="1052" spans="27:27">
      <c r="AA1052" s="926"/>
    </row>
    <row r="1053" spans="27:27">
      <c r="AA1053" s="926"/>
    </row>
    <row r="1054" spans="27:27">
      <c r="AA1054" s="926"/>
    </row>
    <row r="1055" spans="27:27">
      <c r="AA1055" s="926"/>
    </row>
    <row r="1056" spans="27:27">
      <c r="AA1056" s="926"/>
    </row>
    <row r="1057" spans="27:27">
      <c r="AA1057" s="926"/>
    </row>
    <row r="1058" spans="27:27">
      <c r="AA1058" s="926"/>
    </row>
    <row r="1059" spans="27:27">
      <c r="AA1059" s="926"/>
    </row>
    <row r="1060" spans="27:27">
      <c r="AA1060" s="926"/>
    </row>
    <row r="1061" spans="27:27">
      <c r="AA1061" s="926"/>
    </row>
    <row r="1062" spans="27:27">
      <c r="AA1062" s="926"/>
    </row>
    <row r="1063" spans="27:27">
      <c r="AA1063" s="926"/>
    </row>
    <row r="1064" spans="27:27">
      <c r="AA1064" s="926"/>
    </row>
    <row r="1065" spans="27:27">
      <c r="AA1065" s="926"/>
    </row>
    <row r="1066" spans="27:27">
      <c r="AA1066" s="926"/>
    </row>
    <row r="1067" spans="27:27">
      <c r="AA1067" s="926"/>
    </row>
    <row r="1068" spans="27:27">
      <c r="AA1068" s="926"/>
    </row>
    <row r="1069" spans="27:27">
      <c r="AA1069" s="926"/>
    </row>
    <row r="1070" spans="27:27">
      <c r="AA1070" s="926"/>
    </row>
    <row r="1071" spans="27:27">
      <c r="AA1071" s="926"/>
    </row>
    <row r="1072" spans="27:27">
      <c r="AA1072" s="926"/>
    </row>
    <row r="1073" spans="27:27">
      <c r="AA1073" s="926"/>
    </row>
    <row r="1074" spans="27:27">
      <c r="AA1074" s="926"/>
    </row>
    <row r="1075" spans="27:27">
      <c r="AA1075" s="926"/>
    </row>
    <row r="1076" spans="27:27">
      <c r="AA1076" s="926"/>
    </row>
    <row r="1077" spans="27:27">
      <c r="AA1077" s="926"/>
    </row>
    <row r="1078" spans="27:27">
      <c r="AA1078" s="926"/>
    </row>
    <row r="1079" spans="27:27">
      <c r="AA1079" s="926"/>
    </row>
    <row r="1080" spans="27:27">
      <c r="AA1080" s="926"/>
    </row>
    <row r="1081" spans="27:27">
      <c r="AA1081" s="926"/>
    </row>
    <row r="1082" spans="27:27">
      <c r="AA1082" s="926"/>
    </row>
    <row r="1083" spans="27:27">
      <c r="AA1083" s="926"/>
    </row>
    <row r="1084" spans="27:27">
      <c r="AA1084" s="926"/>
    </row>
    <row r="1085" spans="27:27">
      <c r="AA1085" s="926"/>
    </row>
    <row r="1086" spans="27:27">
      <c r="AA1086" s="926"/>
    </row>
    <row r="1087" spans="27:27">
      <c r="AA1087" s="926"/>
    </row>
    <row r="1088" spans="27:27">
      <c r="AA1088" s="926"/>
    </row>
    <row r="1089" spans="27:27">
      <c r="AA1089" s="926"/>
    </row>
    <row r="1090" spans="27:27">
      <c r="AA1090" s="926"/>
    </row>
    <row r="1091" spans="27:27">
      <c r="AA1091" s="926"/>
    </row>
    <row r="1092" spans="27:27">
      <c r="AA1092" s="926"/>
    </row>
    <row r="1093" spans="27:27">
      <c r="AA1093" s="926"/>
    </row>
    <row r="1094" spans="27:27">
      <c r="AA1094" s="926"/>
    </row>
    <row r="1095" spans="27:27">
      <c r="AA1095" s="926"/>
    </row>
    <row r="1096" spans="27:27">
      <c r="AA1096" s="926"/>
    </row>
    <row r="1097" spans="27:27">
      <c r="AA1097" s="926"/>
    </row>
    <row r="1098" spans="27:27">
      <c r="AA1098" s="926"/>
    </row>
    <row r="1099" spans="27:27">
      <c r="AA1099" s="926"/>
    </row>
    <row r="1100" spans="27:27">
      <c r="AA1100" s="926"/>
    </row>
    <row r="1101" spans="27:27">
      <c r="AA1101" s="926"/>
    </row>
    <row r="1102" spans="27:27">
      <c r="AA1102" s="926"/>
    </row>
    <row r="1103" spans="27:27">
      <c r="AA1103" s="926"/>
    </row>
    <row r="1104" spans="27:27">
      <c r="AA1104" s="926"/>
    </row>
    <row r="1105" spans="27:27">
      <c r="AA1105" s="926"/>
    </row>
    <row r="1106" spans="27:27">
      <c r="AA1106" s="926"/>
    </row>
    <row r="1107" spans="27:27">
      <c r="AA1107" s="926"/>
    </row>
    <row r="1108" spans="27:27">
      <c r="AA1108" s="926"/>
    </row>
    <row r="1109" spans="27:27">
      <c r="AA1109" s="926"/>
    </row>
    <row r="1110" spans="27:27">
      <c r="AA1110" s="926"/>
    </row>
    <row r="1111" spans="27:27">
      <c r="AA1111" s="926"/>
    </row>
    <row r="1112" spans="27:27">
      <c r="AA1112" s="926"/>
    </row>
    <row r="1113" spans="27:27">
      <c r="AA1113" s="926"/>
    </row>
    <row r="1114" spans="27:27">
      <c r="AA1114" s="926"/>
    </row>
    <row r="1115" spans="27:27">
      <c r="AA1115" s="926"/>
    </row>
    <row r="1116" spans="27:27">
      <c r="AA1116" s="926"/>
    </row>
    <row r="1117" spans="27:27">
      <c r="AA1117" s="926"/>
    </row>
    <row r="1118" spans="27:27">
      <c r="AA1118" s="926"/>
    </row>
    <row r="1119" spans="27:27">
      <c r="AA1119" s="926"/>
    </row>
    <row r="1120" spans="27:27">
      <c r="AA1120" s="926"/>
    </row>
    <row r="1121" spans="27:27">
      <c r="AA1121" s="926"/>
    </row>
    <row r="1122" spans="27:27">
      <c r="AA1122" s="926"/>
    </row>
    <row r="1123" spans="27:27">
      <c r="AA1123" s="926"/>
    </row>
    <row r="1124" spans="27:27">
      <c r="AA1124" s="926"/>
    </row>
    <row r="1125" spans="27:27">
      <c r="AA1125" s="926"/>
    </row>
    <row r="1126" spans="27:27">
      <c r="AA1126" s="926"/>
    </row>
    <row r="1127" spans="27:27">
      <c r="AA1127" s="926"/>
    </row>
    <row r="1128" spans="27:27">
      <c r="AA1128" s="926"/>
    </row>
    <row r="1129" spans="27:27">
      <c r="AA1129" s="926"/>
    </row>
    <row r="1130" spans="27:27">
      <c r="AA1130" s="926"/>
    </row>
    <row r="1131" spans="27:27">
      <c r="AA1131" s="926"/>
    </row>
    <row r="1132" spans="27:27">
      <c r="AA1132" s="926"/>
    </row>
    <row r="1133" spans="27:27">
      <c r="AA1133" s="926"/>
    </row>
    <row r="1134" spans="27:27">
      <c r="AA1134" s="926"/>
    </row>
    <row r="1135" spans="27:27">
      <c r="AA1135" s="926"/>
    </row>
    <row r="1136" spans="27:27">
      <c r="AA1136" s="926"/>
    </row>
    <row r="1137" spans="27:27">
      <c r="AA1137" s="926"/>
    </row>
    <row r="1138" spans="27:27">
      <c r="AA1138" s="926"/>
    </row>
    <row r="1139" spans="27:27">
      <c r="AA1139" s="926"/>
    </row>
    <row r="1140" spans="27:27">
      <c r="AA1140" s="926"/>
    </row>
    <row r="1141" spans="27:27">
      <c r="AA1141" s="926"/>
    </row>
    <row r="1142" spans="27:27">
      <c r="AA1142" s="926"/>
    </row>
    <row r="1143" spans="27:27">
      <c r="AA1143" s="926"/>
    </row>
    <row r="1144" spans="27:27">
      <c r="AA1144" s="926"/>
    </row>
    <row r="1145" spans="27:27">
      <c r="AA1145" s="926"/>
    </row>
    <row r="1146" spans="27:27">
      <c r="AA1146" s="926"/>
    </row>
    <row r="1147" spans="27:27">
      <c r="AA1147" s="926"/>
    </row>
    <row r="1148" spans="27:27">
      <c r="AA1148" s="926"/>
    </row>
    <row r="1149" spans="27:27">
      <c r="AA1149" s="926"/>
    </row>
    <row r="1150" spans="27:27">
      <c r="AA1150" s="926"/>
    </row>
    <row r="1151" spans="27:27">
      <c r="AA1151" s="926"/>
    </row>
    <row r="1152" spans="27:27">
      <c r="AA1152" s="926"/>
    </row>
    <row r="1153" spans="27:27">
      <c r="AA1153" s="926"/>
    </row>
    <row r="1154" spans="27:27">
      <c r="AA1154" s="926"/>
    </row>
    <row r="1155" spans="27:27">
      <c r="AA1155" s="926"/>
    </row>
    <row r="1156" spans="27:27">
      <c r="AA1156" s="926"/>
    </row>
    <row r="1157" spans="27:27">
      <c r="AA1157" s="926"/>
    </row>
    <row r="1158" spans="27:27">
      <c r="AA1158" s="926"/>
    </row>
    <row r="1159" spans="27:27">
      <c r="AA1159" s="926"/>
    </row>
    <row r="1160" spans="27:27">
      <c r="AA1160" s="926"/>
    </row>
    <row r="1161" spans="27:27">
      <c r="AA1161" s="926"/>
    </row>
    <row r="1162" spans="27:27">
      <c r="AA1162" s="926"/>
    </row>
    <row r="1163" spans="27:27">
      <c r="AA1163" s="926"/>
    </row>
    <row r="1164" spans="27:27">
      <c r="AA1164" s="926"/>
    </row>
    <row r="1165" spans="27:27">
      <c r="AA1165" s="926"/>
    </row>
    <row r="1166" spans="27:27">
      <c r="AA1166" s="926"/>
    </row>
    <row r="1167" spans="27:27">
      <c r="AA1167" s="926"/>
    </row>
    <row r="1168" spans="27:27">
      <c r="AA1168" s="926"/>
    </row>
    <row r="1169" spans="27:27">
      <c r="AA1169" s="926"/>
    </row>
    <row r="1170" spans="27:27">
      <c r="AA1170" s="926"/>
    </row>
    <row r="1171" spans="27:27">
      <c r="AA1171" s="926"/>
    </row>
    <row r="1172" spans="27:27">
      <c r="AA1172" s="926"/>
    </row>
    <row r="1173" spans="27:27">
      <c r="AA1173" s="926"/>
    </row>
    <row r="1174" spans="27:27">
      <c r="AA1174" s="926"/>
    </row>
    <row r="1175" spans="27:27">
      <c r="AA1175" s="926"/>
    </row>
    <row r="1176" spans="27:27">
      <c r="AA1176" s="926"/>
    </row>
    <row r="1177" spans="27:27">
      <c r="AA1177" s="926"/>
    </row>
    <row r="1178" spans="27:27">
      <c r="AA1178" s="926"/>
    </row>
    <row r="1179" spans="27:27">
      <c r="AA1179" s="926"/>
    </row>
    <row r="1180" spans="27:27">
      <c r="AA1180" s="926"/>
    </row>
    <row r="1181" spans="27:27">
      <c r="AA1181" s="926"/>
    </row>
    <row r="1182" spans="27:27">
      <c r="AA1182" s="926"/>
    </row>
    <row r="1183" spans="27:27">
      <c r="AA1183" s="926"/>
    </row>
    <row r="1184" spans="27:27">
      <c r="AA1184" s="926"/>
    </row>
    <row r="1185" spans="27:27">
      <c r="AA1185" s="926"/>
    </row>
    <row r="1186" spans="27:27">
      <c r="AA1186" s="926"/>
    </row>
    <row r="1187" spans="27:27">
      <c r="AA1187" s="926"/>
    </row>
    <row r="1188" spans="27:27">
      <c r="AA1188" s="926"/>
    </row>
    <row r="1189" spans="27:27">
      <c r="AA1189" s="926"/>
    </row>
    <row r="1190" spans="27:27">
      <c r="AA1190" s="926"/>
    </row>
    <row r="1191" spans="27:27">
      <c r="AA1191" s="926"/>
    </row>
    <row r="1192" spans="27:27">
      <c r="AA1192" s="926"/>
    </row>
    <row r="1193" spans="27:27">
      <c r="AA1193" s="926"/>
    </row>
    <row r="1194" spans="27:27">
      <c r="AA1194" s="926"/>
    </row>
    <row r="1195" spans="27:27">
      <c r="AA1195" s="926"/>
    </row>
    <row r="1196" spans="27:27">
      <c r="AA1196" s="926"/>
    </row>
    <row r="1197" spans="27:27">
      <c r="AA1197" s="926"/>
    </row>
    <row r="1198" spans="27:27">
      <c r="AA1198" s="926"/>
    </row>
    <row r="1199" spans="27:27">
      <c r="AA1199" s="926"/>
    </row>
    <row r="1200" spans="27:27">
      <c r="AA1200" s="926"/>
    </row>
    <row r="1201" spans="27:27">
      <c r="AA1201" s="926"/>
    </row>
    <row r="1202" spans="27:27">
      <c r="AA1202" s="926"/>
    </row>
    <row r="1203" spans="27:27">
      <c r="AA1203" s="926"/>
    </row>
    <row r="1204" spans="27:27">
      <c r="AA1204" s="926"/>
    </row>
    <row r="1205" spans="27:27">
      <c r="AA1205" s="926"/>
    </row>
    <row r="1206" spans="27:27">
      <c r="AA1206" s="926"/>
    </row>
    <row r="1207" spans="27:27">
      <c r="AA1207" s="926"/>
    </row>
    <row r="1208" spans="27:27">
      <c r="AA1208" s="926"/>
    </row>
    <row r="1209" spans="27:27">
      <c r="AA1209" s="926"/>
    </row>
    <row r="1210" spans="27:27">
      <c r="AA1210" s="926"/>
    </row>
    <row r="1211" spans="27:27">
      <c r="AA1211" s="926"/>
    </row>
    <row r="1212" spans="27:27">
      <c r="AA1212" s="926"/>
    </row>
    <row r="1213" spans="27:27">
      <c r="AA1213" s="926"/>
    </row>
    <row r="1214" spans="27:27">
      <c r="AA1214" s="926"/>
    </row>
    <row r="1215" spans="27:27">
      <c r="AA1215" s="926"/>
    </row>
    <row r="1216" spans="27:27">
      <c r="AA1216" s="926"/>
    </row>
    <row r="1217" spans="27:27">
      <c r="AA1217" s="926"/>
    </row>
    <row r="1218" spans="27:27">
      <c r="AA1218" s="926"/>
    </row>
    <row r="1219" spans="27:27">
      <c r="AA1219" s="926"/>
    </row>
    <row r="1220" spans="27:27">
      <c r="AA1220" s="926"/>
    </row>
    <row r="1221" spans="27:27">
      <c r="AA1221" s="926"/>
    </row>
    <row r="1222" spans="27:27">
      <c r="AA1222" s="926"/>
    </row>
    <row r="1223" spans="27:27">
      <c r="AA1223" s="926"/>
    </row>
    <row r="1224" spans="27:27">
      <c r="AA1224" s="926"/>
    </row>
    <row r="1225" spans="27:27">
      <c r="AA1225" s="926"/>
    </row>
    <row r="1226" spans="27:27">
      <c r="AA1226" s="926"/>
    </row>
    <row r="1227" spans="27:27">
      <c r="AA1227" s="926"/>
    </row>
    <row r="1228" spans="27:27">
      <c r="AA1228" s="926"/>
    </row>
    <row r="1229" spans="27:27">
      <c r="AA1229" s="926"/>
    </row>
    <row r="1230" spans="27:27">
      <c r="AA1230" s="926"/>
    </row>
    <row r="1231" spans="27:27">
      <c r="AA1231" s="926"/>
    </row>
    <row r="1232" spans="27:27">
      <c r="AA1232" s="926"/>
    </row>
    <row r="1233" spans="27:27">
      <c r="AA1233" s="926"/>
    </row>
    <row r="1234" spans="27:27">
      <c r="AA1234" s="926"/>
    </row>
    <row r="1235" spans="27:27">
      <c r="AA1235" s="926"/>
    </row>
    <row r="1236" spans="27:27">
      <c r="AA1236" s="926"/>
    </row>
    <row r="1237" spans="27:27">
      <c r="AA1237" s="926"/>
    </row>
    <row r="1238" spans="27:27">
      <c r="AA1238" s="926"/>
    </row>
    <row r="1239" spans="27:27">
      <c r="AA1239" s="926"/>
    </row>
    <row r="1240" spans="27:27">
      <c r="AA1240" s="926"/>
    </row>
    <row r="1241" spans="27:27">
      <c r="AA1241" s="926"/>
    </row>
    <row r="1242" spans="27:27">
      <c r="AA1242" s="926"/>
    </row>
    <row r="1243" spans="27:27">
      <c r="AA1243" s="926"/>
    </row>
    <row r="1244" spans="27:27">
      <c r="AA1244" s="926"/>
    </row>
    <row r="1245" spans="27:27">
      <c r="AA1245" s="926"/>
    </row>
    <row r="1246" spans="27:27">
      <c r="AA1246" s="926"/>
    </row>
    <row r="1247" spans="27:27">
      <c r="AA1247" s="926"/>
    </row>
    <row r="1248" spans="27:27">
      <c r="AA1248" s="926"/>
    </row>
    <row r="1249" spans="27:27">
      <c r="AA1249" s="926"/>
    </row>
    <row r="1250" spans="27:27">
      <c r="AA1250" s="926"/>
    </row>
    <row r="1251" spans="27:27">
      <c r="AA1251" s="926"/>
    </row>
    <row r="1252" spans="27:27">
      <c r="AA1252" s="926"/>
    </row>
    <row r="1253" spans="27:27">
      <c r="AA1253" s="926"/>
    </row>
    <row r="1254" spans="27:27">
      <c r="AA1254" s="926"/>
    </row>
    <row r="1255" spans="27:27">
      <c r="AA1255" s="926"/>
    </row>
    <row r="1256" spans="27:27">
      <c r="AA1256" s="926"/>
    </row>
    <row r="1257" spans="27:27">
      <c r="AA1257" s="926"/>
    </row>
    <row r="1258" spans="27:27">
      <c r="AA1258" s="926"/>
    </row>
    <row r="1259" spans="27:27">
      <c r="AA1259" s="926"/>
    </row>
    <row r="1260" spans="27:27">
      <c r="AA1260" s="926"/>
    </row>
    <row r="1261" spans="27:27">
      <c r="AA1261" s="926"/>
    </row>
    <row r="1262" spans="27:27">
      <c r="AA1262" s="926"/>
    </row>
    <row r="1263" spans="27:27">
      <c r="AA1263" s="926"/>
    </row>
    <row r="1264" spans="27:27">
      <c r="AA1264" s="926"/>
    </row>
    <row r="1265" spans="27:27">
      <c r="AA1265" s="926"/>
    </row>
    <row r="1266" spans="27:27">
      <c r="AA1266" s="926"/>
    </row>
    <row r="1267" spans="27:27">
      <c r="AA1267" s="926"/>
    </row>
    <row r="1268" spans="27:27">
      <c r="AA1268" s="926"/>
    </row>
    <row r="1269" spans="27:27">
      <c r="AA1269" s="926"/>
    </row>
    <row r="1270" spans="27:27">
      <c r="AA1270" s="926"/>
    </row>
    <row r="1271" spans="27:27">
      <c r="AA1271" s="926"/>
    </row>
    <row r="1272" spans="27:27">
      <c r="AA1272" s="926"/>
    </row>
    <row r="1273" spans="27:27">
      <c r="AA1273" s="926"/>
    </row>
    <row r="1274" spans="27:27">
      <c r="AA1274" s="926"/>
    </row>
    <row r="1275" spans="27:27">
      <c r="AA1275" s="926"/>
    </row>
    <row r="1276" spans="27:27">
      <c r="AA1276" s="926"/>
    </row>
    <row r="1277" spans="27:27">
      <c r="AA1277" s="926"/>
    </row>
    <row r="1278" spans="27:27">
      <c r="AA1278" s="926"/>
    </row>
    <row r="1279" spans="27:27">
      <c r="AA1279" s="926"/>
    </row>
    <row r="1280" spans="27:27">
      <c r="AA1280" s="926"/>
    </row>
    <row r="1281" spans="27:27">
      <c r="AA1281" s="926"/>
    </row>
    <row r="1282" spans="27:27">
      <c r="AA1282" s="926"/>
    </row>
    <row r="1283" spans="27:27">
      <c r="AA1283" s="926"/>
    </row>
    <row r="1284" spans="27:27">
      <c r="AA1284" s="926"/>
    </row>
    <row r="1285" spans="27:27">
      <c r="AA1285" s="926"/>
    </row>
    <row r="1286" spans="27:27">
      <c r="AA1286" s="926"/>
    </row>
    <row r="1287" spans="27:27">
      <c r="AA1287" s="926"/>
    </row>
    <row r="1288" spans="27:27">
      <c r="AA1288" s="926"/>
    </row>
    <row r="1289" spans="27:27">
      <c r="AA1289" s="926"/>
    </row>
    <row r="1290" spans="27:27">
      <c r="AA1290" s="926"/>
    </row>
    <row r="1291" spans="27:27">
      <c r="AA1291" s="926"/>
    </row>
    <row r="1292" spans="27:27">
      <c r="AA1292" s="926"/>
    </row>
    <row r="1293" spans="27:27">
      <c r="AA1293" s="926"/>
    </row>
    <row r="1294" spans="27:27">
      <c r="AA1294" s="926"/>
    </row>
    <row r="1295" spans="27:27">
      <c r="AA1295" s="926"/>
    </row>
    <row r="1296" spans="27:27">
      <c r="AA1296" s="926"/>
    </row>
    <row r="1297" spans="27:27">
      <c r="AA1297" s="926"/>
    </row>
    <row r="1298" spans="27:27">
      <c r="AA1298" s="926"/>
    </row>
    <row r="1299" spans="27:27">
      <c r="AA1299" s="926"/>
    </row>
    <row r="1300" spans="27:27">
      <c r="AA1300" s="926"/>
    </row>
    <row r="1301" spans="27:27">
      <c r="AA1301" s="926"/>
    </row>
    <row r="1302" spans="27:27">
      <c r="AA1302" s="926"/>
    </row>
    <row r="1303" spans="27:27">
      <c r="AA1303" s="926"/>
    </row>
    <row r="1304" spans="27:27">
      <c r="AA1304" s="926"/>
    </row>
    <row r="1305" spans="27:27">
      <c r="AA1305" s="926"/>
    </row>
    <row r="1306" spans="27:27">
      <c r="AA1306" s="926"/>
    </row>
    <row r="1307" spans="27:27">
      <c r="AA1307" s="926"/>
    </row>
    <row r="1308" spans="27:27">
      <c r="AA1308" s="926"/>
    </row>
    <row r="1309" spans="27:27">
      <c r="AA1309" s="926"/>
    </row>
    <row r="1310" spans="27:27">
      <c r="AA1310" s="926"/>
    </row>
    <row r="1311" spans="27:27">
      <c r="AA1311" s="926"/>
    </row>
    <row r="1312" spans="27:27">
      <c r="AA1312" s="926"/>
    </row>
    <row r="1313" spans="27:27">
      <c r="AA1313" s="926"/>
    </row>
    <row r="1314" spans="27:27">
      <c r="AA1314" s="926"/>
    </row>
    <row r="1315" spans="27:27">
      <c r="AA1315" s="926"/>
    </row>
    <row r="1316" spans="27:27">
      <c r="AA1316" s="926"/>
    </row>
    <row r="1317" spans="27:27">
      <c r="AA1317" s="926"/>
    </row>
    <row r="1318" spans="27:27">
      <c r="AA1318" s="926"/>
    </row>
    <row r="1319" spans="27:27">
      <c r="AA1319" s="926"/>
    </row>
    <row r="1320" spans="27:27">
      <c r="AA1320" s="926"/>
    </row>
    <row r="1321" spans="27:27">
      <c r="AA1321" s="926"/>
    </row>
    <row r="1322" spans="27:27">
      <c r="AA1322" s="926"/>
    </row>
    <row r="1323" spans="27:27">
      <c r="AA1323" s="926"/>
    </row>
    <row r="1324" spans="27:27">
      <c r="AA1324" s="926"/>
    </row>
    <row r="1325" spans="27:27">
      <c r="AA1325" s="926"/>
    </row>
    <row r="1326" spans="27:27">
      <c r="AA1326" s="926"/>
    </row>
    <row r="1327" spans="27:27">
      <c r="AA1327" s="926"/>
    </row>
    <row r="1328" spans="27:27">
      <c r="AA1328" s="926"/>
    </row>
    <row r="1329" spans="27:27">
      <c r="AA1329" s="926"/>
    </row>
    <row r="1330" spans="27:27">
      <c r="AA1330" s="926"/>
    </row>
    <row r="1331" spans="27:27">
      <c r="AA1331" s="926"/>
    </row>
    <row r="1332" spans="27:27">
      <c r="AA1332" s="926"/>
    </row>
    <row r="1333" spans="27:27">
      <c r="AA1333" s="926"/>
    </row>
    <row r="1334" spans="27:27">
      <c r="AA1334" s="926"/>
    </row>
    <row r="1335" spans="27:27">
      <c r="AA1335" s="926"/>
    </row>
    <row r="1336" spans="27:27">
      <c r="AA1336" s="926"/>
    </row>
    <row r="1337" spans="27:27">
      <c r="AA1337" s="926"/>
    </row>
    <row r="1338" spans="27:27">
      <c r="AA1338" s="926"/>
    </row>
    <row r="1339" spans="27:27">
      <c r="AA1339" s="926"/>
    </row>
    <row r="1340" spans="27:27">
      <c r="AA1340" s="926"/>
    </row>
    <row r="1341" spans="27:27">
      <c r="AA1341" s="926"/>
    </row>
    <row r="1342" spans="27:27">
      <c r="AA1342" s="926"/>
    </row>
    <row r="1343" spans="27:27">
      <c r="AA1343" s="926"/>
    </row>
    <row r="1344" spans="27:27">
      <c r="AA1344" s="926"/>
    </row>
    <row r="1345" spans="27:27">
      <c r="AA1345" s="926"/>
    </row>
    <row r="1346" spans="27:27">
      <c r="AA1346" s="926"/>
    </row>
    <row r="1347" spans="27:27">
      <c r="AA1347" s="926"/>
    </row>
    <row r="1348" spans="27:27">
      <c r="AA1348" s="926"/>
    </row>
    <row r="1349" spans="27:27">
      <c r="AA1349" s="926"/>
    </row>
    <row r="1350" spans="27:27">
      <c r="AA1350" s="926"/>
    </row>
    <row r="1351" spans="27:27">
      <c r="AA1351" s="926"/>
    </row>
    <row r="1352" spans="27:27">
      <c r="AA1352" s="926"/>
    </row>
    <row r="1353" spans="27:27">
      <c r="AA1353" s="926"/>
    </row>
    <row r="1354" spans="27:27">
      <c r="AA1354" s="926"/>
    </row>
    <row r="1355" spans="27:27">
      <c r="AA1355" s="926"/>
    </row>
    <row r="1356" spans="27:27">
      <c r="AA1356" s="926"/>
    </row>
    <row r="1357" spans="27:27">
      <c r="AA1357" s="926"/>
    </row>
    <row r="1358" spans="27:27">
      <c r="AA1358" s="926"/>
    </row>
    <row r="1359" spans="27:27">
      <c r="AA1359" s="926"/>
    </row>
    <row r="1360" spans="27:27">
      <c r="AA1360" s="926"/>
    </row>
    <row r="1361" spans="27:27">
      <c r="AA1361" s="926"/>
    </row>
    <row r="1362" spans="27:27">
      <c r="AA1362" s="926"/>
    </row>
    <row r="1363" spans="27:27">
      <c r="AA1363" s="926"/>
    </row>
    <row r="1364" spans="27:27">
      <c r="AA1364" s="926"/>
    </row>
    <row r="1365" spans="27:27">
      <c r="AA1365" s="926"/>
    </row>
    <row r="1366" spans="27:27">
      <c r="AA1366" s="926"/>
    </row>
    <row r="1367" spans="27:27">
      <c r="AA1367" s="926"/>
    </row>
    <row r="1368" spans="27:27">
      <c r="AA1368" s="926"/>
    </row>
    <row r="1369" spans="27:27">
      <c r="AA1369" s="926"/>
    </row>
    <row r="1370" spans="27:27">
      <c r="AA1370" s="926"/>
    </row>
    <row r="1371" spans="27:27">
      <c r="AA1371" s="926"/>
    </row>
    <row r="1372" spans="27:27">
      <c r="AA1372" s="926"/>
    </row>
    <row r="1373" spans="27:27">
      <c r="AA1373" s="926"/>
    </row>
    <row r="1374" spans="27:27">
      <c r="AA1374" s="926"/>
    </row>
    <row r="1375" spans="27:27">
      <c r="AA1375" s="926"/>
    </row>
    <row r="1376" spans="27:27">
      <c r="AA1376" s="926"/>
    </row>
    <row r="1377" spans="27:27">
      <c r="AA1377" s="926"/>
    </row>
    <row r="1378" spans="27:27">
      <c r="AA1378" s="926"/>
    </row>
    <row r="1379" spans="27:27">
      <c r="AA1379" s="926"/>
    </row>
    <row r="1380" spans="27:27">
      <c r="AA1380" s="926"/>
    </row>
    <row r="1381" spans="27:27">
      <c r="AA1381" s="926"/>
    </row>
    <row r="1382" spans="27:27">
      <c r="AA1382" s="926"/>
    </row>
    <row r="1383" spans="27:27">
      <c r="AA1383" s="926"/>
    </row>
    <row r="1384" spans="27:27">
      <c r="AA1384" s="926"/>
    </row>
    <row r="1385" spans="27:27">
      <c r="AA1385" s="926"/>
    </row>
    <row r="1386" spans="27:27">
      <c r="AA1386" s="926"/>
    </row>
    <row r="1387" spans="27:27">
      <c r="AA1387" s="926"/>
    </row>
    <row r="1388" spans="27:27">
      <c r="AA1388" s="926"/>
    </row>
    <row r="1389" spans="27:27">
      <c r="AA1389" s="926"/>
    </row>
    <row r="1390" spans="27:27">
      <c r="AA1390" s="926"/>
    </row>
    <row r="1391" spans="27:27">
      <c r="AA1391" s="926"/>
    </row>
    <row r="1392" spans="27:27">
      <c r="AA1392" s="926"/>
    </row>
    <row r="1393" spans="27:27">
      <c r="AA1393" s="926"/>
    </row>
    <row r="1394" spans="27:27">
      <c r="AA1394" s="926"/>
    </row>
    <row r="1395" spans="27:27">
      <c r="AA1395" s="926"/>
    </row>
    <row r="1396" spans="27:27">
      <c r="AA1396" s="926"/>
    </row>
    <row r="1397" spans="27:27">
      <c r="AA1397" s="926"/>
    </row>
    <row r="1398" spans="27:27">
      <c r="AA1398" s="926"/>
    </row>
    <row r="1399" spans="27:27">
      <c r="AA1399" s="926"/>
    </row>
    <row r="1400" spans="27:27">
      <c r="AA1400" s="926"/>
    </row>
    <row r="1401" spans="27:27">
      <c r="AA1401" s="926"/>
    </row>
    <row r="1402" spans="27:27">
      <c r="AA1402" s="926"/>
    </row>
    <row r="1403" spans="27:27">
      <c r="AA1403" s="926"/>
    </row>
    <row r="1404" spans="27:27">
      <c r="AA1404" s="926"/>
    </row>
    <row r="1405" spans="27:27">
      <c r="AA1405" s="926"/>
    </row>
    <row r="1406" spans="27:27">
      <c r="AA1406" s="926"/>
    </row>
    <row r="1407" spans="27:27">
      <c r="AA1407" s="926"/>
    </row>
    <row r="1408" spans="27:27">
      <c r="AA1408" s="926"/>
    </row>
    <row r="1409" spans="27:27">
      <c r="AA1409" s="926"/>
    </row>
    <row r="1410" spans="27:27">
      <c r="AA1410" s="926"/>
    </row>
    <row r="1411" spans="27:27">
      <c r="AA1411" s="926"/>
    </row>
    <row r="1412" spans="27:27">
      <c r="AA1412" s="926"/>
    </row>
    <row r="1413" spans="27:27">
      <c r="AA1413" s="926"/>
    </row>
    <row r="1414" spans="27:27">
      <c r="AA1414" s="926"/>
    </row>
    <row r="1415" spans="27:27">
      <c r="AA1415" s="926"/>
    </row>
    <row r="1416" spans="27:27">
      <c r="AA1416" s="926"/>
    </row>
    <row r="1417" spans="27:27">
      <c r="AA1417" s="926"/>
    </row>
    <row r="1418" spans="27:27">
      <c r="AA1418" s="926"/>
    </row>
    <row r="1419" spans="27:27">
      <c r="AA1419" s="926"/>
    </row>
    <row r="1420" spans="27:27">
      <c r="AA1420" s="926"/>
    </row>
    <row r="1421" spans="27:27">
      <c r="AA1421" s="926"/>
    </row>
    <row r="1422" spans="27:27">
      <c r="AA1422" s="926"/>
    </row>
    <row r="1423" spans="27:27">
      <c r="AA1423" s="926"/>
    </row>
    <row r="1424" spans="27:27">
      <c r="AA1424" s="926"/>
    </row>
    <row r="1425" spans="27:27">
      <c r="AA1425" s="926"/>
    </row>
    <row r="1426" spans="27:27">
      <c r="AA1426" s="926"/>
    </row>
    <row r="1427" spans="27:27">
      <c r="AA1427" s="926"/>
    </row>
    <row r="1428" spans="27:27">
      <c r="AA1428" s="926"/>
    </row>
    <row r="1429" spans="27:27">
      <c r="AA1429" s="926"/>
    </row>
    <row r="1430" spans="27:27">
      <c r="AA1430" s="926"/>
    </row>
    <row r="1431" spans="27:27">
      <c r="AA1431" s="926"/>
    </row>
    <row r="1432" spans="27:27">
      <c r="AA1432" s="926"/>
    </row>
    <row r="1433" spans="27:27">
      <c r="AA1433" s="926"/>
    </row>
    <row r="1434" spans="27:27">
      <c r="AA1434" s="926"/>
    </row>
    <row r="1435" spans="27:27">
      <c r="AA1435" s="926"/>
    </row>
    <row r="1436" spans="27:27">
      <c r="AA1436" s="926"/>
    </row>
    <row r="1437" spans="27:27">
      <c r="AA1437" s="926"/>
    </row>
    <row r="1438" spans="27:27">
      <c r="AA1438" s="926"/>
    </row>
    <row r="1439" spans="27:27">
      <c r="AA1439" s="926"/>
    </row>
    <row r="1440" spans="27:27">
      <c r="AA1440" s="926"/>
    </row>
    <row r="1441" spans="27:27">
      <c r="AA1441" s="926"/>
    </row>
    <row r="1442" spans="27:27">
      <c r="AA1442" s="926"/>
    </row>
    <row r="1443" spans="27:27">
      <c r="AA1443" s="926"/>
    </row>
    <row r="1444" spans="27:27">
      <c r="AA1444" s="926"/>
    </row>
    <row r="1445" spans="27:27">
      <c r="AA1445" s="926"/>
    </row>
    <row r="1446" spans="27:27">
      <c r="AA1446" s="926"/>
    </row>
    <row r="1447" spans="27:27">
      <c r="AA1447" s="926"/>
    </row>
    <row r="1448" spans="27:27">
      <c r="AA1448" s="926"/>
    </row>
    <row r="1449" spans="27:27">
      <c r="AA1449" s="926"/>
    </row>
    <row r="1450" spans="27:27">
      <c r="AA1450" s="926"/>
    </row>
    <row r="1451" spans="27:27">
      <c r="AA1451" s="926"/>
    </row>
    <row r="1452" spans="27:27">
      <c r="AA1452" s="926"/>
    </row>
    <row r="1453" spans="27:27">
      <c r="AA1453" s="926"/>
    </row>
    <row r="1454" spans="27:27">
      <c r="AA1454" s="926"/>
    </row>
    <row r="1455" spans="27:27">
      <c r="AA1455" s="926"/>
    </row>
    <row r="1456" spans="27:27">
      <c r="AA1456" s="926"/>
    </row>
    <row r="1457" spans="27:27">
      <c r="AA1457" s="926"/>
    </row>
    <row r="1458" spans="27:27">
      <c r="AA1458" s="926"/>
    </row>
    <row r="1459" spans="27:27">
      <c r="AA1459" s="926"/>
    </row>
    <row r="1460" spans="27:27">
      <c r="AA1460" s="926"/>
    </row>
    <row r="1461" spans="27:27">
      <c r="AA1461" s="926"/>
    </row>
    <row r="1462" spans="27:27">
      <c r="AA1462" s="926"/>
    </row>
    <row r="1463" spans="27:27">
      <c r="AA1463" s="926"/>
    </row>
    <row r="1464" spans="27:27">
      <c r="AA1464" s="926"/>
    </row>
    <row r="1465" spans="27:27">
      <c r="AA1465" s="926"/>
    </row>
    <row r="1466" spans="27:27">
      <c r="AA1466" s="926"/>
    </row>
    <row r="1467" spans="27:27">
      <c r="AA1467" s="926"/>
    </row>
    <row r="1468" spans="27:27">
      <c r="AA1468" s="926"/>
    </row>
    <row r="1469" spans="27:27">
      <c r="AA1469" s="926"/>
    </row>
    <row r="1470" spans="27:27">
      <c r="AA1470" s="926"/>
    </row>
    <row r="1471" spans="27:27">
      <c r="AA1471" s="926"/>
    </row>
    <row r="1472" spans="27:27">
      <c r="AA1472" s="926"/>
    </row>
    <row r="1473" spans="27:27">
      <c r="AA1473" s="926"/>
    </row>
    <row r="1474" spans="27:27">
      <c r="AA1474" s="926"/>
    </row>
    <row r="1475" spans="27:27">
      <c r="AA1475" s="926"/>
    </row>
    <row r="1476" spans="27:27">
      <c r="AA1476" s="926"/>
    </row>
    <row r="1477" spans="27:27">
      <c r="AA1477" s="926"/>
    </row>
    <row r="1478" spans="27:27">
      <c r="AA1478" s="926"/>
    </row>
    <row r="1479" spans="27:27">
      <c r="AA1479" s="926"/>
    </row>
    <row r="1480" spans="27:27">
      <c r="AA1480" s="926"/>
    </row>
    <row r="1481" spans="27:27">
      <c r="AA1481" s="926"/>
    </row>
    <row r="1482" spans="27:27">
      <c r="AA1482" s="926"/>
    </row>
    <row r="1483" spans="27:27">
      <c r="AA1483" s="926"/>
    </row>
    <row r="1484" spans="27:27">
      <c r="AA1484" s="926"/>
    </row>
    <row r="1485" spans="27:27">
      <c r="AA1485" s="926"/>
    </row>
    <row r="1486" spans="27:27">
      <c r="AA1486" s="926"/>
    </row>
    <row r="1487" spans="27:27">
      <c r="AA1487" s="926"/>
    </row>
    <row r="1488" spans="27:27">
      <c r="AA1488" s="926"/>
    </row>
    <row r="1489" spans="27:27">
      <c r="AA1489" s="926"/>
    </row>
    <row r="1490" spans="27:27">
      <c r="AA1490" s="926"/>
    </row>
    <row r="1491" spans="27:27">
      <c r="AA1491" s="926"/>
    </row>
    <row r="1492" spans="27:27">
      <c r="AA1492" s="926"/>
    </row>
    <row r="1493" spans="27:27">
      <c r="AA1493" s="926"/>
    </row>
    <row r="1494" spans="27:27">
      <c r="AA1494" s="926"/>
    </row>
    <row r="1495" spans="27:27">
      <c r="AA1495" s="926"/>
    </row>
    <row r="1496" spans="27:27">
      <c r="AA1496" s="926"/>
    </row>
  </sheetData>
  <mergeCells count="3">
    <mergeCell ref="X2:Y2"/>
    <mergeCell ref="B3:I3"/>
    <mergeCell ref="K3:W3"/>
  </mergeCells>
  <printOptions horizontalCentered="1"/>
  <pageMargins left="0" right="0" top="0.27559055118110237"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4"/>
  <sheetViews>
    <sheetView showGridLines="0" zoomScaleNormal="100" workbookViewId="0">
      <selection activeCell="J48" sqref="J48"/>
    </sheetView>
  </sheetViews>
  <sheetFormatPr defaultRowHeight="15"/>
  <cols>
    <col min="1" max="1" width="4.28515625" style="988" customWidth="1"/>
    <col min="2" max="2" width="29.85546875" style="988" customWidth="1"/>
    <col min="3" max="3" width="11.5703125" style="999" customWidth="1"/>
    <col min="4" max="5" width="11.5703125" style="988" customWidth="1"/>
    <col min="6" max="6" width="11.5703125" style="1068" customWidth="1"/>
    <col min="7" max="7" width="11.28515625" style="988" customWidth="1"/>
    <col min="8" max="14" width="10.140625" style="988" customWidth="1"/>
    <col min="15" max="15" width="9.7109375" style="988" customWidth="1"/>
    <col min="16" max="16" width="11" style="988" bestFit="1" customWidth="1"/>
    <col min="17" max="256" width="9.140625" style="988"/>
    <col min="257" max="257" width="4.28515625" style="988" customWidth="1"/>
    <col min="258" max="258" width="28.28515625" style="988" customWidth="1"/>
    <col min="259" max="259" width="9.7109375" style="988" customWidth="1"/>
    <col min="260" max="260" width="9.42578125" style="988" customWidth="1"/>
    <col min="261" max="261" width="9.140625" style="988" customWidth="1"/>
    <col min="262" max="262" width="9.5703125" style="988" customWidth="1"/>
    <col min="263" max="263" width="9.42578125" style="988" customWidth="1"/>
    <col min="264" max="264" width="8.7109375" style="988" customWidth="1"/>
    <col min="265" max="265" width="8.140625" style="988" customWidth="1"/>
    <col min="266" max="266" width="8.28515625" style="988" customWidth="1"/>
    <col min="267" max="267" width="7.140625" style="988" customWidth="1"/>
    <col min="268" max="270" width="7" style="988" bestFit="1" customWidth="1"/>
    <col min="271" max="271" width="8" style="988" customWidth="1"/>
    <col min="272" max="512" width="9.140625" style="988"/>
    <col min="513" max="513" width="4.28515625" style="988" customWidth="1"/>
    <col min="514" max="514" width="28.28515625" style="988" customWidth="1"/>
    <col min="515" max="515" width="9.7109375" style="988" customWidth="1"/>
    <col min="516" max="516" width="9.42578125" style="988" customWidth="1"/>
    <col min="517" max="517" width="9.140625" style="988" customWidth="1"/>
    <col min="518" max="518" width="9.5703125" style="988" customWidth="1"/>
    <col min="519" max="519" width="9.42578125" style="988" customWidth="1"/>
    <col min="520" max="520" width="8.7109375" style="988" customWidth="1"/>
    <col min="521" max="521" width="8.140625" style="988" customWidth="1"/>
    <col min="522" max="522" width="8.28515625" style="988" customWidth="1"/>
    <col min="523" max="523" width="7.140625" style="988" customWidth="1"/>
    <col min="524" max="526" width="7" style="988" bestFit="1" customWidth="1"/>
    <col min="527" max="527" width="8" style="988" customWidth="1"/>
    <col min="528" max="768" width="9.140625" style="988"/>
    <col min="769" max="769" width="4.28515625" style="988" customWidth="1"/>
    <col min="770" max="770" width="28.28515625" style="988" customWidth="1"/>
    <col min="771" max="771" width="9.7109375" style="988" customWidth="1"/>
    <col min="772" max="772" width="9.42578125" style="988" customWidth="1"/>
    <col min="773" max="773" width="9.140625" style="988" customWidth="1"/>
    <col min="774" max="774" width="9.5703125" style="988" customWidth="1"/>
    <col min="775" max="775" width="9.42578125" style="988" customWidth="1"/>
    <col min="776" max="776" width="8.7109375" style="988" customWidth="1"/>
    <col min="777" max="777" width="8.140625" style="988" customWidth="1"/>
    <col min="778" max="778" width="8.28515625" style="988" customWidth="1"/>
    <col min="779" max="779" width="7.140625" style="988" customWidth="1"/>
    <col min="780" max="782" width="7" style="988" bestFit="1" customWidth="1"/>
    <col min="783" max="783" width="8" style="988" customWidth="1"/>
    <col min="784" max="1024" width="9.140625" style="988"/>
    <col min="1025" max="1025" width="4.28515625" style="988" customWidth="1"/>
    <col min="1026" max="1026" width="28.28515625" style="988" customWidth="1"/>
    <col min="1027" max="1027" width="9.7109375" style="988" customWidth="1"/>
    <col min="1028" max="1028" width="9.42578125" style="988" customWidth="1"/>
    <col min="1029" max="1029" width="9.140625" style="988" customWidth="1"/>
    <col min="1030" max="1030" width="9.5703125" style="988" customWidth="1"/>
    <col min="1031" max="1031" width="9.42578125" style="988" customWidth="1"/>
    <col min="1032" max="1032" width="8.7109375" style="988" customWidth="1"/>
    <col min="1033" max="1033" width="8.140625" style="988" customWidth="1"/>
    <col min="1034" max="1034" width="8.28515625" style="988" customWidth="1"/>
    <col min="1035" max="1035" width="7.140625" style="988" customWidth="1"/>
    <col min="1036" max="1038" width="7" style="988" bestFit="1" customWidth="1"/>
    <col min="1039" max="1039" width="8" style="988" customWidth="1"/>
    <col min="1040" max="1280" width="9.140625" style="988"/>
    <col min="1281" max="1281" width="4.28515625" style="988" customWidth="1"/>
    <col min="1282" max="1282" width="28.28515625" style="988" customWidth="1"/>
    <col min="1283" max="1283" width="9.7109375" style="988" customWidth="1"/>
    <col min="1284" max="1284" width="9.42578125" style="988" customWidth="1"/>
    <col min="1285" max="1285" width="9.140625" style="988" customWidth="1"/>
    <col min="1286" max="1286" width="9.5703125" style="988" customWidth="1"/>
    <col min="1287" max="1287" width="9.42578125" style="988" customWidth="1"/>
    <col min="1288" max="1288" width="8.7109375" style="988" customWidth="1"/>
    <col min="1289" max="1289" width="8.140625" style="988" customWidth="1"/>
    <col min="1290" max="1290" width="8.28515625" style="988" customWidth="1"/>
    <col min="1291" max="1291" width="7.140625" style="988" customWidth="1"/>
    <col min="1292" max="1294" width="7" style="988" bestFit="1" customWidth="1"/>
    <col min="1295" max="1295" width="8" style="988" customWidth="1"/>
    <col min="1296" max="1536" width="9.140625" style="988"/>
    <col min="1537" max="1537" width="4.28515625" style="988" customWidth="1"/>
    <col min="1538" max="1538" width="28.28515625" style="988" customWidth="1"/>
    <col min="1539" max="1539" width="9.7109375" style="988" customWidth="1"/>
    <col min="1540" max="1540" width="9.42578125" style="988" customWidth="1"/>
    <col min="1541" max="1541" width="9.140625" style="988" customWidth="1"/>
    <col min="1542" max="1542" width="9.5703125" style="988" customWidth="1"/>
    <col min="1543" max="1543" width="9.42578125" style="988" customWidth="1"/>
    <col min="1544" max="1544" width="8.7109375" style="988" customWidth="1"/>
    <col min="1545" max="1545" width="8.140625" style="988" customWidth="1"/>
    <col min="1546" max="1546" width="8.28515625" style="988" customWidth="1"/>
    <col min="1547" max="1547" width="7.140625" style="988" customWidth="1"/>
    <col min="1548" max="1550" width="7" style="988" bestFit="1" customWidth="1"/>
    <col min="1551" max="1551" width="8" style="988" customWidth="1"/>
    <col min="1552" max="1792" width="9.140625" style="988"/>
    <col min="1793" max="1793" width="4.28515625" style="988" customWidth="1"/>
    <col min="1794" max="1794" width="28.28515625" style="988" customWidth="1"/>
    <col min="1795" max="1795" width="9.7109375" style="988" customWidth="1"/>
    <col min="1796" max="1796" width="9.42578125" style="988" customWidth="1"/>
    <col min="1797" max="1797" width="9.140625" style="988" customWidth="1"/>
    <col min="1798" max="1798" width="9.5703125" style="988" customWidth="1"/>
    <col min="1799" max="1799" width="9.42578125" style="988" customWidth="1"/>
    <col min="1800" max="1800" width="8.7109375" style="988" customWidth="1"/>
    <col min="1801" max="1801" width="8.140625" style="988" customWidth="1"/>
    <col min="1802" max="1802" width="8.28515625" style="988" customWidth="1"/>
    <col min="1803" max="1803" width="7.140625" style="988" customWidth="1"/>
    <col min="1804" max="1806" width="7" style="988" bestFit="1" customWidth="1"/>
    <col min="1807" max="1807" width="8" style="988" customWidth="1"/>
    <col min="1808" max="2048" width="9.140625" style="988"/>
    <col min="2049" max="2049" width="4.28515625" style="988" customWidth="1"/>
    <col min="2050" max="2050" width="28.28515625" style="988" customWidth="1"/>
    <col min="2051" max="2051" width="9.7109375" style="988" customWidth="1"/>
    <col min="2052" max="2052" width="9.42578125" style="988" customWidth="1"/>
    <col min="2053" max="2053" width="9.140625" style="988" customWidth="1"/>
    <col min="2054" max="2054" width="9.5703125" style="988" customWidth="1"/>
    <col min="2055" max="2055" width="9.42578125" style="988" customWidth="1"/>
    <col min="2056" max="2056" width="8.7109375" style="988" customWidth="1"/>
    <col min="2057" max="2057" width="8.140625" style="988" customWidth="1"/>
    <col min="2058" max="2058" width="8.28515625" style="988" customWidth="1"/>
    <col min="2059" max="2059" width="7.140625" style="988" customWidth="1"/>
    <col min="2060" max="2062" width="7" style="988" bestFit="1" customWidth="1"/>
    <col min="2063" max="2063" width="8" style="988" customWidth="1"/>
    <col min="2064" max="2304" width="9.140625" style="988"/>
    <col min="2305" max="2305" width="4.28515625" style="988" customWidth="1"/>
    <col min="2306" max="2306" width="28.28515625" style="988" customWidth="1"/>
    <col min="2307" max="2307" width="9.7109375" style="988" customWidth="1"/>
    <col min="2308" max="2308" width="9.42578125" style="988" customWidth="1"/>
    <col min="2309" max="2309" width="9.140625" style="988" customWidth="1"/>
    <col min="2310" max="2310" width="9.5703125" style="988" customWidth="1"/>
    <col min="2311" max="2311" width="9.42578125" style="988" customWidth="1"/>
    <col min="2312" max="2312" width="8.7109375" style="988" customWidth="1"/>
    <col min="2313" max="2313" width="8.140625" style="988" customWidth="1"/>
    <col min="2314" max="2314" width="8.28515625" style="988" customWidth="1"/>
    <col min="2315" max="2315" width="7.140625" style="988" customWidth="1"/>
    <col min="2316" max="2318" width="7" style="988" bestFit="1" customWidth="1"/>
    <col min="2319" max="2319" width="8" style="988" customWidth="1"/>
    <col min="2320" max="2560" width="9.140625" style="988"/>
    <col min="2561" max="2561" width="4.28515625" style="988" customWidth="1"/>
    <col min="2562" max="2562" width="28.28515625" style="988" customWidth="1"/>
    <col min="2563" max="2563" width="9.7109375" style="988" customWidth="1"/>
    <col min="2564" max="2564" width="9.42578125" style="988" customWidth="1"/>
    <col min="2565" max="2565" width="9.140625" style="988" customWidth="1"/>
    <col min="2566" max="2566" width="9.5703125" style="988" customWidth="1"/>
    <col min="2567" max="2567" width="9.42578125" style="988" customWidth="1"/>
    <col min="2568" max="2568" width="8.7109375" style="988" customWidth="1"/>
    <col min="2569" max="2569" width="8.140625" style="988" customWidth="1"/>
    <col min="2570" max="2570" width="8.28515625" style="988" customWidth="1"/>
    <col min="2571" max="2571" width="7.140625" style="988" customWidth="1"/>
    <col min="2572" max="2574" width="7" style="988" bestFit="1" customWidth="1"/>
    <col min="2575" max="2575" width="8" style="988" customWidth="1"/>
    <col min="2576" max="2816" width="9.140625" style="988"/>
    <col min="2817" max="2817" width="4.28515625" style="988" customWidth="1"/>
    <col min="2818" max="2818" width="28.28515625" style="988" customWidth="1"/>
    <col min="2819" max="2819" width="9.7109375" style="988" customWidth="1"/>
    <col min="2820" max="2820" width="9.42578125" style="988" customWidth="1"/>
    <col min="2821" max="2821" width="9.140625" style="988" customWidth="1"/>
    <col min="2822" max="2822" width="9.5703125" style="988" customWidth="1"/>
    <col min="2823" max="2823" width="9.42578125" style="988" customWidth="1"/>
    <col min="2824" max="2824" width="8.7109375" style="988" customWidth="1"/>
    <col min="2825" max="2825" width="8.140625" style="988" customWidth="1"/>
    <col min="2826" max="2826" width="8.28515625" style="988" customWidth="1"/>
    <col min="2827" max="2827" width="7.140625" style="988" customWidth="1"/>
    <col min="2828" max="2830" width="7" style="988" bestFit="1" customWidth="1"/>
    <col min="2831" max="2831" width="8" style="988" customWidth="1"/>
    <col min="2832" max="3072" width="9.140625" style="988"/>
    <col min="3073" max="3073" width="4.28515625" style="988" customWidth="1"/>
    <col min="3074" max="3074" width="28.28515625" style="988" customWidth="1"/>
    <col min="3075" max="3075" width="9.7109375" style="988" customWidth="1"/>
    <col min="3076" max="3076" width="9.42578125" style="988" customWidth="1"/>
    <col min="3077" max="3077" width="9.140625" style="988" customWidth="1"/>
    <col min="3078" max="3078" width="9.5703125" style="988" customWidth="1"/>
    <col min="3079" max="3079" width="9.42578125" style="988" customWidth="1"/>
    <col min="3080" max="3080" width="8.7109375" style="988" customWidth="1"/>
    <col min="3081" max="3081" width="8.140625" style="988" customWidth="1"/>
    <col min="3082" max="3082" width="8.28515625" style="988" customWidth="1"/>
    <col min="3083" max="3083" width="7.140625" style="988" customWidth="1"/>
    <col min="3084" max="3086" width="7" style="988" bestFit="1" customWidth="1"/>
    <col min="3087" max="3087" width="8" style="988" customWidth="1"/>
    <col min="3088" max="3328" width="9.140625" style="988"/>
    <col min="3329" max="3329" width="4.28515625" style="988" customWidth="1"/>
    <col min="3330" max="3330" width="28.28515625" style="988" customWidth="1"/>
    <col min="3331" max="3331" width="9.7109375" style="988" customWidth="1"/>
    <col min="3332" max="3332" width="9.42578125" style="988" customWidth="1"/>
    <col min="3333" max="3333" width="9.140625" style="988" customWidth="1"/>
    <col min="3334" max="3334" width="9.5703125" style="988" customWidth="1"/>
    <col min="3335" max="3335" width="9.42578125" style="988" customWidth="1"/>
    <col min="3336" max="3336" width="8.7109375" style="988" customWidth="1"/>
    <col min="3337" max="3337" width="8.140625" style="988" customWidth="1"/>
    <col min="3338" max="3338" width="8.28515625" style="988" customWidth="1"/>
    <col min="3339" max="3339" width="7.140625" style="988" customWidth="1"/>
    <col min="3340" max="3342" width="7" style="988" bestFit="1" customWidth="1"/>
    <col min="3343" max="3343" width="8" style="988" customWidth="1"/>
    <col min="3344" max="3584" width="9.140625" style="988"/>
    <col min="3585" max="3585" width="4.28515625" style="988" customWidth="1"/>
    <col min="3586" max="3586" width="28.28515625" style="988" customWidth="1"/>
    <col min="3587" max="3587" width="9.7109375" style="988" customWidth="1"/>
    <col min="3588" max="3588" width="9.42578125" style="988" customWidth="1"/>
    <col min="3589" max="3589" width="9.140625" style="988" customWidth="1"/>
    <col min="3590" max="3590" width="9.5703125" style="988" customWidth="1"/>
    <col min="3591" max="3591" width="9.42578125" style="988" customWidth="1"/>
    <col min="3592" max="3592" width="8.7109375" style="988" customWidth="1"/>
    <col min="3593" max="3593" width="8.140625" style="988" customWidth="1"/>
    <col min="3594" max="3594" width="8.28515625" style="988" customWidth="1"/>
    <col min="3595" max="3595" width="7.140625" style="988" customWidth="1"/>
    <col min="3596" max="3598" width="7" style="988" bestFit="1" customWidth="1"/>
    <col min="3599" max="3599" width="8" style="988" customWidth="1"/>
    <col min="3600" max="3840" width="9.140625" style="988"/>
    <col min="3841" max="3841" width="4.28515625" style="988" customWidth="1"/>
    <col min="3842" max="3842" width="28.28515625" style="988" customWidth="1"/>
    <col min="3843" max="3843" width="9.7109375" style="988" customWidth="1"/>
    <col min="3844" max="3844" width="9.42578125" style="988" customWidth="1"/>
    <col min="3845" max="3845" width="9.140625" style="988" customWidth="1"/>
    <col min="3846" max="3846" width="9.5703125" style="988" customWidth="1"/>
    <col min="3847" max="3847" width="9.42578125" style="988" customWidth="1"/>
    <col min="3848" max="3848" width="8.7109375" style="988" customWidth="1"/>
    <col min="3849" max="3849" width="8.140625" style="988" customWidth="1"/>
    <col min="3850" max="3850" width="8.28515625" style="988" customWidth="1"/>
    <col min="3851" max="3851" width="7.140625" style="988" customWidth="1"/>
    <col min="3852" max="3854" width="7" style="988" bestFit="1" customWidth="1"/>
    <col min="3855" max="3855" width="8" style="988" customWidth="1"/>
    <col min="3856" max="4096" width="9.140625" style="988"/>
    <col min="4097" max="4097" width="4.28515625" style="988" customWidth="1"/>
    <col min="4098" max="4098" width="28.28515625" style="988" customWidth="1"/>
    <col min="4099" max="4099" width="9.7109375" style="988" customWidth="1"/>
    <col min="4100" max="4100" width="9.42578125" style="988" customWidth="1"/>
    <col min="4101" max="4101" width="9.140625" style="988" customWidth="1"/>
    <col min="4102" max="4102" width="9.5703125" style="988" customWidth="1"/>
    <col min="4103" max="4103" width="9.42578125" style="988" customWidth="1"/>
    <col min="4104" max="4104" width="8.7109375" style="988" customWidth="1"/>
    <col min="4105" max="4105" width="8.140625" style="988" customWidth="1"/>
    <col min="4106" max="4106" width="8.28515625" style="988" customWidth="1"/>
    <col min="4107" max="4107" width="7.140625" style="988" customWidth="1"/>
    <col min="4108" max="4110" width="7" style="988" bestFit="1" customWidth="1"/>
    <col min="4111" max="4111" width="8" style="988" customWidth="1"/>
    <col min="4112" max="4352" width="9.140625" style="988"/>
    <col min="4353" max="4353" width="4.28515625" style="988" customWidth="1"/>
    <col min="4354" max="4354" width="28.28515625" style="988" customWidth="1"/>
    <col min="4355" max="4355" width="9.7109375" style="988" customWidth="1"/>
    <col min="4356" max="4356" width="9.42578125" style="988" customWidth="1"/>
    <col min="4357" max="4357" width="9.140625" style="988" customWidth="1"/>
    <col min="4358" max="4358" width="9.5703125" style="988" customWidth="1"/>
    <col min="4359" max="4359" width="9.42578125" style="988" customWidth="1"/>
    <col min="4360" max="4360" width="8.7109375" style="988" customWidth="1"/>
    <col min="4361" max="4361" width="8.140625" style="988" customWidth="1"/>
    <col min="4362" max="4362" width="8.28515625" style="988" customWidth="1"/>
    <col min="4363" max="4363" width="7.140625" style="988" customWidth="1"/>
    <col min="4364" max="4366" width="7" style="988" bestFit="1" customWidth="1"/>
    <col min="4367" max="4367" width="8" style="988" customWidth="1"/>
    <col min="4368" max="4608" width="9.140625" style="988"/>
    <col min="4609" max="4609" width="4.28515625" style="988" customWidth="1"/>
    <col min="4610" max="4610" width="28.28515625" style="988" customWidth="1"/>
    <col min="4611" max="4611" width="9.7109375" style="988" customWidth="1"/>
    <col min="4612" max="4612" width="9.42578125" style="988" customWidth="1"/>
    <col min="4613" max="4613" width="9.140625" style="988" customWidth="1"/>
    <col min="4614" max="4614" width="9.5703125" style="988" customWidth="1"/>
    <col min="4615" max="4615" width="9.42578125" style="988" customWidth="1"/>
    <col min="4616" max="4616" width="8.7109375" style="988" customWidth="1"/>
    <col min="4617" max="4617" width="8.140625" style="988" customWidth="1"/>
    <col min="4618" max="4618" width="8.28515625" style="988" customWidth="1"/>
    <col min="4619" max="4619" width="7.140625" style="988" customWidth="1"/>
    <col min="4620" max="4622" width="7" style="988" bestFit="1" customWidth="1"/>
    <col min="4623" max="4623" width="8" style="988" customWidth="1"/>
    <col min="4624" max="4864" width="9.140625" style="988"/>
    <col min="4865" max="4865" width="4.28515625" style="988" customWidth="1"/>
    <col min="4866" max="4866" width="28.28515625" style="988" customWidth="1"/>
    <col min="4867" max="4867" width="9.7109375" style="988" customWidth="1"/>
    <col min="4868" max="4868" width="9.42578125" style="988" customWidth="1"/>
    <col min="4869" max="4869" width="9.140625" style="988" customWidth="1"/>
    <col min="4870" max="4870" width="9.5703125" style="988" customWidth="1"/>
    <col min="4871" max="4871" width="9.42578125" style="988" customWidth="1"/>
    <col min="4872" max="4872" width="8.7109375" style="988" customWidth="1"/>
    <col min="4873" max="4873" width="8.140625" style="988" customWidth="1"/>
    <col min="4874" max="4874" width="8.28515625" style="988" customWidth="1"/>
    <col min="4875" max="4875" width="7.140625" style="988" customWidth="1"/>
    <col min="4876" max="4878" width="7" style="988" bestFit="1" customWidth="1"/>
    <col min="4879" max="4879" width="8" style="988" customWidth="1"/>
    <col min="4880" max="5120" width="9.140625" style="988"/>
    <col min="5121" max="5121" width="4.28515625" style="988" customWidth="1"/>
    <col min="5122" max="5122" width="28.28515625" style="988" customWidth="1"/>
    <col min="5123" max="5123" width="9.7109375" style="988" customWidth="1"/>
    <col min="5124" max="5124" width="9.42578125" style="988" customWidth="1"/>
    <col min="5125" max="5125" width="9.140625" style="988" customWidth="1"/>
    <col min="5126" max="5126" width="9.5703125" style="988" customWidth="1"/>
    <col min="5127" max="5127" width="9.42578125" style="988" customWidth="1"/>
    <col min="5128" max="5128" width="8.7109375" style="988" customWidth="1"/>
    <col min="5129" max="5129" width="8.140625" style="988" customWidth="1"/>
    <col min="5130" max="5130" width="8.28515625" style="988" customWidth="1"/>
    <col min="5131" max="5131" width="7.140625" style="988" customWidth="1"/>
    <col min="5132" max="5134" width="7" style="988" bestFit="1" customWidth="1"/>
    <col min="5135" max="5135" width="8" style="988" customWidth="1"/>
    <col min="5136" max="5376" width="9.140625" style="988"/>
    <col min="5377" max="5377" width="4.28515625" style="988" customWidth="1"/>
    <col min="5378" max="5378" width="28.28515625" style="988" customWidth="1"/>
    <col min="5379" max="5379" width="9.7109375" style="988" customWidth="1"/>
    <col min="5380" max="5380" width="9.42578125" style="988" customWidth="1"/>
    <col min="5381" max="5381" width="9.140625" style="988" customWidth="1"/>
    <col min="5382" max="5382" width="9.5703125" style="988" customWidth="1"/>
    <col min="5383" max="5383" width="9.42578125" style="988" customWidth="1"/>
    <col min="5384" max="5384" width="8.7109375" style="988" customWidth="1"/>
    <col min="5385" max="5385" width="8.140625" style="988" customWidth="1"/>
    <col min="5386" max="5386" width="8.28515625" style="988" customWidth="1"/>
    <col min="5387" max="5387" width="7.140625" style="988" customWidth="1"/>
    <col min="5388" max="5390" width="7" style="988" bestFit="1" customWidth="1"/>
    <col min="5391" max="5391" width="8" style="988" customWidth="1"/>
    <col min="5392" max="5632" width="9.140625" style="988"/>
    <col min="5633" max="5633" width="4.28515625" style="988" customWidth="1"/>
    <col min="5634" max="5634" width="28.28515625" style="988" customWidth="1"/>
    <col min="5635" max="5635" width="9.7109375" style="988" customWidth="1"/>
    <col min="5636" max="5636" width="9.42578125" style="988" customWidth="1"/>
    <col min="5637" max="5637" width="9.140625" style="988" customWidth="1"/>
    <col min="5638" max="5638" width="9.5703125" style="988" customWidth="1"/>
    <col min="5639" max="5639" width="9.42578125" style="988" customWidth="1"/>
    <col min="5640" max="5640" width="8.7109375" style="988" customWidth="1"/>
    <col min="5641" max="5641" width="8.140625" style="988" customWidth="1"/>
    <col min="5642" max="5642" width="8.28515625" style="988" customWidth="1"/>
    <col min="5643" max="5643" width="7.140625" style="988" customWidth="1"/>
    <col min="5644" max="5646" width="7" style="988" bestFit="1" customWidth="1"/>
    <col min="5647" max="5647" width="8" style="988" customWidth="1"/>
    <col min="5648" max="5888" width="9.140625" style="988"/>
    <col min="5889" max="5889" width="4.28515625" style="988" customWidth="1"/>
    <col min="5890" max="5890" width="28.28515625" style="988" customWidth="1"/>
    <col min="5891" max="5891" width="9.7109375" style="988" customWidth="1"/>
    <col min="5892" max="5892" width="9.42578125" style="988" customWidth="1"/>
    <col min="5893" max="5893" width="9.140625" style="988" customWidth="1"/>
    <col min="5894" max="5894" width="9.5703125" style="988" customWidth="1"/>
    <col min="5895" max="5895" width="9.42578125" style="988" customWidth="1"/>
    <col min="5896" max="5896" width="8.7109375" style="988" customWidth="1"/>
    <col min="5897" max="5897" width="8.140625" style="988" customWidth="1"/>
    <col min="5898" max="5898" width="8.28515625" style="988" customWidth="1"/>
    <col min="5899" max="5899" width="7.140625" style="988" customWidth="1"/>
    <col min="5900" max="5902" width="7" style="988" bestFit="1" customWidth="1"/>
    <col min="5903" max="5903" width="8" style="988" customWidth="1"/>
    <col min="5904" max="6144" width="9.140625" style="988"/>
    <col min="6145" max="6145" width="4.28515625" style="988" customWidth="1"/>
    <col min="6146" max="6146" width="28.28515625" style="988" customWidth="1"/>
    <col min="6147" max="6147" width="9.7109375" style="988" customWidth="1"/>
    <col min="6148" max="6148" width="9.42578125" style="988" customWidth="1"/>
    <col min="6149" max="6149" width="9.140625" style="988" customWidth="1"/>
    <col min="6150" max="6150" width="9.5703125" style="988" customWidth="1"/>
    <col min="6151" max="6151" width="9.42578125" style="988" customWidth="1"/>
    <col min="6152" max="6152" width="8.7109375" style="988" customWidth="1"/>
    <col min="6153" max="6153" width="8.140625" style="988" customWidth="1"/>
    <col min="6154" max="6154" width="8.28515625" style="988" customWidth="1"/>
    <col min="6155" max="6155" width="7.140625" style="988" customWidth="1"/>
    <col min="6156" max="6158" width="7" style="988" bestFit="1" customWidth="1"/>
    <col min="6159" max="6159" width="8" style="988" customWidth="1"/>
    <col min="6160" max="6400" width="9.140625" style="988"/>
    <col min="6401" max="6401" width="4.28515625" style="988" customWidth="1"/>
    <col min="6402" max="6402" width="28.28515625" style="988" customWidth="1"/>
    <col min="6403" max="6403" width="9.7109375" style="988" customWidth="1"/>
    <col min="6404" max="6404" width="9.42578125" style="988" customWidth="1"/>
    <col min="6405" max="6405" width="9.140625" style="988" customWidth="1"/>
    <col min="6406" max="6406" width="9.5703125" style="988" customWidth="1"/>
    <col min="6407" max="6407" width="9.42578125" style="988" customWidth="1"/>
    <col min="6408" max="6408" width="8.7109375" style="988" customWidth="1"/>
    <col min="6409" max="6409" width="8.140625" style="988" customWidth="1"/>
    <col min="6410" max="6410" width="8.28515625" style="988" customWidth="1"/>
    <col min="6411" max="6411" width="7.140625" style="988" customWidth="1"/>
    <col min="6412" max="6414" width="7" style="988" bestFit="1" customWidth="1"/>
    <col min="6415" max="6415" width="8" style="988" customWidth="1"/>
    <col min="6416" max="6656" width="9.140625" style="988"/>
    <col min="6657" max="6657" width="4.28515625" style="988" customWidth="1"/>
    <col min="6658" max="6658" width="28.28515625" style="988" customWidth="1"/>
    <col min="6659" max="6659" width="9.7109375" style="988" customWidth="1"/>
    <col min="6660" max="6660" width="9.42578125" style="988" customWidth="1"/>
    <col min="6661" max="6661" width="9.140625" style="988" customWidth="1"/>
    <col min="6662" max="6662" width="9.5703125" style="988" customWidth="1"/>
    <col min="6663" max="6663" width="9.42578125" style="988" customWidth="1"/>
    <col min="6664" max="6664" width="8.7109375" style="988" customWidth="1"/>
    <col min="6665" max="6665" width="8.140625" style="988" customWidth="1"/>
    <col min="6666" max="6666" width="8.28515625" style="988" customWidth="1"/>
    <col min="6667" max="6667" width="7.140625" style="988" customWidth="1"/>
    <col min="6668" max="6670" width="7" style="988" bestFit="1" customWidth="1"/>
    <col min="6671" max="6671" width="8" style="988" customWidth="1"/>
    <col min="6672" max="6912" width="9.140625" style="988"/>
    <col min="6913" max="6913" width="4.28515625" style="988" customWidth="1"/>
    <col min="6914" max="6914" width="28.28515625" style="988" customWidth="1"/>
    <col min="6915" max="6915" width="9.7109375" style="988" customWidth="1"/>
    <col min="6916" max="6916" width="9.42578125" style="988" customWidth="1"/>
    <col min="6917" max="6917" width="9.140625" style="988" customWidth="1"/>
    <col min="6918" max="6918" width="9.5703125" style="988" customWidth="1"/>
    <col min="6919" max="6919" width="9.42578125" style="988" customWidth="1"/>
    <col min="6920" max="6920" width="8.7109375" style="988" customWidth="1"/>
    <col min="6921" max="6921" width="8.140625" style="988" customWidth="1"/>
    <col min="6922" max="6922" width="8.28515625" style="988" customWidth="1"/>
    <col min="6923" max="6923" width="7.140625" style="988" customWidth="1"/>
    <col min="6924" max="6926" width="7" style="988" bestFit="1" customWidth="1"/>
    <col min="6927" max="6927" width="8" style="988" customWidth="1"/>
    <col min="6928" max="7168" width="9.140625" style="988"/>
    <col min="7169" max="7169" width="4.28515625" style="988" customWidth="1"/>
    <col min="7170" max="7170" width="28.28515625" style="988" customWidth="1"/>
    <col min="7171" max="7171" width="9.7109375" style="988" customWidth="1"/>
    <col min="7172" max="7172" width="9.42578125" style="988" customWidth="1"/>
    <col min="7173" max="7173" width="9.140625" style="988" customWidth="1"/>
    <col min="7174" max="7174" width="9.5703125" style="988" customWidth="1"/>
    <col min="7175" max="7175" width="9.42578125" style="988" customWidth="1"/>
    <col min="7176" max="7176" width="8.7109375" style="988" customWidth="1"/>
    <col min="7177" max="7177" width="8.140625" style="988" customWidth="1"/>
    <col min="7178" max="7178" width="8.28515625" style="988" customWidth="1"/>
    <col min="7179" max="7179" width="7.140625" style="988" customWidth="1"/>
    <col min="7180" max="7182" width="7" style="988" bestFit="1" customWidth="1"/>
    <col min="7183" max="7183" width="8" style="988" customWidth="1"/>
    <col min="7184" max="7424" width="9.140625" style="988"/>
    <col min="7425" max="7425" width="4.28515625" style="988" customWidth="1"/>
    <col min="7426" max="7426" width="28.28515625" style="988" customWidth="1"/>
    <col min="7427" max="7427" width="9.7109375" style="988" customWidth="1"/>
    <col min="7428" max="7428" width="9.42578125" style="988" customWidth="1"/>
    <col min="7429" max="7429" width="9.140625" style="988" customWidth="1"/>
    <col min="7430" max="7430" width="9.5703125" style="988" customWidth="1"/>
    <col min="7431" max="7431" width="9.42578125" style="988" customWidth="1"/>
    <col min="7432" max="7432" width="8.7109375" style="988" customWidth="1"/>
    <col min="7433" max="7433" width="8.140625" style="988" customWidth="1"/>
    <col min="7434" max="7434" width="8.28515625" style="988" customWidth="1"/>
    <col min="7435" max="7435" width="7.140625" style="988" customWidth="1"/>
    <col min="7436" max="7438" width="7" style="988" bestFit="1" customWidth="1"/>
    <col min="7439" max="7439" width="8" style="988" customWidth="1"/>
    <col min="7440" max="7680" width="9.140625" style="988"/>
    <col min="7681" max="7681" width="4.28515625" style="988" customWidth="1"/>
    <col min="7682" max="7682" width="28.28515625" style="988" customWidth="1"/>
    <col min="7683" max="7683" width="9.7109375" style="988" customWidth="1"/>
    <col min="7684" max="7684" width="9.42578125" style="988" customWidth="1"/>
    <col min="7685" max="7685" width="9.140625" style="988" customWidth="1"/>
    <col min="7686" max="7686" width="9.5703125" style="988" customWidth="1"/>
    <col min="7687" max="7687" width="9.42578125" style="988" customWidth="1"/>
    <col min="7688" max="7688" width="8.7109375" style="988" customWidth="1"/>
    <col min="7689" max="7689" width="8.140625" style="988" customWidth="1"/>
    <col min="7690" max="7690" width="8.28515625" style="988" customWidth="1"/>
    <col min="7691" max="7691" width="7.140625" style="988" customWidth="1"/>
    <col min="7692" max="7694" width="7" style="988" bestFit="1" customWidth="1"/>
    <col min="7695" max="7695" width="8" style="988" customWidth="1"/>
    <col min="7696" max="7936" width="9.140625" style="988"/>
    <col min="7937" max="7937" width="4.28515625" style="988" customWidth="1"/>
    <col min="7938" max="7938" width="28.28515625" style="988" customWidth="1"/>
    <col min="7939" max="7939" width="9.7109375" style="988" customWidth="1"/>
    <col min="7940" max="7940" width="9.42578125" style="988" customWidth="1"/>
    <col min="7941" max="7941" width="9.140625" style="988" customWidth="1"/>
    <col min="7942" max="7942" width="9.5703125" style="988" customWidth="1"/>
    <col min="7943" max="7943" width="9.42578125" style="988" customWidth="1"/>
    <col min="7944" max="7944" width="8.7109375" style="988" customWidth="1"/>
    <col min="7945" max="7945" width="8.140625" style="988" customWidth="1"/>
    <col min="7946" max="7946" width="8.28515625" style="988" customWidth="1"/>
    <col min="7947" max="7947" width="7.140625" style="988" customWidth="1"/>
    <col min="7948" max="7950" width="7" style="988" bestFit="1" customWidth="1"/>
    <col min="7951" max="7951" width="8" style="988" customWidth="1"/>
    <col min="7952" max="8192" width="9.140625" style="988"/>
    <col min="8193" max="8193" width="4.28515625" style="988" customWidth="1"/>
    <col min="8194" max="8194" width="28.28515625" style="988" customWidth="1"/>
    <col min="8195" max="8195" width="9.7109375" style="988" customWidth="1"/>
    <col min="8196" max="8196" width="9.42578125" style="988" customWidth="1"/>
    <col min="8197" max="8197" width="9.140625" style="988" customWidth="1"/>
    <col min="8198" max="8198" width="9.5703125" style="988" customWidth="1"/>
    <col min="8199" max="8199" width="9.42578125" style="988" customWidth="1"/>
    <col min="8200" max="8200" width="8.7109375" style="988" customWidth="1"/>
    <col min="8201" max="8201" width="8.140625" style="988" customWidth="1"/>
    <col min="8202" max="8202" width="8.28515625" style="988" customWidth="1"/>
    <col min="8203" max="8203" width="7.140625" style="988" customWidth="1"/>
    <col min="8204" max="8206" width="7" style="988" bestFit="1" customWidth="1"/>
    <col min="8207" max="8207" width="8" style="988" customWidth="1"/>
    <col min="8208" max="8448" width="9.140625" style="988"/>
    <col min="8449" max="8449" width="4.28515625" style="988" customWidth="1"/>
    <col min="8450" max="8450" width="28.28515625" style="988" customWidth="1"/>
    <col min="8451" max="8451" width="9.7109375" style="988" customWidth="1"/>
    <col min="8452" max="8452" width="9.42578125" style="988" customWidth="1"/>
    <col min="8453" max="8453" width="9.140625" style="988" customWidth="1"/>
    <col min="8454" max="8454" width="9.5703125" style="988" customWidth="1"/>
    <col min="8455" max="8455" width="9.42578125" style="988" customWidth="1"/>
    <col min="8456" max="8456" width="8.7109375" style="988" customWidth="1"/>
    <col min="8457" max="8457" width="8.140625" style="988" customWidth="1"/>
    <col min="8458" max="8458" width="8.28515625" style="988" customWidth="1"/>
    <col min="8459" max="8459" width="7.140625" style="988" customWidth="1"/>
    <col min="8460" max="8462" width="7" style="988" bestFit="1" customWidth="1"/>
    <col min="8463" max="8463" width="8" style="988" customWidth="1"/>
    <col min="8464" max="8704" width="9.140625" style="988"/>
    <col min="8705" max="8705" width="4.28515625" style="988" customWidth="1"/>
    <col min="8706" max="8706" width="28.28515625" style="988" customWidth="1"/>
    <col min="8707" max="8707" width="9.7109375" style="988" customWidth="1"/>
    <col min="8708" max="8708" width="9.42578125" style="988" customWidth="1"/>
    <col min="8709" max="8709" width="9.140625" style="988" customWidth="1"/>
    <col min="8710" max="8710" width="9.5703125" style="988" customWidth="1"/>
    <col min="8711" max="8711" width="9.42578125" style="988" customWidth="1"/>
    <col min="8712" max="8712" width="8.7109375" style="988" customWidth="1"/>
    <col min="8713" max="8713" width="8.140625" style="988" customWidth="1"/>
    <col min="8714" max="8714" width="8.28515625" style="988" customWidth="1"/>
    <col min="8715" max="8715" width="7.140625" style="988" customWidth="1"/>
    <col min="8716" max="8718" width="7" style="988" bestFit="1" customWidth="1"/>
    <col min="8719" max="8719" width="8" style="988" customWidth="1"/>
    <col min="8720" max="8960" width="9.140625" style="988"/>
    <col min="8961" max="8961" width="4.28515625" style="988" customWidth="1"/>
    <col min="8962" max="8962" width="28.28515625" style="988" customWidth="1"/>
    <col min="8963" max="8963" width="9.7109375" style="988" customWidth="1"/>
    <col min="8964" max="8964" width="9.42578125" style="988" customWidth="1"/>
    <col min="8965" max="8965" width="9.140625" style="988" customWidth="1"/>
    <col min="8966" max="8966" width="9.5703125" style="988" customWidth="1"/>
    <col min="8967" max="8967" width="9.42578125" style="988" customWidth="1"/>
    <col min="8968" max="8968" width="8.7109375" style="988" customWidth="1"/>
    <col min="8969" max="8969" width="8.140625" style="988" customWidth="1"/>
    <col min="8970" max="8970" width="8.28515625" style="988" customWidth="1"/>
    <col min="8971" max="8971" width="7.140625" style="988" customWidth="1"/>
    <col min="8972" max="8974" width="7" style="988" bestFit="1" customWidth="1"/>
    <col min="8975" max="8975" width="8" style="988" customWidth="1"/>
    <col min="8976" max="9216" width="9.140625" style="988"/>
    <col min="9217" max="9217" width="4.28515625" style="988" customWidth="1"/>
    <col min="9218" max="9218" width="28.28515625" style="988" customWidth="1"/>
    <col min="9219" max="9219" width="9.7109375" style="988" customWidth="1"/>
    <col min="9220" max="9220" width="9.42578125" style="988" customWidth="1"/>
    <col min="9221" max="9221" width="9.140625" style="988" customWidth="1"/>
    <col min="9222" max="9222" width="9.5703125" style="988" customWidth="1"/>
    <col min="9223" max="9223" width="9.42578125" style="988" customWidth="1"/>
    <col min="9224" max="9224" width="8.7109375" style="988" customWidth="1"/>
    <col min="9225" max="9225" width="8.140625" style="988" customWidth="1"/>
    <col min="9226" max="9226" width="8.28515625" style="988" customWidth="1"/>
    <col min="9227" max="9227" width="7.140625" style="988" customWidth="1"/>
    <col min="9228" max="9230" width="7" style="988" bestFit="1" customWidth="1"/>
    <col min="9231" max="9231" width="8" style="988" customWidth="1"/>
    <col min="9232" max="9472" width="9.140625" style="988"/>
    <col min="9473" max="9473" width="4.28515625" style="988" customWidth="1"/>
    <col min="9474" max="9474" width="28.28515625" style="988" customWidth="1"/>
    <col min="9475" max="9475" width="9.7109375" style="988" customWidth="1"/>
    <col min="9476" max="9476" width="9.42578125" style="988" customWidth="1"/>
    <col min="9477" max="9477" width="9.140625" style="988" customWidth="1"/>
    <col min="9478" max="9478" width="9.5703125" style="988" customWidth="1"/>
    <col min="9479" max="9479" width="9.42578125" style="988" customWidth="1"/>
    <col min="9480" max="9480" width="8.7109375" style="988" customWidth="1"/>
    <col min="9481" max="9481" width="8.140625" style="988" customWidth="1"/>
    <col min="9482" max="9482" width="8.28515625" style="988" customWidth="1"/>
    <col min="9483" max="9483" width="7.140625" style="988" customWidth="1"/>
    <col min="9484" max="9486" width="7" style="988" bestFit="1" customWidth="1"/>
    <col min="9487" max="9487" width="8" style="988" customWidth="1"/>
    <col min="9488" max="9728" width="9.140625" style="988"/>
    <col min="9729" max="9729" width="4.28515625" style="988" customWidth="1"/>
    <col min="9730" max="9730" width="28.28515625" style="988" customWidth="1"/>
    <col min="9731" max="9731" width="9.7109375" style="988" customWidth="1"/>
    <col min="9732" max="9732" width="9.42578125" style="988" customWidth="1"/>
    <col min="9733" max="9733" width="9.140625" style="988" customWidth="1"/>
    <col min="9734" max="9734" width="9.5703125" style="988" customWidth="1"/>
    <col min="9735" max="9735" width="9.42578125" style="988" customWidth="1"/>
    <col min="9736" max="9736" width="8.7109375" style="988" customWidth="1"/>
    <col min="9737" max="9737" width="8.140625" style="988" customWidth="1"/>
    <col min="9738" max="9738" width="8.28515625" style="988" customWidth="1"/>
    <col min="9739" max="9739" width="7.140625" style="988" customWidth="1"/>
    <col min="9740" max="9742" width="7" style="988" bestFit="1" customWidth="1"/>
    <col min="9743" max="9743" width="8" style="988" customWidth="1"/>
    <col min="9744" max="9984" width="9.140625" style="988"/>
    <col min="9985" max="9985" width="4.28515625" style="988" customWidth="1"/>
    <col min="9986" max="9986" width="28.28515625" style="988" customWidth="1"/>
    <col min="9987" max="9987" width="9.7109375" style="988" customWidth="1"/>
    <col min="9988" max="9988" width="9.42578125" style="988" customWidth="1"/>
    <col min="9989" max="9989" width="9.140625" style="988" customWidth="1"/>
    <col min="9990" max="9990" width="9.5703125" style="988" customWidth="1"/>
    <col min="9991" max="9991" width="9.42578125" style="988" customWidth="1"/>
    <col min="9992" max="9992" width="8.7109375" style="988" customWidth="1"/>
    <col min="9993" max="9993" width="8.140625" style="988" customWidth="1"/>
    <col min="9994" max="9994" width="8.28515625" style="988" customWidth="1"/>
    <col min="9995" max="9995" width="7.140625" style="988" customWidth="1"/>
    <col min="9996" max="9998" width="7" style="988" bestFit="1" customWidth="1"/>
    <col min="9999" max="9999" width="8" style="988" customWidth="1"/>
    <col min="10000" max="10240" width="9.140625" style="988"/>
    <col min="10241" max="10241" width="4.28515625" style="988" customWidth="1"/>
    <col min="10242" max="10242" width="28.28515625" style="988" customWidth="1"/>
    <col min="10243" max="10243" width="9.7109375" style="988" customWidth="1"/>
    <col min="10244" max="10244" width="9.42578125" style="988" customWidth="1"/>
    <col min="10245" max="10245" width="9.140625" style="988" customWidth="1"/>
    <col min="10246" max="10246" width="9.5703125" style="988" customWidth="1"/>
    <col min="10247" max="10247" width="9.42578125" style="988" customWidth="1"/>
    <col min="10248" max="10248" width="8.7109375" style="988" customWidth="1"/>
    <col min="10249" max="10249" width="8.140625" style="988" customWidth="1"/>
    <col min="10250" max="10250" width="8.28515625" style="988" customWidth="1"/>
    <col min="10251" max="10251" width="7.140625" style="988" customWidth="1"/>
    <col min="10252" max="10254" width="7" style="988" bestFit="1" customWidth="1"/>
    <col min="10255" max="10255" width="8" style="988" customWidth="1"/>
    <col min="10256" max="10496" width="9.140625" style="988"/>
    <col min="10497" max="10497" width="4.28515625" style="988" customWidth="1"/>
    <col min="10498" max="10498" width="28.28515625" style="988" customWidth="1"/>
    <col min="10499" max="10499" width="9.7109375" style="988" customWidth="1"/>
    <col min="10500" max="10500" width="9.42578125" style="988" customWidth="1"/>
    <col min="10501" max="10501" width="9.140625" style="988" customWidth="1"/>
    <col min="10502" max="10502" width="9.5703125" style="988" customWidth="1"/>
    <col min="10503" max="10503" width="9.42578125" style="988" customWidth="1"/>
    <col min="10504" max="10504" width="8.7109375" style="988" customWidth="1"/>
    <col min="10505" max="10505" width="8.140625" style="988" customWidth="1"/>
    <col min="10506" max="10506" width="8.28515625" style="988" customWidth="1"/>
    <col min="10507" max="10507" width="7.140625" style="988" customWidth="1"/>
    <col min="10508" max="10510" width="7" style="988" bestFit="1" customWidth="1"/>
    <col min="10511" max="10511" width="8" style="988" customWidth="1"/>
    <col min="10512" max="10752" width="9.140625" style="988"/>
    <col min="10753" max="10753" width="4.28515625" style="988" customWidth="1"/>
    <col min="10754" max="10754" width="28.28515625" style="988" customWidth="1"/>
    <col min="10755" max="10755" width="9.7109375" style="988" customWidth="1"/>
    <col min="10756" max="10756" width="9.42578125" style="988" customWidth="1"/>
    <col min="10757" max="10757" width="9.140625" style="988" customWidth="1"/>
    <col min="10758" max="10758" width="9.5703125" style="988" customWidth="1"/>
    <col min="10759" max="10759" width="9.42578125" style="988" customWidth="1"/>
    <col min="10760" max="10760" width="8.7109375" style="988" customWidth="1"/>
    <col min="10761" max="10761" width="8.140625" style="988" customWidth="1"/>
    <col min="10762" max="10762" width="8.28515625" style="988" customWidth="1"/>
    <col min="10763" max="10763" width="7.140625" style="988" customWidth="1"/>
    <col min="10764" max="10766" width="7" style="988" bestFit="1" customWidth="1"/>
    <col min="10767" max="10767" width="8" style="988" customWidth="1"/>
    <col min="10768" max="11008" width="9.140625" style="988"/>
    <col min="11009" max="11009" width="4.28515625" style="988" customWidth="1"/>
    <col min="11010" max="11010" width="28.28515625" style="988" customWidth="1"/>
    <col min="11011" max="11011" width="9.7109375" style="988" customWidth="1"/>
    <col min="11012" max="11012" width="9.42578125" style="988" customWidth="1"/>
    <col min="11013" max="11013" width="9.140625" style="988" customWidth="1"/>
    <col min="11014" max="11014" width="9.5703125" style="988" customWidth="1"/>
    <col min="11015" max="11015" width="9.42578125" style="988" customWidth="1"/>
    <col min="11016" max="11016" width="8.7109375" style="988" customWidth="1"/>
    <col min="11017" max="11017" width="8.140625" style="988" customWidth="1"/>
    <col min="11018" max="11018" width="8.28515625" style="988" customWidth="1"/>
    <col min="11019" max="11019" width="7.140625" style="988" customWidth="1"/>
    <col min="11020" max="11022" width="7" style="988" bestFit="1" customWidth="1"/>
    <col min="11023" max="11023" width="8" style="988" customWidth="1"/>
    <col min="11024" max="11264" width="9.140625" style="988"/>
    <col min="11265" max="11265" width="4.28515625" style="988" customWidth="1"/>
    <col min="11266" max="11266" width="28.28515625" style="988" customWidth="1"/>
    <col min="11267" max="11267" width="9.7109375" style="988" customWidth="1"/>
    <col min="11268" max="11268" width="9.42578125" style="988" customWidth="1"/>
    <col min="11269" max="11269" width="9.140625" style="988" customWidth="1"/>
    <col min="11270" max="11270" width="9.5703125" style="988" customWidth="1"/>
    <col min="11271" max="11271" width="9.42578125" style="988" customWidth="1"/>
    <col min="11272" max="11272" width="8.7109375" style="988" customWidth="1"/>
    <col min="11273" max="11273" width="8.140625" style="988" customWidth="1"/>
    <col min="11274" max="11274" width="8.28515625" style="988" customWidth="1"/>
    <col min="11275" max="11275" width="7.140625" style="988" customWidth="1"/>
    <col min="11276" max="11278" width="7" style="988" bestFit="1" customWidth="1"/>
    <col min="11279" max="11279" width="8" style="988" customWidth="1"/>
    <col min="11280" max="11520" width="9.140625" style="988"/>
    <col min="11521" max="11521" width="4.28515625" style="988" customWidth="1"/>
    <col min="11522" max="11522" width="28.28515625" style="988" customWidth="1"/>
    <col min="11523" max="11523" width="9.7109375" style="988" customWidth="1"/>
    <col min="11524" max="11524" width="9.42578125" style="988" customWidth="1"/>
    <col min="11525" max="11525" width="9.140625" style="988" customWidth="1"/>
    <col min="11526" max="11526" width="9.5703125" style="988" customWidth="1"/>
    <col min="11527" max="11527" width="9.42578125" style="988" customWidth="1"/>
    <col min="11528" max="11528" width="8.7109375" style="988" customWidth="1"/>
    <col min="11529" max="11529" width="8.140625" style="988" customWidth="1"/>
    <col min="11530" max="11530" width="8.28515625" style="988" customWidth="1"/>
    <col min="11531" max="11531" width="7.140625" style="988" customWidth="1"/>
    <col min="11532" max="11534" width="7" style="988" bestFit="1" customWidth="1"/>
    <col min="11535" max="11535" width="8" style="988" customWidth="1"/>
    <col min="11536" max="11776" width="9.140625" style="988"/>
    <col min="11777" max="11777" width="4.28515625" style="988" customWidth="1"/>
    <col min="11778" max="11778" width="28.28515625" style="988" customWidth="1"/>
    <col min="11779" max="11779" width="9.7109375" style="988" customWidth="1"/>
    <col min="11780" max="11780" width="9.42578125" style="988" customWidth="1"/>
    <col min="11781" max="11781" width="9.140625" style="988" customWidth="1"/>
    <col min="11782" max="11782" width="9.5703125" style="988" customWidth="1"/>
    <col min="11783" max="11783" width="9.42578125" style="988" customWidth="1"/>
    <col min="11784" max="11784" width="8.7109375" style="988" customWidth="1"/>
    <col min="11785" max="11785" width="8.140625" style="988" customWidth="1"/>
    <col min="11786" max="11786" width="8.28515625" style="988" customWidth="1"/>
    <col min="11787" max="11787" width="7.140625" style="988" customWidth="1"/>
    <col min="11788" max="11790" width="7" style="988" bestFit="1" customWidth="1"/>
    <col min="11791" max="11791" width="8" style="988" customWidth="1"/>
    <col min="11792" max="12032" width="9.140625" style="988"/>
    <col min="12033" max="12033" width="4.28515625" style="988" customWidth="1"/>
    <col min="12034" max="12034" width="28.28515625" style="988" customWidth="1"/>
    <col min="12035" max="12035" width="9.7109375" style="988" customWidth="1"/>
    <col min="12036" max="12036" width="9.42578125" style="988" customWidth="1"/>
    <col min="12037" max="12037" width="9.140625" style="988" customWidth="1"/>
    <col min="12038" max="12038" width="9.5703125" style="988" customWidth="1"/>
    <col min="12039" max="12039" width="9.42578125" style="988" customWidth="1"/>
    <col min="12040" max="12040" width="8.7109375" style="988" customWidth="1"/>
    <col min="12041" max="12041" width="8.140625" style="988" customWidth="1"/>
    <col min="12042" max="12042" width="8.28515625" style="988" customWidth="1"/>
    <col min="12043" max="12043" width="7.140625" style="988" customWidth="1"/>
    <col min="12044" max="12046" width="7" style="988" bestFit="1" customWidth="1"/>
    <col min="12047" max="12047" width="8" style="988" customWidth="1"/>
    <col min="12048" max="12288" width="9.140625" style="988"/>
    <col min="12289" max="12289" width="4.28515625" style="988" customWidth="1"/>
    <col min="12290" max="12290" width="28.28515625" style="988" customWidth="1"/>
    <col min="12291" max="12291" width="9.7109375" style="988" customWidth="1"/>
    <col min="12292" max="12292" width="9.42578125" style="988" customWidth="1"/>
    <col min="12293" max="12293" width="9.140625" style="988" customWidth="1"/>
    <col min="12294" max="12294" width="9.5703125" style="988" customWidth="1"/>
    <col min="12295" max="12295" width="9.42578125" style="988" customWidth="1"/>
    <col min="12296" max="12296" width="8.7109375" style="988" customWidth="1"/>
    <col min="12297" max="12297" width="8.140625" style="988" customWidth="1"/>
    <col min="12298" max="12298" width="8.28515625" style="988" customWidth="1"/>
    <col min="12299" max="12299" width="7.140625" style="988" customWidth="1"/>
    <col min="12300" max="12302" width="7" style="988" bestFit="1" customWidth="1"/>
    <col min="12303" max="12303" width="8" style="988" customWidth="1"/>
    <col min="12304" max="12544" width="9.140625" style="988"/>
    <col min="12545" max="12545" width="4.28515625" style="988" customWidth="1"/>
    <col min="12546" max="12546" width="28.28515625" style="988" customWidth="1"/>
    <col min="12547" max="12547" width="9.7109375" style="988" customWidth="1"/>
    <col min="12548" max="12548" width="9.42578125" style="988" customWidth="1"/>
    <col min="12549" max="12549" width="9.140625" style="988" customWidth="1"/>
    <col min="12550" max="12550" width="9.5703125" style="988" customWidth="1"/>
    <col min="12551" max="12551" width="9.42578125" style="988" customWidth="1"/>
    <col min="12552" max="12552" width="8.7109375" style="988" customWidth="1"/>
    <col min="12553" max="12553" width="8.140625" style="988" customWidth="1"/>
    <col min="12554" max="12554" width="8.28515625" style="988" customWidth="1"/>
    <col min="12555" max="12555" width="7.140625" style="988" customWidth="1"/>
    <col min="12556" max="12558" width="7" style="988" bestFit="1" customWidth="1"/>
    <col min="12559" max="12559" width="8" style="988" customWidth="1"/>
    <col min="12560" max="12800" width="9.140625" style="988"/>
    <col min="12801" max="12801" width="4.28515625" style="988" customWidth="1"/>
    <col min="12802" max="12802" width="28.28515625" style="988" customWidth="1"/>
    <col min="12803" max="12803" width="9.7109375" style="988" customWidth="1"/>
    <col min="12804" max="12804" width="9.42578125" style="988" customWidth="1"/>
    <col min="12805" max="12805" width="9.140625" style="988" customWidth="1"/>
    <col min="12806" max="12806" width="9.5703125" style="988" customWidth="1"/>
    <col min="12807" max="12807" width="9.42578125" style="988" customWidth="1"/>
    <col min="12808" max="12808" width="8.7109375" style="988" customWidth="1"/>
    <col min="12809" max="12809" width="8.140625" style="988" customWidth="1"/>
    <col min="12810" max="12810" width="8.28515625" style="988" customWidth="1"/>
    <col min="12811" max="12811" width="7.140625" style="988" customWidth="1"/>
    <col min="12812" max="12814" width="7" style="988" bestFit="1" customWidth="1"/>
    <col min="12815" max="12815" width="8" style="988" customWidth="1"/>
    <col min="12816" max="13056" width="9.140625" style="988"/>
    <col min="13057" max="13057" width="4.28515625" style="988" customWidth="1"/>
    <col min="13058" max="13058" width="28.28515625" style="988" customWidth="1"/>
    <col min="13059" max="13059" width="9.7109375" style="988" customWidth="1"/>
    <col min="13060" max="13060" width="9.42578125" style="988" customWidth="1"/>
    <col min="13061" max="13061" width="9.140625" style="988" customWidth="1"/>
    <col min="13062" max="13062" width="9.5703125" style="988" customWidth="1"/>
    <col min="13063" max="13063" width="9.42578125" style="988" customWidth="1"/>
    <col min="13064" max="13064" width="8.7109375" style="988" customWidth="1"/>
    <col min="13065" max="13065" width="8.140625" style="988" customWidth="1"/>
    <col min="13066" max="13066" width="8.28515625" style="988" customWidth="1"/>
    <col min="13067" max="13067" width="7.140625" style="988" customWidth="1"/>
    <col min="13068" max="13070" width="7" style="988" bestFit="1" customWidth="1"/>
    <col min="13071" max="13071" width="8" style="988" customWidth="1"/>
    <col min="13072" max="13312" width="9.140625" style="988"/>
    <col min="13313" max="13313" width="4.28515625" style="988" customWidth="1"/>
    <col min="13314" max="13314" width="28.28515625" style="988" customWidth="1"/>
    <col min="13315" max="13315" width="9.7109375" style="988" customWidth="1"/>
    <col min="13316" max="13316" width="9.42578125" style="988" customWidth="1"/>
    <col min="13317" max="13317" width="9.140625" style="988" customWidth="1"/>
    <col min="13318" max="13318" width="9.5703125" style="988" customWidth="1"/>
    <col min="13319" max="13319" width="9.42578125" style="988" customWidth="1"/>
    <col min="13320" max="13320" width="8.7109375" style="988" customWidth="1"/>
    <col min="13321" max="13321" width="8.140625" style="988" customWidth="1"/>
    <col min="13322" max="13322" width="8.28515625" style="988" customWidth="1"/>
    <col min="13323" max="13323" width="7.140625" style="988" customWidth="1"/>
    <col min="13324" max="13326" width="7" style="988" bestFit="1" customWidth="1"/>
    <col min="13327" max="13327" width="8" style="988" customWidth="1"/>
    <col min="13328" max="13568" width="9.140625" style="988"/>
    <col min="13569" max="13569" width="4.28515625" style="988" customWidth="1"/>
    <col min="13570" max="13570" width="28.28515625" style="988" customWidth="1"/>
    <col min="13571" max="13571" width="9.7109375" style="988" customWidth="1"/>
    <col min="13572" max="13572" width="9.42578125" style="988" customWidth="1"/>
    <col min="13573" max="13573" width="9.140625" style="988" customWidth="1"/>
    <col min="13574" max="13574" width="9.5703125" style="988" customWidth="1"/>
    <col min="13575" max="13575" width="9.42578125" style="988" customWidth="1"/>
    <col min="13576" max="13576" width="8.7109375" style="988" customWidth="1"/>
    <col min="13577" max="13577" width="8.140625" style="988" customWidth="1"/>
    <col min="13578" max="13578" width="8.28515625" style="988" customWidth="1"/>
    <col min="13579" max="13579" width="7.140625" style="988" customWidth="1"/>
    <col min="13580" max="13582" width="7" style="988" bestFit="1" customWidth="1"/>
    <col min="13583" max="13583" width="8" style="988" customWidth="1"/>
    <col min="13584" max="13824" width="9.140625" style="988"/>
    <col min="13825" max="13825" width="4.28515625" style="988" customWidth="1"/>
    <col min="13826" max="13826" width="28.28515625" style="988" customWidth="1"/>
    <col min="13827" max="13827" width="9.7109375" style="988" customWidth="1"/>
    <col min="13828" max="13828" width="9.42578125" style="988" customWidth="1"/>
    <col min="13829" max="13829" width="9.140625" style="988" customWidth="1"/>
    <col min="13830" max="13830" width="9.5703125" style="988" customWidth="1"/>
    <col min="13831" max="13831" width="9.42578125" style="988" customWidth="1"/>
    <col min="13832" max="13832" width="8.7109375" style="988" customWidth="1"/>
    <col min="13833" max="13833" width="8.140625" style="988" customWidth="1"/>
    <col min="13834" max="13834" width="8.28515625" style="988" customWidth="1"/>
    <col min="13835" max="13835" width="7.140625" style="988" customWidth="1"/>
    <col min="13836" max="13838" width="7" style="988" bestFit="1" customWidth="1"/>
    <col min="13839" max="13839" width="8" style="988" customWidth="1"/>
    <col min="13840" max="14080" width="9.140625" style="988"/>
    <col min="14081" max="14081" width="4.28515625" style="988" customWidth="1"/>
    <col min="14082" max="14082" width="28.28515625" style="988" customWidth="1"/>
    <col min="14083" max="14083" width="9.7109375" style="988" customWidth="1"/>
    <col min="14084" max="14084" width="9.42578125" style="988" customWidth="1"/>
    <col min="14085" max="14085" width="9.140625" style="988" customWidth="1"/>
    <col min="14086" max="14086" width="9.5703125" style="988" customWidth="1"/>
    <col min="14087" max="14087" width="9.42578125" style="988" customWidth="1"/>
    <col min="14088" max="14088" width="8.7109375" style="988" customWidth="1"/>
    <col min="14089" max="14089" width="8.140625" style="988" customWidth="1"/>
    <col min="14090" max="14090" width="8.28515625" style="988" customWidth="1"/>
    <col min="14091" max="14091" width="7.140625" style="988" customWidth="1"/>
    <col min="14092" max="14094" width="7" style="988" bestFit="1" customWidth="1"/>
    <col min="14095" max="14095" width="8" style="988" customWidth="1"/>
    <col min="14096" max="14336" width="9.140625" style="988"/>
    <col min="14337" max="14337" width="4.28515625" style="988" customWidth="1"/>
    <col min="14338" max="14338" width="28.28515625" style="988" customWidth="1"/>
    <col min="14339" max="14339" width="9.7109375" style="988" customWidth="1"/>
    <col min="14340" max="14340" width="9.42578125" style="988" customWidth="1"/>
    <col min="14341" max="14341" width="9.140625" style="988" customWidth="1"/>
    <col min="14342" max="14342" width="9.5703125" style="988" customWidth="1"/>
    <col min="14343" max="14343" width="9.42578125" style="988" customWidth="1"/>
    <col min="14344" max="14344" width="8.7109375" style="988" customWidth="1"/>
    <col min="14345" max="14345" width="8.140625" style="988" customWidth="1"/>
    <col min="14346" max="14346" width="8.28515625" style="988" customWidth="1"/>
    <col min="14347" max="14347" width="7.140625" style="988" customWidth="1"/>
    <col min="14348" max="14350" width="7" style="988" bestFit="1" customWidth="1"/>
    <col min="14351" max="14351" width="8" style="988" customWidth="1"/>
    <col min="14352" max="14592" width="9.140625" style="988"/>
    <col min="14593" max="14593" width="4.28515625" style="988" customWidth="1"/>
    <col min="14594" max="14594" width="28.28515625" style="988" customWidth="1"/>
    <col min="14595" max="14595" width="9.7109375" style="988" customWidth="1"/>
    <col min="14596" max="14596" width="9.42578125" style="988" customWidth="1"/>
    <col min="14597" max="14597" width="9.140625" style="988" customWidth="1"/>
    <col min="14598" max="14598" width="9.5703125" style="988" customWidth="1"/>
    <col min="14599" max="14599" width="9.42578125" style="988" customWidth="1"/>
    <col min="14600" max="14600" width="8.7109375" style="988" customWidth="1"/>
    <col min="14601" max="14601" width="8.140625" style="988" customWidth="1"/>
    <col min="14602" max="14602" width="8.28515625" style="988" customWidth="1"/>
    <col min="14603" max="14603" width="7.140625" style="988" customWidth="1"/>
    <col min="14604" max="14606" width="7" style="988" bestFit="1" customWidth="1"/>
    <col min="14607" max="14607" width="8" style="988" customWidth="1"/>
    <col min="14608" max="14848" width="9.140625" style="988"/>
    <col min="14849" max="14849" width="4.28515625" style="988" customWidth="1"/>
    <col min="14850" max="14850" width="28.28515625" style="988" customWidth="1"/>
    <col min="14851" max="14851" width="9.7109375" style="988" customWidth="1"/>
    <col min="14852" max="14852" width="9.42578125" style="988" customWidth="1"/>
    <col min="14853" max="14853" width="9.140625" style="988" customWidth="1"/>
    <col min="14854" max="14854" width="9.5703125" style="988" customWidth="1"/>
    <col min="14855" max="14855" width="9.42578125" style="988" customWidth="1"/>
    <col min="14856" max="14856" width="8.7109375" style="988" customWidth="1"/>
    <col min="14857" max="14857" width="8.140625" style="988" customWidth="1"/>
    <col min="14858" max="14858" width="8.28515625" style="988" customWidth="1"/>
    <col min="14859" max="14859" width="7.140625" style="988" customWidth="1"/>
    <col min="14860" max="14862" width="7" style="988" bestFit="1" customWidth="1"/>
    <col min="14863" max="14863" width="8" style="988" customWidth="1"/>
    <col min="14864" max="15104" width="9.140625" style="988"/>
    <col min="15105" max="15105" width="4.28515625" style="988" customWidth="1"/>
    <col min="15106" max="15106" width="28.28515625" style="988" customWidth="1"/>
    <col min="15107" max="15107" width="9.7109375" style="988" customWidth="1"/>
    <col min="15108" max="15108" width="9.42578125" style="988" customWidth="1"/>
    <col min="15109" max="15109" width="9.140625" style="988" customWidth="1"/>
    <col min="15110" max="15110" width="9.5703125" style="988" customWidth="1"/>
    <col min="15111" max="15111" width="9.42578125" style="988" customWidth="1"/>
    <col min="15112" max="15112" width="8.7109375" style="988" customWidth="1"/>
    <col min="15113" max="15113" width="8.140625" style="988" customWidth="1"/>
    <col min="15114" max="15114" width="8.28515625" style="988" customWidth="1"/>
    <col min="15115" max="15115" width="7.140625" style="988" customWidth="1"/>
    <col min="15116" max="15118" width="7" style="988" bestFit="1" customWidth="1"/>
    <col min="15119" max="15119" width="8" style="988" customWidth="1"/>
    <col min="15120" max="15360" width="9.140625" style="988"/>
    <col min="15361" max="15361" width="4.28515625" style="988" customWidth="1"/>
    <col min="15362" max="15362" width="28.28515625" style="988" customWidth="1"/>
    <col min="15363" max="15363" width="9.7109375" style="988" customWidth="1"/>
    <col min="15364" max="15364" width="9.42578125" style="988" customWidth="1"/>
    <col min="15365" max="15365" width="9.140625" style="988" customWidth="1"/>
    <col min="15366" max="15366" width="9.5703125" style="988" customWidth="1"/>
    <col min="15367" max="15367" width="9.42578125" style="988" customWidth="1"/>
    <col min="15368" max="15368" width="8.7109375" style="988" customWidth="1"/>
    <col min="15369" max="15369" width="8.140625" style="988" customWidth="1"/>
    <col min="15370" max="15370" width="8.28515625" style="988" customWidth="1"/>
    <col min="15371" max="15371" width="7.140625" style="988" customWidth="1"/>
    <col min="15372" max="15374" width="7" style="988" bestFit="1" customWidth="1"/>
    <col min="15375" max="15375" width="8" style="988" customWidth="1"/>
    <col min="15376" max="15616" width="9.140625" style="988"/>
    <col min="15617" max="15617" width="4.28515625" style="988" customWidth="1"/>
    <col min="15618" max="15618" width="28.28515625" style="988" customWidth="1"/>
    <col min="15619" max="15619" width="9.7109375" style="988" customWidth="1"/>
    <col min="15620" max="15620" width="9.42578125" style="988" customWidth="1"/>
    <col min="15621" max="15621" width="9.140625" style="988" customWidth="1"/>
    <col min="15622" max="15622" width="9.5703125" style="988" customWidth="1"/>
    <col min="15623" max="15623" width="9.42578125" style="988" customWidth="1"/>
    <col min="15624" max="15624" width="8.7109375" style="988" customWidth="1"/>
    <col min="15625" max="15625" width="8.140625" style="988" customWidth="1"/>
    <col min="15626" max="15626" width="8.28515625" style="988" customWidth="1"/>
    <col min="15627" max="15627" width="7.140625" style="988" customWidth="1"/>
    <col min="15628" max="15630" width="7" style="988" bestFit="1" customWidth="1"/>
    <col min="15631" max="15631" width="8" style="988" customWidth="1"/>
    <col min="15632" max="15872" width="9.140625" style="988"/>
    <col min="15873" max="15873" width="4.28515625" style="988" customWidth="1"/>
    <col min="15874" max="15874" width="28.28515625" style="988" customWidth="1"/>
    <col min="15875" max="15875" width="9.7109375" style="988" customWidth="1"/>
    <col min="15876" max="15876" width="9.42578125" style="988" customWidth="1"/>
    <col min="15877" max="15877" width="9.140625" style="988" customWidth="1"/>
    <col min="15878" max="15878" width="9.5703125" style="988" customWidth="1"/>
    <col min="15879" max="15879" width="9.42578125" style="988" customWidth="1"/>
    <col min="15880" max="15880" width="8.7109375" style="988" customWidth="1"/>
    <col min="15881" max="15881" width="8.140625" style="988" customWidth="1"/>
    <col min="15882" max="15882" width="8.28515625" style="988" customWidth="1"/>
    <col min="15883" max="15883" width="7.140625" style="988" customWidth="1"/>
    <col min="15884" max="15886" width="7" style="988" bestFit="1" customWidth="1"/>
    <col min="15887" max="15887" width="8" style="988" customWidth="1"/>
    <col min="15888" max="16128" width="9.140625" style="988"/>
    <col min="16129" max="16129" width="4.28515625" style="988" customWidth="1"/>
    <col min="16130" max="16130" width="28.28515625" style="988" customWidth="1"/>
    <col min="16131" max="16131" width="9.7109375" style="988" customWidth="1"/>
    <col min="16132" max="16132" width="9.42578125" style="988" customWidth="1"/>
    <col min="16133" max="16133" width="9.140625" style="988" customWidth="1"/>
    <col min="16134" max="16134" width="9.5703125" style="988" customWidth="1"/>
    <col min="16135" max="16135" width="9.42578125" style="988" customWidth="1"/>
    <col min="16136" max="16136" width="8.7109375" style="988" customWidth="1"/>
    <col min="16137" max="16137" width="8.140625" style="988" customWidth="1"/>
    <col min="16138" max="16138" width="8.28515625" style="988" customWidth="1"/>
    <col min="16139" max="16139" width="7.140625" style="988" customWidth="1"/>
    <col min="16140" max="16142" width="7" style="988" bestFit="1" customWidth="1"/>
    <col min="16143" max="16143" width="8" style="988" customWidth="1"/>
    <col min="16144" max="16384" width="9.140625" style="988"/>
  </cols>
  <sheetData>
    <row r="1" spans="1:41" ht="18.75">
      <c r="A1" s="983" t="s">
        <v>643</v>
      </c>
      <c r="B1" s="984"/>
      <c r="C1" s="985"/>
      <c r="D1" s="984"/>
      <c r="E1" s="984"/>
      <c r="F1" s="986"/>
      <c r="G1" s="984"/>
      <c r="H1" s="984"/>
      <c r="I1" s="984"/>
      <c r="J1" s="987"/>
    </row>
    <row r="2" spans="1:41" ht="15.75" customHeight="1" thickBot="1">
      <c r="A2" s="984"/>
      <c r="B2" s="984"/>
      <c r="C2" s="3224" t="s">
        <v>644</v>
      </c>
      <c r="D2" s="3224"/>
      <c r="E2" s="3224"/>
      <c r="F2" s="3224"/>
      <c r="G2" s="3225"/>
      <c r="H2" s="3225"/>
      <c r="I2" s="989"/>
      <c r="K2" s="990"/>
      <c r="L2"/>
      <c r="M2" s="987"/>
      <c r="N2" s="987"/>
      <c r="O2" s="987"/>
    </row>
    <row r="3" spans="1:41" ht="15" customHeight="1" thickBot="1">
      <c r="A3" s="3226"/>
      <c r="B3" s="3227"/>
      <c r="C3" s="3228" t="s">
        <v>645</v>
      </c>
      <c r="D3" s="3229"/>
      <c r="E3" s="3229"/>
      <c r="F3" s="3229"/>
      <c r="G3" s="991" t="s">
        <v>198</v>
      </c>
      <c r="H3" s="992" t="s">
        <v>198</v>
      </c>
      <c r="K3" s="993"/>
      <c r="L3" s="993"/>
    </row>
    <row r="4" spans="1:41" ht="26.25" customHeight="1" thickBot="1">
      <c r="A4" s="994"/>
      <c r="B4" s="995"/>
      <c r="C4" s="996" t="s">
        <v>646</v>
      </c>
      <c r="D4" s="996" t="s">
        <v>647</v>
      </c>
      <c r="E4" s="996" t="s">
        <v>648</v>
      </c>
      <c r="F4" s="996" t="s">
        <v>649</v>
      </c>
      <c r="G4" s="997">
        <v>41791</v>
      </c>
      <c r="H4" s="998">
        <v>41821</v>
      </c>
      <c r="K4" s="993"/>
      <c r="L4" s="993"/>
      <c r="M4" s="999"/>
      <c r="N4" s="999"/>
      <c r="O4" s="999"/>
      <c r="P4" s="999"/>
      <c r="Q4" s="999"/>
      <c r="R4" s="999"/>
      <c r="S4" s="999"/>
      <c r="T4" s="999"/>
      <c r="U4" s="999"/>
      <c r="V4" s="999"/>
      <c r="W4" s="999"/>
      <c r="X4" s="999"/>
      <c r="Y4" s="999"/>
      <c r="Z4" s="999"/>
      <c r="AA4" s="999"/>
      <c r="AB4" s="999"/>
      <c r="AC4" s="999"/>
    </row>
    <row r="5" spans="1:41" ht="7.5" customHeight="1">
      <c r="A5" s="1000"/>
      <c r="B5" s="1001"/>
      <c r="C5" s="1002" t="s">
        <v>28</v>
      </c>
      <c r="D5" s="1002"/>
      <c r="E5" s="1003"/>
      <c r="F5" s="1004"/>
      <c r="G5" s="1005"/>
      <c r="H5" s="1006"/>
      <c r="K5" s="993"/>
      <c r="L5" s="993"/>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row>
    <row r="6" spans="1:41" ht="16.5" customHeight="1">
      <c r="A6" s="1007">
        <v>1</v>
      </c>
      <c r="B6" s="1008" t="s">
        <v>650</v>
      </c>
      <c r="C6" s="1009">
        <v>500</v>
      </c>
      <c r="D6" s="1010">
        <v>500</v>
      </c>
      <c r="E6" s="1009">
        <v>500</v>
      </c>
      <c r="F6" s="1009">
        <v>500</v>
      </c>
      <c r="G6" s="1009">
        <v>2000</v>
      </c>
      <c r="H6" s="1011">
        <f>SUM(C6:F6)</f>
        <v>2000</v>
      </c>
      <c r="K6" s="993"/>
      <c r="L6" s="993"/>
      <c r="M6" s="1012"/>
      <c r="N6" s="1012"/>
      <c r="O6" s="1012"/>
    </row>
    <row r="7" spans="1:41" ht="16.5" customHeight="1">
      <c r="A7" s="1007">
        <v>2</v>
      </c>
      <c r="B7" s="1008" t="s">
        <v>651</v>
      </c>
      <c r="C7" s="1009">
        <v>2350</v>
      </c>
      <c r="D7" s="1010">
        <v>2175</v>
      </c>
      <c r="E7" s="1009">
        <v>2015</v>
      </c>
      <c r="F7" s="1009">
        <v>2345</v>
      </c>
      <c r="G7" s="1009">
        <v>8785</v>
      </c>
      <c r="H7" s="1011">
        <f>SUM(C7:F7)</f>
        <v>8885</v>
      </c>
      <c r="K7" s="993"/>
      <c r="L7" s="993"/>
      <c r="M7" s="1012"/>
      <c r="N7" s="1012"/>
      <c r="O7" s="1012"/>
    </row>
    <row r="8" spans="1:41" ht="16.5" customHeight="1">
      <c r="A8" s="1007">
        <v>3</v>
      </c>
      <c r="B8" s="1013" t="s">
        <v>652</v>
      </c>
      <c r="C8" s="1009">
        <v>500</v>
      </c>
      <c r="D8" s="1010">
        <v>500</v>
      </c>
      <c r="E8" s="1009">
        <v>500</v>
      </c>
      <c r="F8" s="1009">
        <v>500</v>
      </c>
      <c r="G8" s="1009">
        <v>2000</v>
      </c>
      <c r="H8" s="1011">
        <f>SUM(C8:F8)</f>
        <v>2000</v>
      </c>
      <c r="K8" s="993"/>
      <c r="L8" s="1014"/>
    </row>
    <row r="9" spans="1:41" ht="16.5" customHeight="1">
      <c r="A9" s="1007">
        <v>4</v>
      </c>
      <c r="B9" s="1008" t="s">
        <v>653</v>
      </c>
      <c r="C9" s="1009">
        <v>1200</v>
      </c>
      <c r="D9" s="1010">
        <v>350</v>
      </c>
      <c r="E9" s="1015">
        <v>600</v>
      </c>
      <c r="F9" s="1009">
        <v>600</v>
      </c>
      <c r="G9" s="1009">
        <v>1540</v>
      </c>
      <c r="H9" s="1011">
        <f>SUM(C9:F9)</f>
        <v>2750</v>
      </c>
      <c r="K9" s="993"/>
      <c r="L9" s="1012"/>
      <c r="M9" s="1012"/>
      <c r="N9" s="1012"/>
      <c r="O9" s="1012"/>
    </row>
    <row r="10" spans="1:41" ht="16.5" customHeight="1">
      <c r="A10" s="1007">
        <v>5</v>
      </c>
      <c r="B10" s="1008" t="s">
        <v>654</v>
      </c>
      <c r="C10" s="1016">
        <f>C8-C9</f>
        <v>-700</v>
      </c>
      <c r="D10" s="1016">
        <f>D8-D9</f>
        <v>150</v>
      </c>
      <c r="E10" s="1016">
        <f>E8-E9</f>
        <v>-100</v>
      </c>
      <c r="F10" s="1016">
        <f>F8-F9</f>
        <v>-100</v>
      </c>
      <c r="G10" s="1016">
        <v>460</v>
      </c>
      <c r="H10" s="1017">
        <f>SUM(C10:F10)</f>
        <v>-750</v>
      </c>
      <c r="K10" s="993"/>
      <c r="L10" s="993"/>
      <c r="M10" s="1012"/>
      <c r="N10" s="1012"/>
      <c r="O10" s="1012"/>
    </row>
    <row r="11" spans="1:41" ht="5.25" customHeight="1" thickBot="1">
      <c r="A11" s="1018"/>
      <c r="B11" s="1019"/>
      <c r="C11" s="1020"/>
      <c r="D11" s="1020"/>
      <c r="E11" s="1020"/>
      <c r="F11" s="1021"/>
      <c r="G11" s="1021"/>
      <c r="H11" s="1022"/>
      <c r="K11" s="1023"/>
    </row>
    <row r="12" spans="1:41" ht="14.25" customHeight="1">
      <c r="A12" s="1024" t="s">
        <v>240</v>
      </c>
      <c r="C12" s="1025"/>
      <c r="D12" s="993"/>
      <c r="E12" s="993"/>
      <c r="F12" s="1025"/>
      <c r="G12" s="993"/>
      <c r="I12" s="993"/>
      <c r="J12" s="993"/>
      <c r="K12" s="988" t="s">
        <v>28</v>
      </c>
      <c r="L12" s="1026"/>
    </row>
    <row r="13" spans="1:41">
      <c r="A13" s="1024" t="s">
        <v>655</v>
      </c>
      <c r="B13" s="1024"/>
      <c r="C13" s="1027"/>
      <c r="D13" s="1027"/>
      <c r="E13" s="1027"/>
      <c r="F13" s="1027"/>
      <c r="G13" s="1027"/>
    </row>
    <row r="14" spans="1:41" ht="8.25" customHeight="1">
      <c r="A14" s="1024"/>
      <c r="D14" s="999"/>
      <c r="E14" s="999"/>
      <c r="F14" s="999"/>
      <c r="G14" s="999"/>
      <c r="H14" s="999"/>
      <c r="I14" s="999"/>
    </row>
    <row r="15" spans="1:41" ht="18.75" customHeight="1">
      <c r="A15" s="983" t="s">
        <v>656</v>
      </c>
      <c r="B15" s="984"/>
      <c r="C15" s="985"/>
      <c r="D15" s="984"/>
      <c r="E15" s="984"/>
      <c r="F15" s="986"/>
      <c r="G15" s="984"/>
      <c r="H15" s="984"/>
      <c r="I15" s="984"/>
      <c r="J15" s="987"/>
    </row>
    <row r="16" spans="1:41" ht="4.5" customHeight="1" thickBot="1">
      <c r="F16" s="999"/>
      <c r="G16" s="1028"/>
    </row>
    <row r="17" spans="1:15" ht="25.5" customHeight="1" thickTop="1" thickBot="1">
      <c r="A17" s="1029"/>
      <c r="B17" s="1030"/>
      <c r="C17" s="1031">
        <v>41456</v>
      </c>
      <c r="D17" s="1031">
        <v>41487</v>
      </c>
      <c r="E17" s="1031">
        <v>41518</v>
      </c>
      <c r="F17" s="1031">
        <v>41548</v>
      </c>
      <c r="G17" s="1031">
        <v>41579</v>
      </c>
      <c r="H17" s="1031">
        <v>41609</v>
      </c>
      <c r="I17" s="1031">
        <v>41640</v>
      </c>
      <c r="J17" s="1031">
        <v>41671</v>
      </c>
      <c r="K17" s="1031">
        <v>41699</v>
      </c>
      <c r="L17" s="1031">
        <v>41730</v>
      </c>
      <c r="M17" s="1031">
        <v>41760</v>
      </c>
      <c r="N17" s="1031">
        <v>41791</v>
      </c>
      <c r="O17" s="1031">
        <v>41821</v>
      </c>
    </row>
    <row r="18" spans="1:15" s="1024" customFormat="1" ht="18.75" customHeight="1" thickBot="1">
      <c r="A18" s="1032"/>
      <c r="B18" s="3230" t="s">
        <v>657</v>
      </c>
      <c r="C18" s="3230"/>
      <c r="D18" s="3230"/>
      <c r="E18" s="3230"/>
      <c r="F18" s="3230"/>
      <c r="G18" s="3230"/>
      <c r="H18" s="3230"/>
      <c r="I18" s="3230"/>
      <c r="J18" s="3230"/>
      <c r="K18" s="3230"/>
      <c r="L18" s="3230"/>
      <c r="M18" s="3230"/>
      <c r="N18" s="3230"/>
      <c r="O18" s="3231"/>
    </row>
    <row r="19" spans="1:15" ht="6" customHeight="1" thickTop="1">
      <c r="A19" s="1033"/>
      <c r="B19" s="1034"/>
      <c r="C19" s="1035"/>
      <c r="D19" s="1036"/>
      <c r="E19" s="1035"/>
      <c r="F19" s="1035"/>
      <c r="G19" s="1035"/>
      <c r="H19" s="1035"/>
      <c r="I19" s="1035"/>
      <c r="J19" s="1035"/>
      <c r="K19" s="1035"/>
      <c r="L19" s="1035"/>
      <c r="M19" s="1035"/>
      <c r="N19" s="1035"/>
      <c r="O19" s="1035"/>
    </row>
    <row r="20" spans="1:15" ht="15.75">
      <c r="A20" s="1037">
        <v>1</v>
      </c>
      <c r="B20" s="1038" t="s">
        <v>658</v>
      </c>
      <c r="C20" s="1039">
        <v>2400</v>
      </c>
      <c r="D20" s="1039">
        <v>3400</v>
      </c>
      <c r="E20" s="1039">
        <v>2700</v>
      </c>
      <c r="F20" s="1039">
        <v>3000</v>
      </c>
      <c r="G20" s="1039">
        <v>2000</v>
      </c>
      <c r="H20" s="1039">
        <v>2300</v>
      </c>
      <c r="I20" s="1039">
        <v>3000</v>
      </c>
      <c r="J20" s="1039">
        <v>2400</v>
      </c>
      <c r="K20" s="1039">
        <v>2500</v>
      </c>
      <c r="L20" s="1039">
        <v>2400</v>
      </c>
      <c r="M20" s="1039">
        <v>2600</v>
      </c>
      <c r="N20" s="1039">
        <v>2000</v>
      </c>
      <c r="O20" s="1039">
        <v>2000</v>
      </c>
    </row>
    <row r="21" spans="1:15" ht="5.25" customHeight="1">
      <c r="A21" s="1040"/>
      <c r="B21" s="1038"/>
      <c r="C21" s="1041"/>
      <c r="D21" s="1041"/>
      <c r="E21" s="1041"/>
      <c r="F21" s="1041"/>
      <c r="G21" s="1041"/>
      <c r="H21" s="1041"/>
      <c r="I21" s="1041"/>
      <c r="J21" s="1041"/>
      <c r="K21" s="1041"/>
      <c r="L21" s="1041"/>
      <c r="M21" s="1041"/>
      <c r="N21" s="1041"/>
      <c r="O21" s="1041"/>
    </row>
    <row r="22" spans="1:15" ht="16.5" customHeight="1">
      <c r="A22" s="1037">
        <v>2</v>
      </c>
      <c r="B22" s="1038" t="s">
        <v>659</v>
      </c>
      <c r="C22" s="1042">
        <v>4395</v>
      </c>
      <c r="D22" s="1042">
        <v>9275</v>
      </c>
      <c r="E22" s="1042">
        <v>6187</v>
      </c>
      <c r="F22" s="1042">
        <v>2965</v>
      </c>
      <c r="G22" s="1042">
        <v>3387</v>
      </c>
      <c r="H22" s="1042">
        <v>5045</v>
      </c>
      <c r="I22" s="1042">
        <v>10270</v>
      </c>
      <c r="J22" s="1042">
        <v>8259</v>
      </c>
      <c r="K22" s="1042">
        <v>9230</v>
      </c>
      <c r="L22" s="1042">
        <v>6925</v>
      </c>
      <c r="M22" s="1042">
        <v>8998</v>
      </c>
      <c r="N22" s="1042">
        <v>8785</v>
      </c>
      <c r="O22" s="1042">
        <f>SUM(O23:O26)</f>
        <v>8885</v>
      </c>
    </row>
    <row r="23" spans="1:15" ht="16.5" customHeight="1">
      <c r="A23" s="1040"/>
      <c r="B23" s="1043" t="s">
        <v>660</v>
      </c>
      <c r="C23" s="1044" t="s">
        <v>661</v>
      </c>
      <c r="D23" s="1044" t="s">
        <v>661</v>
      </c>
      <c r="E23" s="1044">
        <v>1395</v>
      </c>
      <c r="F23" s="1044" t="s">
        <v>661</v>
      </c>
      <c r="G23" s="1044">
        <v>927</v>
      </c>
      <c r="H23" s="1010">
        <v>1465</v>
      </c>
      <c r="I23" s="1010" t="s">
        <v>661</v>
      </c>
      <c r="J23" s="1010">
        <v>2660</v>
      </c>
      <c r="K23" s="1010">
        <v>1940</v>
      </c>
      <c r="L23" s="1015">
        <v>0</v>
      </c>
      <c r="M23" s="1015">
        <v>0</v>
      </c>
      <c r="N23" s="1010">
        <v>2055</v>
      </c>
      <c r="O23" s="1010" t="s">
        <v>661</v>
      </c>
    </row>
    <row r="24" spans="1:15" ht="16.5" customHeight="1">
      <c r="A24" s="1040"/>
      <c r="B24" s="1038" t="s">
        <v>662</v>
      </c>
      <c r="C24" s="1044" t="s">
        <v>661</v>
      </c>
      <c r="D24" s="1044">
        <v>3985</v>
      </c>
      <c r="E24" s="1044">
        <v>1615</v>
      </c>
      <c r="F24" s="1044">
        <v>490</v>
      </c>
      <c r="G24" s="1044">
        <v>700</v>
      </c>
      <c r="H24" s="1010" t="s">
        <v>661</v>
      </c>
      <c r="I24" s="1010">
        <v>3120</v>
      </c>
      <c r="J24" s="1010">
        <v>1885</v>
      </c>
      <c r="K24" s="1010">
        <v>2700</v>
      </c>
      <c r="L24" s="1010">
        <v>2005</v>
      </c>
      <c r="M24" s="1010">
        <v>3393</v>
      </c>
      <c r="N24" s="1010">
        <v>2625</v>
      </c>
      <c r="O24" s="1010">
        <v>2345</v>
      </c>
    </row>
    <row r="25" spans="1:15" ht="16.5" customHeight="1">
      <c r="A25" s="1040"/>
      <c r="B25" s="1038" t="s">
        <v>663</v>
      </c>
      <c r="C25" s="1044">
        <v>2520</v>
      </c>
      <c r="D25" s="1044">
        <v>1650</v>
      </c>
      <c r="E25" s="1044">
        <v>2010</v>
      </c>
      <c r="F25" s="1044">
        <v>1265</v>
      </c>
      <c r="G25" s="1044">
        <v>1065</v>
      </c>
      <c r="H25" s="1010">
        <v>1150</v>
      </c>
      <c r="I25" s="1010">
        <v>4530</v>
      </c>
      <c r="J25" s="1010">
        <v>2260</v>
      </c>
      <c r="K25" s="1010">
        <v>2530</v>
      </c>
      <c r="L25" s="1010">
        <v>1700</v>
      </c>
      <c r="M25" s="1010">
        <v>1785</v>
      </c>
      <c r="N25" s="1010">
        <v>2195</v>
      </c>
      <c r="O25" s="1010">
        <v>2175</v>
      </c>
    </row>
    <row r="26" spans="1:15" ht="16.5" customHeight="1">
      <c r="A26" s="1040"/>
      <c r="B26" s="1038" t="s">
        <v>664</v>
      </c>
      <c r="C26" s="1044">
        <v>1875</v>
      </c>
      <c r="D26" s="1044">
        <v>3640</v>
      </c>
      <c r="E26" s="1044">
        <v>1167</v>
      </c>
      <c r="F26" s="1044">
        <v>1210</v>
      </c>
      <c r="G26" s="1044">
        <v>695</v>
      </c>
      <c r="H26" s="1010">
        <v>2430</v>
      </c>
      <c r="I26" s="1010">
        <v>2620</v>
      </c>
      <c r="J26" s="1010">
        <v>1454</v>
      </c>
      <c r="K26" s="1010">
        <v>2060</v>
      </c>
      <c r="L26" s="1010">
        <v>3220</v>
      </c>
      <c r="M26" s="1010">
        <v>3820</v>
      </c>
      <c r="N26" s="1010">
        <v>1910</v>
      </c>
      <c r="O26" s="1010">
        <f>2350+2015</f>
        <v>4365</v>
      </c>
    </row>
    <row r="27" spans="1:15" ht="16.5" customHeight="1">
      <c r="A27" s="1037">
        <v>3</v>
      </c>
      <c r="B27" s="1043" t="s">
        <v>665</v>
      </c>
      <c r="C27" s="1045">
        <v>2400</v>
      </c>
      <c r="D27" s="1045">
        <v>3400</v>
      </c>
      <c r="E27" s="1045">
        <v>2700</v>
      </c>
      <c r="F27" s="1045">
        <v>1975</v>
      </c>
      <c r="G27" s="1045">
        <v>1632</v>
      </c>
      <c r="H27" s="1046">
        <v>2300</v>
      </c>
      <c r="I27" s="1046">
        <v>3000</v>
      </c>
      <c r="J27" s="1046">
        <v>2400</v>
      </c>
      <c r="K27" s="1046">
        <v>2500</v>
      </c>
      <c r="L27" s="1046">
        <v>2400</v>
      </c>
      <c r="M27" s="1046">
        <f>SUM(M28:M31)</f>
        <v>2600</v>
      </c>
      <c r="N27" s="1046">
        <f>SUM(N28:N31)</f>
        <v>2000</v>
      </c>
      <c r="O27" s="1046">
        <f>SUM(O28:O31)</f>
        <v>2000</v>
      </c>
    </row>
    <row r="28" spans="1:15" ht="16.5" customHeight="1">
      <c r="A28" s="1040"/>
      <c r="B28" s="1043" t="s">
        <v>660</v>
      </c>
      <c r="C28" s="1044" t="s">
        <v>661</v>
      </c>
      <c r="D28" s="1044" t="s">
        <v>661</v>
      </c>
      <c r="E28" s="1044">
        <v>700</v>
      </c>
      <c r="F28" s="1044" t="s">
        <v>661</v>
      </c>
      <c r="G28" s="1044">
        <v>477</v>
      </c>
      <c r="H28" s="1010">
        <v>600</v>
      </c>
      <c r="I28" s="1010" t="s">
        <v>661</v>
      </c>
      <c r="J28" s="1010">
        <v>600</v>
      </c>
      <c r="K28" s="1010">
        <v>600</v>
      </c>
      <c r="L28" s="1015">
        <v>0</v>
      </c>
      <c r="M28" s="1015">
        <v>0</v>
      </c>
      <c r="N28" s="1010">
        <v>500</v>
      </c>
      <c r="O28" s="1010" t="s">
        <v>661</v>
      </c>
    </row>
    <row r="29" spans="1:15" ht="16.5" customHeight="1">
      <c r="A29" s="1040"/>
      <c r="B29" s="1038" t="s">
        <v>662</v>
      </c>
      <c r="C29" s="1044" t="s">
        <v>661</v>
      </c>
      <c r="D29" s="1044">
        <v>1400</v>
      </c>
      <c r="E29" s="1044">
        <v>600</v>
      </c>
      <c r="F29" s="1044">
        <v>340</v>
      </c>
      <c r="G29" s="1044">
        <v>215</v>
      </c>
      <c r="H29" s="1010" t="s">
        <v>661</v>
      </c>
      <c r="I29" s="1010">
        <v>1200</v>
      </c>
      <c r="J29" s="1010">
        <v>600</v>
      </c>
      <c r="K29" s="1010">
        <v>600</v>
      </c>
      <c r="L29" s="1010">
        <v>600</v>
      </c>
      <c r="M29" s="1010">
        <v>1100</v>
      </c>
      <c r="N29" s="1010">
        <v>500</v>
      </c>
      <c r="O29" s="1010">
        <v>500</v>
      </c>
    </row>
    <row r="30" spans="1:15" ht="16.5" customHeight="1">
      <c r="A30" s="1040"/>
      <c r="B30" s="1038" t="s">
        <v>663</v>
      </c>
      <c r="C30" s="1044">
        <v>1200</v>
      </c>
      <c r="D30" s="1044">
        <v>700</v>
      </c>
      <c r="E30" s="1044">
        <v>700</v>
      </c>
      <c r="F30" s="1044">
        <v>815</v>
      </c>
      <c r="G30" s="1044">
        <v>500</v>
      </c>
      <c r="H30" s="1010">
        <v>600</v>
      </c>
      <c r="I30" s="1010">
        <v>1200</v>
      </c>
      <c r="J30" s="1010">
        <v>600</v>
      </c>
      <c r="K30" s="1010">
        <v>700</v>
      </c>
      <c r="L30" s="1010">
        <v>600</v>
      </c>
      <c r="M30" s="1010">
        <v>500</v>
      </c>
      <c r="N30" s="1010">
        <v>500</v>
      </c>
      <c r="O30" s="1010">
        <v>500</v>
      </c>
    </row>
    <row r="31" spans="1:15" ht="16.5" customHeight="1">
      <c r="A31" s="1040"/>
      <c r="B31" s="1038" t="s">
        <v>664</v>
      </c>
      <c r="C31" s="1044">
        <v>1200</v>
      </c>
      <c r="D31" s="1044">
        <v>1300</v>
      </c>
      <c r="E31" s="1044">
        <v>700</v>
      </c>
      <c r="F31" s="1044">
        <v>820</v>
      </c>
      <c r="G31" s="1044">
        <v>440</v>
      </c>
      <c r="H31" s="1010">
        <v>1100</v>
      </c>
      <c r="I31" s="1010">
        <v>600</v>
      </c>
      <c r="J31" s="1010">
        <v>600</v>
      </c>
      <c r="K31" s="1010">
        <v>600</v>
      </c>
      <c r="L31" s="1010">
        <v>1200</v>
      </c>
      <c r="M31" s="1010">
        <v>1000</v>
      </c>
      <c r="N31" s="1010">
        <v>500</v>
      </c>
      <c r="O31" s="1010">
        <v>1000</v>
      </c>
    </row>
    <row r="32" spans="1:15" hidden="1">
      <c r="A32" s="1040"/>
      <c r="B32" s="1047" t="s">
        <v>666</v>
      </c>
      <c r="C32" s="1048"/>
      <c r="D32" s="1048"/>
      <c r="E32" s="1048"/>
      <c r="F32" s="1048"/>
      <c r="G32" s="1048"/>
      <c r="H32" s="1048"/>
      <c r="I32" s="1048"/>
      <c r="J32" s="1048"/>
      <c r="K32" s="1048"/>
      <c r="L32" s="1048"/>
      <c r="M32" s="1048"/>
      <c r="N32" s="1048"/>
      <c r="O32" s="1048"/>
    </row>
    <row r="33" spans="1:15" ht="6.75" customHeight="1" thickBot="1">
      <c r="A33" s="1040"/>
      <c r="B33" s="1049"/>
      <c r="C33" s="1048"/>
      <c r="D33" s="1048"/>
      <c r="E33" s="1048"/>
      <c r="F33" s="1048"/>
      <c r="G33" s="1048"/>
      <c r="H33" s="1048"/>
      <c r="I33" s="1048"/>
      <c r="J33" s="1048"/>
      <c r="K33" s="1048"/>
      <c r="L33" s="1048"/>
      <c r="M33" s="1048"/>
      <c r="N33" s="1048"/>
      <c r="O33" s="1048"/>
    </row>
    <row r="34" spans="1:15" s="1024" customFormat="1" ht="16.5" thickBot="1">
      <c r="A34" s="1050"/>
      <c r="B34" s="3232" t="s">
        <v>667</v>
      </c>
      <c r="C34" s="3232"/>
      <c r="D34" s="3232"/>
      <c r="E34" s="3232"/>
      <c r="F34" s="3232"/>
      <c r="G34" s="3232"/>
      <c r="H34" s="3232"/>
      <c r="I34" s="3232"/>
      <c r="J34" s="3232"/>
      <c r="K34" s="3232"/>
      <c r="L34" s="3232"/>
      <c r="M34" s="3232"/>
      <c r="N34" s="3232"/>
      <c r="O34" s="3233"/>
    </row>
    <row r="35" spans="1:15" ht="16.5" customHeight="1">
      <c r="A35" s="1037">
        <v>4</v>
      </c>
      <c r="B35" s="1051" t="s">
        <v>668</v>
      </c>
      <c r="C35" s="1052"/>
      <c r="D35" s="1053"/>
      <c r="E35" s="1054"/>
      <c r="F35" s="1054"/>
      <c r="G35" s="1054"/>
      <c r="H35" s="1054"/>
      <c r="I35" s="1054"/>
      <c r="J35" s="1054"/>
      <c r="K35" s="1054"/>
      <c r="L35" s="1054"/>
      <c r="M35" s="1054"/>
      <c r="N35" s="1054"/>
      <c r="O35" s="1054"/>
    </row>
    <row r="36" spans="1:15" ht="16.5" customHeight="1">
      <c r="A36" s="1040"/>
      <c r="B36" s="1055" t="s">
        <v>660</v>
      </c>
      <c r="C36" s="1015" t="s">
        <v>661</v>
      </c>
      <c r="D36" s="1015" t="s">
        <v>661</v>
      </c>
      <c r="E36" s="1056">
        <v>2.5099999999999998</v>
      </c>
      <c r="F36" s="1015" t="s">
        <v>661</v>
      </c>
      <c r="G36" s="1056">
        <v>3.11</v>
      </c>
      <c r="H36" s="1056">
        <v>3.26</v>
      </c>
      <c r="I36" s="1015" t="s">
        <v>661</v>
      </c>
      <c r="J36" s="1056">
        <v>3.04</v>
      </c>
      <c r="K36" s="1056">
        <v>2.78</v>
      </c>
      <c r="L36" s="1015" t="s">
        <v>661</v>
      </c>
      <c r="M36" s="1015" t="s">
        <v>661</v>
      </c>
      <c r="N36" s="1056">
        <v>2.4300000000000002</v>
      </c>
      <c r="O36" s="1057" t="s">
        <v>661</v>
      </c>
    </row>
    <row r="37" spans="1:15" ht="16.5" customHeight="1">
      <c r="A37" s="1040"/>
      <c r="B37" s="1058" t="s">
        <v>662</v>
      </c>
      <c r="C37" s="1015" t="s">
        <v>661</v>
      </c>
      <c r="D37" s="1056">
        <v>2.64</v>
      </c>
      <c r="E37" s="1056">
        <v>2.6</v>
      </c>
      <c r="F37" s="1056">
        <v>3.04</v>
      </c>
      <c r="G37" s="1056">
        <v>3.46</v>
      </c>
      <c r="H37" s="1015" t="s">
        <v>661</v>
      </c>
      <c r="I37" s="1056">
        <v>3.47</v>
      </c>
      <c r="J37" s="1056">
        <v>3.2</v>
      </c>
      <c r="K37" s="1056">
        <v>3.07</v>
      </c>
      <c r="L37" s="1056">
        <v>2.91</v>
      </c>
      <c r="M37" s="1056">
        <v>2.71</v>
      </c>
      <c r="N37" s="1056">
        <v>2.3199999999999998</v>
      </c>
      <c r="O37" s="1056">
        <v>1.75</v>
      </c>
    </row>
    <row r="38" spans="1:15" ht="16.5" customHeight="1">
      <c r="A38" s="1040"/>
      <c r="B38" s="1038" t="s">
        <v>663</v>
      </c>
      <c r="C38" s="1056">
        <v>2.86</v>
      </c>
      <c r="D38" s="1056">
        <v>2.83</v>
      </c>
      <c r="E38" s="1056">
        <v>2.77</v>
      </c>
      <c r="F38" s="1056">
        <v>3.28</v>
      </c>
      <c r="G38" s="1056">
        <v>3.64</v>
      </c>
      <c r="H38" s="1056">
        <v>3.65</v>
      </c>
      <c r="I38" s="1056">
        <v>3.52</v>
      </c>
      <c r="J38" s="1056">
        <v>3.22</v>
      </c>
      <c r="K38" s="1056">
        <v>3.05</v>
      </c>
      <c r="L38" s="1056">
        <v>2.93</v>
      </c>
      <c r="M38" s="1056">
        <v>2.79</v>
      </c>
      <c r="N38" s="1056">
        <v>2.56</v>
      </c>
      <c r="O38" s="1056">
        <v>2.19</v>
      </c>
    </row>
    <row r="39" spans="1:15" ht="16.5" customHeight="1">
      <c r="A39" s="1040"/>
      <c r="B39" s="1058" t="s">
        <v>664</v>
      </c>
      <c r="C39" s="1056">
        <v>3.02</v>
      </c>
      <c r="D39" s="1056">
        <v>3.09</v>
      </c>
      <c r="E39" s="1056">
        <v>3.04</v>
      </c>
      <c r="F39" s="1056">
        <v>3.4</v>
      </c>
      <c r="G39" s="1056">
        <v>3.86</v>
      </c>
      <c r="H39" s="1056">
        <v>3.85</v>
      </c>
      <c r="I39" s="1056">
        <v>3.7</v>
      </c>
      <c r="J39" s="1056">
        <v>3.46</v>
      </c>
      <c r="K39" s="1056">
        <v>3.3</v>
      </c>
      <c r="L39" s="1056">
        <v>3.04</v>
      </c>
      <c r="M39" s="1056">
        <v>2.84</v>
      </c>
      <c r="N39" s="1056">
        <v>2.61</v>
      </c>
      <c r="O39" s="1056">
        <v>2.23</v>
      </c>
    </row>
    <row r="40" spans="1:15" ht="16.5" customHeight="1">
      <c r="A40" s="1037">
        <v>5</v>
      </c>
      <c r="B40" s="1058" t="s">
        <v>669</v>
      </c>
      <c r="C40" s="1056">
        <v>2.94</v>
      </c>
      <c r="D40" s="1056">
        <v>2.85</v>
      </c>
      <c r="E40" s="1056">
        <v>2.73</v>
      </c>
      <c r="F40" s="1056">
        <v>3.29</v>
      </c>
      <c r="G40" s="1056">
        <v>3.52</v>
      </c>
      <c r="H40" s="1056">
        <v>3.64</v>
      </c>
      <c r="I40" s="1056">
        <v>3.53</v>
      </c>
      <c r="J40" s="1056">
        <v>3.23</v>
      </c>
      <c r="K40" s="1056">
        <v>3.05</v>
      </c>
      <c r="L40" s="1056">
        <v>2.98</v>
      </c>
      <c r="M40" s="1056">
        <v>2.78</v>
      </c>
      <c r="N40" s="1056">
        <v>2.48</v>
      </c>
      <c r="O40" s="1056">
        <v>2.1</v>
      </c>
    </row>
    <row r="41" spans="1:15" ht="16.5" customHeight="1">
      <c r="A41" s="1037">
        <v>6</v>
      </c>
      <c r="B41" s="1058" t="s">
        <v>670</v>
      </c>
      <c r="C41" s="1057">
        <v>2.77</v>
      </c>
      <c r="D41" s="1057">
        <v>2.8</v>
      </c>
      <c r="E41" s="1057">
        <v>2.75</v>
      </c>
      <c r="F41" s="1057">
        <v>2.87</v>
      </c>
      <c r="G41" s="1057">
        <v>3.35</v>
      </c>
      <c r="H41" s="1057">
        <v>3.54</v>
      </c>
      <c r="I41" s="1057">
        <v>3.54</v>
      </c>
      <c r="J41" s="1057">
        <v>3.36</v>
      </c>
      <c r="K41" s="1057">
        <v>3.16</v>
      </c>
      <c r="L41" s="1057">
        <v>2.95</v>
      </c>
      <c r="M41" s="1057">
        <v>2.83</v>
      </c>
      <c r="N41" s="1057">
        <v>2.61</v>
      </c>
      <c r="O41" s="1057" t="s">
        <v>661</v>
      </c>
    </row>
    <row r="42" spans="1:15" ht="6.75" customHeight="1" thickBot="1">
      <c r="A42" s="1059"/>
      <c r="B42" s="1060"/>
      <c r="C42" s="1061"/>
      <c r="D42" s="1061"/>
      <c r="E42" s="1062"/>
      <c r="F42" s="1061"/>
      <c r="G42" s="1061"/>
      <c r="H42" s="1061"/>
      <c r="I42" s="1061"/>
      <c r="J42" s="1061"/>
      <c r="K42" s="1061"/>
      <c r="L42" s="1061"/>
      <c r="M42" s="1061"/>
      <c r="N42" s="1061"/>
      <c r="O42" s="1061"/>
    </row>
    <row r="43" spans="1:15" ht="17.25" customHeight="1">
      <c r="A43" s="1063" t="s">
        <v>240</v>
      </c>
      <c r="B43" s="1064"/>
      <c r="C43" s="1065"/>
      <c r="D43" s="1064"/>
      <c r="E43" s="1064"/>
      <c r="F43" s="1066"/>
    </row>
    <row r="44" spans="1:15" ht="17.25" customHeight="1">
      <c r="A44" s="1063" t="s">
        <v>671</v>
      </c>
      <c r="B44" s="1064"/>
      <c r="C44" s="1065"/>
      <c r="D44" s="1064"/>
      <c r="E44" s="1064"/>
      <c r="F44" s="1065"/>
    </row>
    <row r="45" spans="1:15" ht="15.75">
      <c r="A45" s="1063" t="s">
        <v>655</v>
      </c>
      <c r="B45" s="1063"/>
      <c r="C45" s="1067"/>
      <c r="D45" s="1067"/>
      <c r="E45" s="1067"/>
      <c r="F45" s="1067"/>
      <c r="G45" s="1027"/>
    </row>
    <row r="46" spans="1:15" ht="15.75">
      <c r="A46" s="1064"/>
      <c r="B46" s="1064"/>
      <c r="C46" s="1065"/>
      <c r="D46" s="1065"/>
      <c r="E46" s="1065"/>
      <c r="F46" s="1065"/>
      <c r="G46" s="999"/>
    </row>
    <row r="47" spans="1:15">
      <c r="D47" s="999"/>
      <c r="E47" s="999"/>
      <c r="F47" s="999"/>
      <c r="G47" s="999"/>
    </row>
    <row r="48" spans="1:15">
      <c r="D48" s="999"/>
      <c r="E48" s="999"/>
      <c r="F48" s="999"/>
      <c r="G48" s="999"/>
      <c r="H48" s="999"/>
      <c r="I48" s="999"/>
    </row>
    <row r="49" spans="4:9">
      <c r="D49" s="999"/>
      <c r="E49" s="999"/>
      <c r="F49" s="999"/>
      <c r="G49" s="999"/>
      <c r="H49" s="999"/>
      <c r="I49" s="999"/>
    </row>
    <row r="50" spans="4:9">
      <c r="D50" s="999"/>
      <c r="E50" s="999"/>
      <c r="F50" s="999"/>
      <c r="G50" s="999"/>
      <c r="H50" s="999"/>
      <c r="I50" s="999" t="s">
        <v>611</v>
      </c>
    </row>
    <row r="51" spans="4:9">
      <c r="D51" s="999"/>
      <c r="E51" s="999"/>
      <c r="F51" s="999"/>
      <c r="G51" s="999"/>
      <c r="H51" s="999"/>
      <c r="I51" s="999"/>
    </row>
    <row r="52" spans="4:9">
      <c r="D52" s="999"/>
      <c r="E52" s="999"/>
      <c r="F52" s="999"/>
      <c r="G52" s="999"/>
      <c r="H52" s="999"/>
      <c r="I52" s="999"/>
    </row>
    <row r="53" spans="4:9">
      <c r="D53" s="999"/>
      <c r="E53" s="999"/>
      <c r="F53" s="999"/>
      <c r="G53" s="999"/>
      <c r="H53" s="999"/>
      <c r="I53" s="999"/>
    </row>
    <row r="54" spans="4:9">
      <c r="D54" s="999"/>
      <c r="E54" s="999"/>
      <c r="F54" s="999"/>
      <c r="G54" s="999"/>
      <c r="H54" s="999"/>
      <c r="I54" s="999"/>
    </row>
    <row r="55" spans="4:9">
      <c r="F55" s="999"/>
    </row>
    <row r="56" spans="4:9">
      <c r="F56" s="999"/>
    </row>
    <row r="57" spans="4:9">
      <c r="F57" s="999"/>
    </row>
    <row r="58" spans="4:9">
      <c r="F58" s="999"/>
    </row>
    <row r="59" spans="4:9">
      <c r="F59" s="999"/>
    </row>
    <row r="60" spans="4:9">
      <c r="F60" s="999"/>
    </row>
    <row r="61" spans="4:9">
      <c r="F61" s="999"/>
    </row>
    <row r="62" spans="4:9">
      <c r="F62" s="999"/>
    </row>
    <row r="63" spans="4:9">
      <c r="F63" s="999"/>
    </row>
    <row r="64" spans="4:9">
      <c r="F64" s="999"/>
    </row>
  </sheetData>
  <mergeCells count="5">
    <mergeCell ref="C2:H2"/>
    <mergeCell ref="A3:B3"/>
    <mergeCell ref="C3:F3"/>
    <mergeCell ref="B18:O18"/>
    <mergeCell ref="B34:O34"/>
  </mergeCells>
  <printOptions horizontalCentered="1" verticalCentered="1"/>
  <pageMargins left="0.19685039370078741" right="0.19685039370078741" top="0.31496062992125984" bottom="0.19685039370078741" header="0.51181102362204722" footer="0.19685039370078741"/>
  <pageSetup paperSize="9" scale="8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I17" sqref="I17"/>
    </sheetView>
  </sheetViews>
  <sheetFormatPr defaultRowHeight="12.75"/>
  <cols>
    <col min="1" max="1" width="34.42578125" customWidth="1"/>
    <col min="2" max="2" width="4.7109375" customWidth="1"/>
    <col min="3" max="3" width="15.28515625" customWidth="1"/>
    <col min="4" max="4" width="6.140625" customWidth="1"/>
    <col min="5" max="5" width="15.42578125" customWidth="1"/>
    <col min="6" max="6" width="7" customWidth="1"/>
    <col min="7" max="7" width="4.42578125" customWidth="1"/>
    <col min="8" max="8" width="14.42578125" bestFit="1" customWidth="1"/>
    <col min="257" max="257" width="34.42578125" customWidth="1"/>
    <col min="258" max="258" width="4.7109375" customWidth="1"/>
    <col min="259" max="259" width="15.28515625" customWidth="1"/>
    <col min="260" max="260" width="6.140625" customWidth="1"/>
    <col min="261" max="261" width="15.42578125" customWidth="1"/>
    <col min="262" max="262" width="7" customWidth="1"/>
    <col min="263" max="263" width="4.42578125" customWidth="1"/>
    <col min="264" max="264" width="14.42578125" bestFit="1" customWidth="1"/>
    <col min="513" max="513" width="34.42578125" customWidth="1"/>
    <col min="514" max="514" width="4.7109375" customWidth="1"/>
    <col min="515" max="515" width="15.28515625" customWidth="1"/>
    <col min="516" max="516" width="6.140625" customWidth="1"/>
    <col min="517" max="517" width="15.42578125" customWidth="1"/>
    <col min="518" max="518" width="7" customWidth="1"/>
    <col min="519" max="519" width="4.42578125" customWidth="1"/>
    <col min="520" max="520" width="14.42578125" bestFit="1" customWidth="1"/>
    <col min="769" max="769" width="34.42578125" customWidth="1"/>
    <col min="770" max="770" width="4.7109375" customWidth="1"/>
    <col min="771" max="771" width="15.28515625" customWidth="1"/>
    <col min="772" max="772" width="6.140625" customWidth="1"/>
    <col min="773" max="773" width="15.42578125" customWidth="1"/>
    <col min="774" max="774" width="7" customWidth="1"/>
    <col min="775" max="775" width="4.42578125" customWidth="1"/>
    <col min="776" max="776" width="14.42578125" bestFit="1" customWidth="1"/>
    <col min="1025" max="1025" width="34.42578125" customWidth="1"/>
    <col min="1026" max="1026" width="4.7109375" customWidth="1"/>
    <col min="1027" max="1027" width="15.28515625" customWidth="1"/>
    <col min="1028" max="1028" width="6.140625" customWidth="1"/>
    <col min="1029" max="1029" width="15.42578125" customWidth="1"/>
    <col min="1030" max="1030" width="7" customWidth="1"/>
    <col min="1031" max="1031" width="4.42578125" customWidth="1"/>
    <col min="1032" max="1032" width="14.42578125" bestFit="1" customWidth="1"/>
    <col min="1281" max="1281" width="34.42578125" customWidth="1"/>
    <col min="1282" max="1282" width="4.7109375" customWidth="1"/>
    <col min="1283" max="1283" width="15.28515625" customWidth="1"/>
    <col min="1284" max="1284" width="6.140625" customWidth="1"/>
    <col min="1285" max="1285" width="15.42578125" customWidth="1"/>
    <col min="1286" max="1286" width="7" customWidth="1"/>
    <col min="1287" max="1287" width="4.42578125" customWidth="1"/>
    <col min="1288" max="1288" width="14.42578125" bestFit="1" customWidth="1"/>
    <col min="1537" max="1537" width="34.42578125" customWidth="1"/>
    <col min="1538" max="1538" width="4.7109375" customWidth="1"/>
    <col min="1539" max="1539" width="15.28515625" customWidth="1"/>
    <col min="1540" max="1540" width="6.140625" customWidth="1"/>
    <col min="1541" max="1541" width="15.42578125" customWidth="1"/>
    <col min="1542" max="1542" width="7" customWidth="1"/>
    <col min="1543" max="1543" width="4.42578125" customWidth="1"/>
    <col min="1544" max="1544" width="14.42578125" bestFit="1" customWidth="1"/>
    <col min="1793" max="1793" width="34.42578125" customWidth="1"/>
    <col min="1794" max="1794" width="4.7109375" customWidth="1"/>
    <col min="1795" max="1795" width="15.28515625" customWidth="1"/>
    <col min="1796" max="1796" width="6.140625" customWidth="1"/>
    <col min="1797" max="1797" width="15.42578125" customWidth="1"/>
    <col min="1798" max="1798" width="7" customWidth="1"/>
    <col min="1799" max="1799" width="4.42578125" customWidth="1"/>
    <col min="1800" max="1800" width="14.42578125" bestFit="1" customWidth="1"/>
    <col min="2049" max="2049" width="34.42578125" customWidth="1"/>
    <col min="2050" max="2050" width="4.7109375" customWidth="1"/>
    <col min="2051" max="2051" width="15.28515625" customWidth="1"/>
    <col min="2052" max="2052" width="6.140625" customWidth="1"/>
    <col min="2053" max="2053" width="15.42578125" customWidth="1"/>
    <col min="2054" max="2054" width="7" customWidth="1"/>
    <col min="2055" max="2055" width="4.42578125" customWidth="1"/>
    <col min="2056" max="2056" width="14.42578125" bestFit="1" customWidth="1"/>
    <col min="2305" max="2305" width="34.42578125" customWidth="1"/>
    <col min="2306" max="2306" width="4.7109375" customWidth="1"/>
    <col min="2307" max="2307" width="15.28515625" customWidth="1"/>
    <col min="2308" max="2308" width="6.140625" customWidth="1"/>
    <col min="2309" max="2309" width="15.42578125" customWidth="1"/>
    <col min="2310" max="2310" width="7" customWidth="1"/>
    <col min="2311" max="2311" width="4.42578125" customWidth="1"/>
    <col min="2312" max="2312" width="14.42578125" bestFit="1" customWidth="1"/>
    <col min="2561" max="2561" width="34.42578125" customWidth="1"/>
    <col min="2562" max="2562" width="4.7109375" customWidth="1"/>
    <col min="2563" max="2563" width="15.28515625" customWidth="1"/>
    <col min="2564" max="2564" width="6.140625" customWidth="1"/>
    <col min="2565" max="2565" width="15.42578125" customWidth="1"/>
    <col min="2566" max="2566" width="7" customWidth="1"/>
    <col min="2567" max="2567" width="4.42578125" customWidth="1"/>
    <col min="2568" max="2568" width="14.42578125" bestFit="1" customWidth="1"/>
    <col min="2817" max="2817" width="34.42578125" customWidth="1"/>
    <col min="2818" max="2818" width="4.7109375" customWidth="1"/>
    <col min="2819" max="2819" width="15.28515625" customWidth="1"/>
    <col min="2820" max="2820" width="6.140625" customWidth="1"/>
    <col min="2821" max="2821" width="15.42578125" customWidth="1"/>
    <col min="2822" max="2822" width="7" customWidth="1"/>
    <col min="2823" max="2823" width="4.42578125" customWidth="1"/>
    <col min="2824" max="2824" width="14.42578125" bestFit="1" customWidth="1"/>
    <col min="3073" max="3073" width="34.42578125" customWidth="1"/>
    <col min="3074" max="3074" width="4.7109375" customWidth="1"/>
    <col min="3075" max="3075" width="15.28515625" customWidth="1"/>
    <col min="3076" max="3076" width="6.140625" customWidth="1"/>
    <col min="3077" max="3077" width="15.42578125" customWidth="1"/>
    <col min="3078" max="3078" width="7" customWidth="1"/>
    <col min="3079" max="3079" width="4.42578125" customWidth="1"/>
    <col min="3080" max="3080" width="14.42578125" bestFit="1" customWidth="1"/>
    <col min="3329" max="3329" width="34.42578125" customWidth="1"/>
    <col min="3330" max="3330" width="4.7109375" customWidth="1"/>
    <col min="3331" max="3331" width="15.28515625" customWidth="1"/>
    <col min="3332" max="3332" width="6.140625" customWidth="1"/>
    <col min="3333" max="3333" width="15.42578125" customWidth="1"/>
    <col min="3334" max="3334" width="7" customWidth="1"/>
    <col min="3335" max="3335" width="4.42578125" customWidth="1"/>
    <col min="3336" max="3336" width="14.42578125" bestFit="1" customWidth="1"/>
    <col min="3585" max="3585" width="34.42578125" customWidth="1"/>
    <col min="3586" max="3586" width="4.7109375" customWidth="1"/>
    <col min="3587" max="3587" width="15.28515625" customWidth="1"/>
    <col min="3588" max="3588" width="6.140625" customWidth="1"/>
    <col min="3589" max="3589" width="15.42578125" customWidth="1"/>
    <col min="3590" max="3590" width="7" customWidth="1"/>
    <col min="3591" max="3591" width="4.42578125" customWidth="1"/>
    <col min="3592" max="3592" width="14.42578125" bestFit="1" customWidth="1"/>
    <col min="3841" max="3841" width="34.42578125" customWidth="1"/>
    <col min="3842" max="3842" width="4.7109375" customWidth="1"/>
    <col min="3843" max="3843" width="15.28515625" customWidth="1"/>
    <col min="3844" max="3844" width="6.140625" customWidth="1"/>
    <col min="3845" max="3845" width="15.42578125" customWidth="1"/>
    <col min="3846" max="3846" width="7" customWidth="1"/>
    <col min="3847" max="3847" width="4.42578125" customWidth="1"/>
    <col min="3848" max="3848" width="14.42578125" bestFit="1" customWidth="1"/>
    <col min="4097" max="4097" width="34.42578125" customWidth="1"/>
    <col min="4098" max="4098" width="4.7109375" customWidth="1"/>
    <col min="4099" max="4099" width="15.28515625" customWidth="1"/>
    <col min="4100" max="4100" width="6.140625" customWidth="1"/>
    <col min="4101" max="4101" width="15.42578125" customWidth="1"/>
    <col min="4102" max="4102" width="7" customWidth="1"/>
    <col min="4103" max="4103" width="4.42578125" customWidth="1"/>
    <col min="4104" max="4104" width="14.42578125" bestFit="1" customWidth="1"/>
    <col min="4353" max="4353" width="34.42578125" customWidth="1"/>
    <col min="4354" max="4354" width="4.7109375" customWidth="1"/>
    <col min="4355" max="4355" width="15.28515625" customWidth="1"/>
    <col min="4356" max="4356" width="6.140625" customWidth="1"/>
    <col min="4357" max="4357" width="15.42578125" customWidth="1"/>
    <col min="4358" max="4358" width="7" customWidth="1"/>
    <col min="4359" max="4359" width="4.42578125" customWidth="1"/>
    <col min="4360" max="4360" width="14.42578125" bestFit="1" customWidth="1"/>
    <col min="4609" max="4609" width="34.42578125" customWidth="1"/>
    <col min="4610" max="4610" width="4.7109375" customWidth="1"/>
    <col min="4611" max="4611" width="15.28515625" customWidth="1"/>
    <col min="4612" max="4612" width="6.140625" customWidth="1"/>
    <col min="4613" max="4613" width="15.42578125" customWidth="1"/>
    <col min="4614" max="4614" width="7" customWidth="1"/>
    <col min="4615" max="4615" width="4.42578125" customWidth="1"/>
    <col min="4616" max="4616" width="14.42578125" bestFit="1" customWidth="1"/>
    <col min="4865" max="4865" width="34.42578125" customWidth="1"/>
    <col min="4866" max="4866" width="4.7109375" customWidth="1"/>
    <col min="4867" max="4867" width="15.28515625" customWidth="1"/>
    <col min="4868" max="4868" width="6.140625" customWidth="1"/>
    <col min="4869" max="4869" width="15.42578125" customWidth="1"/>
    <col min="4870" max="4870" width="7" customWidth="1"/>
    <col min="4871" max="4871" width="4.42578125" customWidth="1"/>
    <col min="4872" max="4872" width="14.42578125" bestFit="1" customWidth="1"/>
    <col min="5121" max="5121" width="34.42578125" customWidth="1"/>
    <col min="5122" max="5122" width="4.7109375" customWidth="1"/>
    <col min="5123" max="5123" width="15.28515625" customWidth="1"/>
    <col min="5124" max="5124" width="6.140625" customWidth="1"/>
    <col min="5125" max="5125" width="15.42578125" customWidth="1"/>
    <col min="5126" max="5126" width="7" customWidth="1"/>
    <col min="5127" max="5127" width="4.42578125" customWidth="1"/>
    <col min="5128" max="5128" width="14.42578125" bestFit="1" customWidth="1"/>
    <col min="5377" max="5377" width="34.42578125" customWidth="1"/>
    <col min="5378" max="5378" width="4.7109375" customWidth="1"/>
    <col min="5379" max="5379" width="15.28515625" customWidth="1"/>
    <col min="5380" max="5380" width="6.140625" customWidth="1"/>
    <col min="5381" max="5381" width="15.42578125" customWidth="1"/>
    <col min="5382" max="5382" width="7" customWidth="1"/>
    <col min="5383" max="5383" width="4.42578125" customWidth="1"/>
    <col min="5384" max="5384" width="14.42578125" bestFit="1" customWidth="1"/>
    <col min="5633" max="5633" width="34.42578125" customWidth="1"/>
    <col min="5634" max="5634" width="4.7109375" customWidth="1"/>
    <col min="5635" max="5635" width="15.28515625" customWidth="1"/>
    <col min="5636" max="5636" width="6.140625" customWidth="1"/>
    <col min="5637" max="5637" width="15.42578125" customWidth="1"/>
    <col min="5638" max="5638" width="7" customWidth="1"/>
    <col min="5639" max="5639" width="4.42578125" customWidth="1"/>
    <col min="5640" max="5640" width="14.42578125" bestFit="1" customWidth="1"/>
    <col min="5889" max="5889" width="34.42578125" customWidth="1"/>
    <col min="5890" max="5890" width="4.7109375" customWidth="1"/>
    <col min="5891" max="5891" width="15.28515625" customWidth="1"/>
    <col min="5892" max="5892" width="6.140625" customWidth="1"/>
    <col min="5893" max="5893" width="15.42578125" customWidth="1"/>
    <col min="5894" max="5894" width="7" customWidth="1"/>
    <col min="5895" max="5895" width="4.42578125" customWidth="1"/>
    <col min="5896" max="5896" width="14.42578125" bestFit="1" customWidth="1"/>
    <col min="6145" max="6145" width="34.42578125" customWidth="1"/>
    <col min="6146" max="6146" width="4.7109375" customWidth="1"/>
    <col min="6147" max="6147" width="15.28515625" customWidth="1"/>
    <col min="6148" max="6148" width="6.140625" customWidth="1"/>
    <col min="6149" max="6149" width="15.42578125" customWidth="1"/>
    <col min="6150" max="6150" width="7" customWidth="1"/>
    <col min="6151" max="6151" width="4.42578125" customWidth="1"/>
    <col min="6152" max="6152" width="14.42578125" bestFit="1" customWidth="1"/>
    <col min="6401" max="6401" width="34.42578125" customWidth="1"/>
    <col min="6402" max="6402" width="4.7109375" customWidth="1"/>
    <col min="6403" max="6403" width="15.28515625" customWidth="1"/>
    <col min="6404" max="6404" width="6.140625" customWidth="1"/>
    <col min="6405" max="6405" width="15.42578125" customWidth="1"/>
    <col min="6406" max="6406" width="7" customWidth="1"/>
    <col min="6407" max="6407" width="4.42578125" customWidth="1"/>
    <col min="6408" max="6408" width="14.42578125" bestFit="1" customWidth="1"/>
    <col min="6657" max="6657" width="34.42578125" customWidth="1"/>
    <col min="6658" max="6658" width="4.7109375" customWidth="1"/>
    <col min="6659" max="6659" width="15.28515625" customWidth="1"/>
    <col min="6660" max="6660" width="6.140625" customWidth="1"/>
    <col min="6661" max="6661" width="15.42578125" customWidth="1"/>
    <col min="6662" max="6662" width="7" customWidth="1"/>
    <col min="6663" max="6663" width="4.42578125" customWidth="1"/>
    <col min="6664" max="6664" width="14.42578125" bestFit="1" customWidth="1"/>
    <col min="6913" max="6913" width="34.42578125" customWidth="1"/>
    <col min="6914" max="6914" width="4.7109375" customWidth="1"/>
    <col min="6915" max="6915" width="15.28515625" customWidth="1"/>
    <col min="6916" max="6916" width="6.140625" customWidth="1"/>
    <col min="6917" max="6917" width="15.42578125" customWidth="1"/>
    <col min="6918" max="6918" width="7" customWidth="1"/>
    <col min="6919" max="6919" width="4.42578125" customWidth="1"/>
    <col min="6920" max="6920" width="14.42578125" bestFit="1" customWidth="1"/>
    <col min="7169" max="7169" width="34.42578125" customWidth="1"/>
    <col min="7170" max="7170" width="4.7109375" customWidth="1"/>
    <col min="7171" max="7171" width="15.28515625" customWidth="1"/>
    <col min="7172" max="7172" width="6.140625" customWidth="1"/>
    <col min="7173" max="7173" width="15.42578125" customWidth="1"/>
    <col min="7174" max="7174" width="7" customWidth="1"/>
    <col min="7175" max="7175" width="4.42578125" customWidth="1"/>
    <col min="7176" max="7176" width="14.42578125" bestFit="1" customWidth="1"/>
    <col min="7425" max="7425" width="34.42578125" customWidth="1"/>
    <col min="7426" max="7426" width="4.7109375" customWidth="1"/>
    <col min="7427" max="7427" width="15.28515625" customWidth="1"/>
    <col min="7428" max="7428" width="6.140625" customWidth="1"/>
    <col min="7429" max="7429" width="15.42578125" customWidth="1"/>
    <col min="7430" max="7430" width="7" customWidth="1"/>
    <col min="7431" max="7431" width="4.42578125" customWidth="1"/>
    <col min="7432" max="7432" width="14.42578125" bestFit="1" customWidth="1"/>
    <col min="7681" max="7681" width="34.42578125" customWidth="1"/>
    <col min="7682" max="7682" width="4.7109375" customWidth="1"/>
    <col min="7683" max="7683" width="15.28515625" customWidth="1"/>
    <col min="7684" max="7684" width="6.140625" customWidth="1"/>
    <col min="7685" max="7685" width="15.42578125" customWidth="1"/>
    <col min="7686" max="7686" width="7" customWidth="1"/>
    <col min="7687" max="7687" width="4.42578125" customWidth="1"/>
    <col min="7688" max="7688" width="14.42578125" bestFit="1" customWidth="1"/>
    <col min="7937" max="7937" width="34.42578125" customWidth="1"/>
    <col min="7938" max="7938" width="4.7109375" customWidth="1"/>
    <col min="7939" max="7939" width="15.28515625" customWidth="1"/>
    <col min="7940" max="7940" width="6.140625" customWidth="1"/>
    <col min="7941" max="7941" width="15.42578125" customWidth="1"/>
    <col min="7942" max="7942" width="7" customWidth="1"/>
    <col min="7943" max="7943" width="4.42578125" customWidth="1"/>
    <col min="7944" max="7944" width="14.42578125" bestFit="1" customWidth="1"/>
    <col min="8193" max="8193" width="34.42578125" customWidth="1"/>
    <col min="8194" max="8194" width="4.7109375" customWidth="1"/>
    <col min="8195" max="8195" width="15.28515625" customWidth="1"/>
    <col min="8196" max="8196" width="6.140625" customWidth="1"/>
    <col min="8197" max="8197" width="15.42578125" customWidth="1"/>
    <col min="8198" max="8198" width="7" customWidth="1"/>
    <col min="8199" max="8199" width="4.42578125" customWidth="1"/>
    <col min="8200" max="8200" width="14.42578125" bestFit="1" customWidth="1"/>
    <col min="8449" max="8449" width="34.42578125" customWidth="1"/>
    <col min="8450" max="8450" width="4.7109375" customWidth="1"/>
    <col min="8451" max="8451" width="15.28515625" customWidth="1"/>
    <col min="8452" max="8452" width="6.140625" customWidth="1"/>
    <col min="8453" max="8453" width="15.42578125" customWidth="1"/>
    <col min="8454" max="8454" width="7" customWidth="1"/>
    <col min="8455" max="8455" width="4.42578125" customWidth="1"/>
    <col min="8456" max="8456" width="14.42578125" bestFit="1" customWidth="1"/>
    <col min="8705" max="8705" width="34.42578125" customWidth="1"/>
    <col min="8706" max="8706" width="4.7109375" customWidth="1"/>
    <col min="8707" max="8707" width="15.28515625" customWidth="1"/>
    <col min="8708" max="8708" width="6.140625" customWidth="1"/>
    <col min="8709" max="8709" width="15.42578125" customWidth="1"/>
    <col min="8710" max="8710" width="7" customWidth="1"/>
    <col min="8711" max="8711" width="4.42578125" customWidth="1"/>
    <col min="8712" max="8712" width="14.42578125" bestFit="1" customWidth="1"/>
    <col min="8961" max="8961" width="34.42578125" customWidth="1"/>
    <col min="8962" max="8962" width="4.7109375" customWidth="1"/>
    <col min="8963" max="8963" width="15.28515625" customWidth="1"/>
    <col min="8964" max="8964" width="6.140625" customWidth="1"/>
    <col min="8965" max="8965" width="15.42578125" customWidth="1"/>
    <col min="8966" max="8966" width="7" customWidth="1"/>
    <col min="8967" max="8967" width="4.42578125" customWidth="1"/>
    <col min="8968" max="8968" width="14.42578125" bestFit="1" customWidth="1"/>
    <col min="9217" max="9217" width="34.42578125" customWidth="1"/>
    <col min="9218" max="9218" width="4.7109375" customWidth="1"/>
    <col min="9219" max="9219" width="15.28515625" customWidth="1"/>
    <col min="9220" max="9220" width="6.140625" customWidth="1"/>
    <col min="9221" max="9221" width="15.42578125" customWidth="1"/>
    <col min="9222" max="9222" width="7" customWidth="1"/>
    <col min="9223" max="9223" width="4.42578125" customWidth="1"/>
    <col min="9224" max="9224" width="14.42578125" bestFit="1" customWidth="1"/>
    <col min="9473" max="9473" width="34.42578125" customWidth="1"/>
    <col min="9474" max="9474" width="4.7109375" customWidth="1"/>
    <col min="9475" max="9475" width="15.28515625" customWidth="1"/>
    <col min="9476" max="9476" width="6.140625" customWidth="1"/>
    <col min="9477" max="9477" width="15.42578125" customWidth="1"/>
    <col min="9478" max="9478" width="7" customWidth="1"/>
    <col min="9479" max="9479" width="4.42578125" customWidth="1"/>
    <col min="9480" max="9480" width="14.42578125" bestFit="1" customWidth="1"/>
    <col min="9729" max="9729" width="34.42578125" customWidth="1"/>
    <col min="9730" max="9730" width="4.7109375" customWidth="1"/>
    <col min="9731" max="9731" width="15.28515625" customWidth="1"/>
    <col min="9732" max="9732" width="6.140625" customWidth="1"/>
    <col min="9733" max="9733" width="15.42578125" customWidth="1"/>
    <col min="9734" max="9734" width="7" customWidth="1"/>
    <col min="9735" max="9735" width="4.42578125" customWidth="1"/>
    <col min="9736" max="9736" width="14.42578125" bestFit="1" customWidth="1"/>
    <col min="9985" max="9985" width="34.42578125" customWidth="1"/>
    <col min="9986" max="9986" width="4.7109375" customWidth="1"/>
    <col min="9987" max="9987" width="15.28515625" customWidth="1"/>
    <col min="9988" max="9988" width="6.140625" customWidth="1"/>
    <col min="9989" max="9989" width="15.42578125" customWidth="1"/>
    <col min="9990" max="9990" width="7" customWidth="1"/>
    <col min="9991" max="9991" width="4.42578125" customWidth="1"/>
    <col min="9992" max="9992" width="14.42578125" bestFit="1" customWidth="1"/>
    <col min="10241" max="10241" width="34.42578125" customWidth="1"/>
    <col min="10242" max="10242" width="4.7109375" customWidth="1"/>
    <col min="10243" max="10243" width="15.28515625" customWidth="1"/>
    <col min="10244" max="10244" width="6.140625" customWidth="1"/>
    <col min="10245" max="10245" width="15.42578125" customWidth="1"/>
    <col min="10246" max="10246" width="7" customWidth="1"/>
    <col min="10247" max="10247" width="4.42578125" customWidth="1"/>
    <col min="10248" max="10248" width="14.42578125" bestFit="1" customWidth="1"/>
    <col min="10497" max="10497" width="34.42578125" customWidth="1"/>
    <col min="10498" max="10498" width="4.7109375" customWidth="1"/>
    <col min="10499" max="10499" width="15.28515625" customWidth="1"/>
    <col min="10500" max="10500" width="6.140625" customWidth="1"/>
    <col min="10501" max="10501" width="15.42578125" customWidth="1"/>
    <col min="10502" max="10502" width="7" customWidth="1"/>
    <col min="10503" max="10503" width="4.42578125" customWidth="1"/>
    <col min="10504" max="10504" width="14.42578125" bestFit="1" customWidth="1"/>
    <col min="10753" max="10753" width="34.42578125" customWidth="1"/>
    <col min="10754" max="10754" width="4.7109375" customWidth="1"/>
    <col min="10755" max="10755" width="15.28515625" customWidth="1"/>
    <col min="10756" max="10756" width="6.140625" customWidth="1"/>
    <col min="10757" max="10757" width="15.42578125" customWidth="1"/>
    <col min="10758" max="10758" width="7" customWidth="1"/>
    <col min="10759" max="10759" width="4.42578125" customWidth="1"/>
    <col min="10760" max="10760" width="14.42578125" bestFit="1" customWidth="1"/>
    <col min="11009" max="11009" width="34.42578125" customWidth="1"/>
    <col min="11010" max="11010" width="4.7109375" customWidth="1"/>
    <col min="11011" max="11011" width="15.28515625" customWidth="1"/>
    <col min="11012" max="11012" width="6.140625" customWidth="1"/>
    <col min="11013" max="11013" width="15.42578125" customWidth="1"/>
    <col min="11014" max="11014" width="7" customWidth="1"/>
    <col min="11015" max="11015" width="4.42578125" customWidth="1"/>
    <col min="11016" max="11016" width="14.42578125" bestFit="1" customWidth="1"/>
    <col min="11265" max="11265" width="34.42578125" customWidth="1"/>
    <col min="11266" max="11266" width="4.7109375" customWidth="1"/>
    <col min="11267" max="11267" width="15.28515625" customWidth="1"/>
    <col min="11268" max="11268" width="6.140625" customWidth="1"/>
    <col min="11269" max="11269" width="15.42578125" customWidth="1"/>
    <col min="11270" max="11270" width="7" customWidth="1"/>
    <col min="11271" max="11271" width="4.42578125" customWidth="1"/>
    <col min="11272" max="11272" width="14.42578125" bestFit="1" customWidth="1"/>
    <col min="11521" max="11521" width="34.42578125" customWidth="1"/>
    <col min="11522" max="11522" width="4.7109375" customWidth="1"/>
    <col min="11523" max="11523" width="15.28515625" customWidth="1"/>
    <col min="11524" max="11524" width="6.140625" customWidth="1"/>
    <col min="11525" max="11525" width="15.42578125" customWidth="1"/>
    <col min="11526" max="11526" width="7" customWidth="1"/>
    <col min="11527" max="11527" width="4.42578125" customWidth="1"/>
    <col min="11528" max="11528" width="14.42578125" bestFit="1" customWidth="1"/>
    <col min="11777" max="11777" width="34.42578125" customWidth="1"/>
    <col min="11778" max="11778" width="4.7109375" customWidth="1"/>
    <col min="11779" max="11779" width="15.28515625" customWidth="1"/>
    <col min="11780" max="11780" width="6.140625" customWidth="1"/>
    <col min="11781" max="11781" width="15.42578125" customWidth="1"/>
    <col min="11782" max="11782" width="7" customWidth="1"/>
    <col min="11783" max="11783" width="4.42578125" customWidth="1"/>
    <col min="11784" max="11784" width="14.42578125" bestFit="1" customWidth="1"/>
    <col min="12033" max="12033" width="34.42578125" customWidth="1"/>
    <col min="12034" max="12034" width="4.7109375" customWidth="1"/>
    <col min="12035" max="12035" width="15.28515625" customWidth="1"/>
    <col min="12036" max="12036" width="6.140625" customWidth="1"/>
    <col min="12037" max="12037" width="15.42578125" customWidth="1"/>
    <col min="12038" max="12038" width="7" customWidth="1"/>
    <col min="12039" max="12039" width="4.42578125" customWidth="1"/>
    <col min="12040" max="12040" width="14.42578125" bestFit="1" customWidth="1"/>
    <col min="12289" max="12289" width="34.42578125" customWidth="1"/>
    <col min="12290" max="12290" width="4.7109375" customWidth="1"/>
    <col min="12291" max="12291" width="15.28515625" customWidth="1"/>
    <col min="12292" max="12292" width="6.140625" customWidth="1"/>
    <col min="12293" max="12293" width="15.42578125" customWidth="1"/>
    <col min="12294" max="12294" width="7" customWidth="1"/>
    <col min="12295" max="12295" width="4.42578125" customWidth="1"/>
    <col min="12296" max="12296" width="14.42578125" bestFit="1" customWidth="1"/>
    <col min="12545" max="12545" width="34.42578125" customWidth="1"/>
    <col min="12546" max="12546" width="4.7109375" customWidth="1"/>
    <col min="12547" max="12547" width="15.28515625" customWidth="1"/>
    <col min="12548" max="12548" width="6.140625" customWidth="1"/>
    <col min="12549" max="12549" width="15.42578125" customWidth="1"/>
    <col min="12550" max="12550" width="7" customWidth="1"/>
    <col min="12551" max="12551" width="4.42578125" customWidth="1"/>
    <col min="12552" max="12552" width="14.42578125" bestFit="1" customWidth="1"/>
    <col min="12801" max="12801" width="34.42578125" customWidth="1"/>
    <col min="12802" max="12802" width="4.7109375" customWidth="1"/>
    <col min="12803" max="12803" width="15.28515625" customWidth="1"/>
    <col min="12804" max="12804" width="6.140625" customWidth="1"/>
    <col min="12805" max="12805" width="15.42578125" customWidth="1"/>
    <col min="12806" max="12806" width="7" customWidth="1"/>
    <col min="12807" max="12807" width="4.42578125" customWidth="1"/>
    <col min="12808" max="12808" width="14.42578125" bestFit="1" customWidth="1"/>
    <col min="13057" max="13057" width="34.42578125" customWidth="1"/>
    <col min="13058" max="13058" width="4.7109375" customWidth="1"/>
    <col min="13059" max="13059" width="15.28515625" customWidth="1"/>
    <col min="13060" max="13060" width="6.140625" customWidth="1"/>
    <col min="13061" max="13061" width="15.42578125" customWidth="1"/>
    <col min="13062" max="13062" width="7" customWidth="1"/>
    <col min="13063" max="13063" width="4.42578125" customWidth="1"/>
    <col min="13064" max="13064" width="14.42578125" bestFit="1" customWidth="1"/>
    <col min="13313" max="13313" width="34.42578125" customWidth="1"/>
    <col min="13314" max="13314" width="4.7109375" customWidth="1"/>
    <col min="13315" max="13315" width="15.28515625" customWidth="1"/>
    <col min="13316" max="13316" width="6.140625" customWidth="1"/>
    <col min="13317" max="13317" width="15.42578125" customWidth="1"/>
    <col min="13318" max="13318" width="7" customWidth="1"/>
    <col min="13319" max="13319" width="4.42578125" customWidth="1"/>
    <col min="13320" max="13320" width="14.42578125" bestFit="1" customWidth="1"/>
    <col min="13569" max="13569" width="34.42578125" customWidth="1"/>
    <col min="13570" max="13570" width="4.7109375" customWidth="1"/>
    <col min="13571" max="13571" width="15.28515625" customWidth="1"/>
    <col min="13572" max="13572" width="6.140625" customWidth="1"/>
    <col min="13573" max="13573" width="15.42578125" customWidth="1"/>
    <col min="13574" max="13574" width="7" customWidth="1"/>
    <col min="13575" max="13575" width="4.42578125" customWidth="1"/>
    <col min="13576" max="13576" width="14.42578125" bestFit="1" customWidth="1"/>
    <col min="13825" max="13825" width="34.42578125" customWidth="1"/>
    <col min="13826" max="13826" width="4.7109375" customWidth="1"/>
    <col min="13827" max="13827" width="15.28515625" customWidth="1"/>
    <col min="13828" max="13828" width="6.140625" customWidth="1"/>
    <col min="13829" max="13829" width="15.42578125" customWidth="1"/>
    <col min="13830" max="13830" width="7" customWidth="1"/>
    <col min="13831" max="13831" width="4.42578125" customWidth="1"/>
    <col min="13832" max="13832" width="14.42578125" bestFit="1" customWidth="1"/>
    <col min="14081" max="14081" width="34.42578125" customWidth="1"/>
    <col min="14082" max="14082" width="4.7109375" customWidth="1"/>
    <col min="14083" max="14083" width="15.28515625" customWidth="1"/>
    <col min="14084" max="14084" width="6.140625" customWidth="1"/>
    <col min="14085" max="14085" width="15.42578125" customWidth="1"/>
    <col min="14086" max="14086" width="7" customWidth="1"/>
    <col min="14087" max="14087" width="4.42578125" customWidth="1"/>
    <col min="14088" max="14088" width="14.42578125" bestFit="1" customWidth="1"/>
    <col min="14337" max="14337" width="34.42578125" customWidth="1"/>
    <col min="14338" max="14338" width="4.7109375" customWidth="1"/>
    <col min="14339" max="14339" width="15.28515625" customWidth="1"/>
    <col min="14340" max="14340" width="6.140625" customWidth="1"/>
    <col min="14341" max="14341" width="15.42578125" customWidth="1"/>
    <col min="14342" max="14342" width="7" customWidth="1"/>
    <col min="14343" max="14343" width="4.42578125" customWidth="1"/>
    <col min="14344" max="14344" width="14.42578125" bestFit="1" customWidth="1"/>
    <col min="14593" max="14593" width="34.42578125" customWidth="1"/>
    <col min="14594" max="14594" width="4.7109375" customWidth="1"/>
    <col min="14595" max="14595" width="15.28515625" customWidth="1"/>
    <col min="14596" max="14596" width="6.140625" customWidth="1"/>
    <col min="14597" max="14597" width="15.42578125" customWidth="1"/>
    <col min="14598" max="14598" width="7" customWidth="1"/>
    <col min="14599" max="14599" width="4.42578125" customWidth="1"/>
    <col min="14600" max="14600" width="14.42578125" bestFit="1" customWidth="1"/>
    <col min="14849" max="14849" width="34.42578125" customWidth="1"/>
    <col min="14850" max="14850" width="4.7109375" customWidth="1"/>
    <col min="14851" max="14851" width="15.28515625" customWidth="1"/>
    <col min="14852" max="14852" width="6.140625" customWidth="1"/>
    <col min="14853" max="14853" width="15.42578125" customWidth="1"/>
    <col min="14854" max="14854" width="7" customWidth="1"/>
    <col min="14855" max="14855" width="4.42578125" customWidth="1"/>
    <col min="14856" max="14856" width="14.42578125" bestFit="1" customWidth="1"/>
    <col min="15105" max="15105" width="34.42578125" customWidth="1"/>
    <col min="15106" max="15106" width="4.7109375" customWidth="1"/>
    <col min="15107" max="15107" width="15.28515625" customWidth="1"/>
    <col min="15108" max="15108" width="6.140625" customWidth="1"/>
    <col min="15109" max="15109" width="15.42578125" customWidth="1"/>
    <col min="15110" max="15110" width="7" customWidth="1"/>
    <col min="15111" max="15111" width="4.42578125" customWidth="1"/>
    <col min="15112" max="15112" width="14.42578125" bestFit="1" customWidth="1"/>
    <col min="15361" max="15361" width="34.42578125" customWidth="1"/>
    <col min="15362" max="15362" width="4.7109375" customWidth="1"/>
    <col min="15363" max="15363" width="15.28515625" customWidth="1"/>
    <col min="15364" max="15364" width="6.140625" customWidth="1"/>
    <col min="15365" max="15365" width="15.42578125" customWidth="1"/>
    <col min="15366" max="15366" width="7" customWidth="1"/>
    <col min="15367" max="15367" width="4.42578125" customWidth="1"/>
    <col min="15368" max="15368" width="14.42578125" bestFit="1" customWidth="1"/>
    <col min="15617" max="15617" width="34.42578125" customWidth="1"/>
    <col min="15618" max="15618" width="4.7109375" customWidth="1"/>
    <col min="15619" max="15619" width="15.28515625" customWidth="1"/>
    <col min="15620" max="15620" width="6.140625" customWidth="1"/>
    <col min="15621" max="15621" width="15.42578125" customWidth="1"/>
    <col min="15622" max="15622" width="7" customWidth="1"/>
    <col min="15623" max="15623" width="4.42578125" customWidth="1"/>
    <col min="15624" max="15624" width="14.42578125" bestFit="1" customWidth="1"/>
    <col min="15873" max="15873" width="34.42578125" customWidth="1"/>
    <col min="15874" max="15874" width="4.7109375" customWidth="1"/>
    <col min="15875" max="15875" width="15.28515625" customWidth="1"/>
    <col min="15876" max="15876" width="6.140625" customWidth="1"/>
    <col min="15877" max="15877" width="15.42578125" customWidth="1"/>
    <col min="15878" max="15878" width="7" customWidth="1"/>
    <col min="15879" max="15879" width="4.42578125" customWidth="1"/>
    <col min="15880" max="15880" width="14.42578125" bestFit="1" customWidth="1"/>
    <col min="16129" max="16129" width="34.42578125" customWidth="1"/>
    <col min="16130" max="16130" width="4.7109375" customWidth="1"/>
    <col min="16131" max="16131" width="15.28515625" customWidth="1"/>
    <col min="16132" max="16132" width="6.140625" customWidth="1"/>
    <col min="16133" max="16133" width="15.42578125" customWidth="1"/>
    <col min="16134" max="16134" width="7" customWidth="1"/>
    <col min="16135" max="16135" width="4.42578125" customWidth="1"/>
    <col min="16136" max="16136" width="14.42578125" bestFit="1" customWidth="1"/>
  </cols>
  <sheetData>
    <row r="1" spans="1:7" ht="15">
      <c r="A1" s="1" t="s">
        <v>0</v>
      </c>
      <c r="B1" s="2"/>
      <c r="C1" s="3"/>
      <c r="D1" s="4"/>
      <c r="E1" s="3"/>
      <c r="F1" s="5"/>
      <c r="G1" s="6"/>
    </row>
    <row r="2" spans="1:7" ht="14.25">
      <c r="B2" s="3"/>
      <c r="C2" s="3"/>
      <c r="D2" s="3"/>
      <c r="E2" s="3"/>
      <c r="F2" s="7"/>
      <c r="G2" s="6"/>
    </row>
    <row r="3" spans="1:7" ht="15" thickBot="1">
      <c r="A3" s="8"/>
      <c r="B3" s="3"/>
      <c r="C3" s="3"/>
      <c r="D3" s="3"/>
      <c r="E3" s="9"/>
      <c r="F3" s="7"/>
      <c r="G3" s="6"/>
    </row>
    <row r="4" spans="1:7" ht="14.25">
      <c r="A4" s="10"/>
      <c r="B4" s="11"/>
      <c r="C4" s="12">
        <v>41821</v>
      </c>
      <c r="D4" s="13"/>
      <c r="E4" s="12">
        <v>41791</v>
      </c>
      <c r="F4" s="14"/>
      <c r="G4" s="15"/>
    </row>
    <row r="5" spans="1:7" ht="14.25">
      <c r="A5" s="16"/>
      <c r="B5" s="17"/>
      <c r="C5" s="18"/>
      <c r="D5" s="19"/>
      <c r="E5" s="18" t="s">
        <v>1</v>
      </c>
      <c r="F5" s="20"/>
      <c r="G5" s="15"/>
    </row>
    <row r="6" spans="1:7" ht="14.25">
      <c r="A6" s="16"/>
      <c r="B6" s="21"/>
      <c r="C6" s="22" t="s">
        <v>2</v>
      </c>
      <c r="D6" s="21"/>
      <c r="E6" s="22" t="s">
        <v>2</v>
      </c>
      <c r="F6" s="20"/>
      <c r="G6" s="15"/>
    </row>
    <row r="7" spans="1:7" ht="14.25">
      <c r="A7" s="16" t="s">
        <v>3</v>
      </c>
      <c r="B7" s="4"/>
      <c r="C7" s="23"/>
      <c r="D7" s="4"/>
      <c r="E7" s="23"/>
      <c r="F7" s="24"/>
      <c r="G7" s="15"/>
    </row>
    <row r="8" spans="1:7" ht="9" customHeight="1">
      <c r="A8" s="16"/>
      <c r="B8" s="4"/>
      <c r="C8" s="23"/>
      <c r="D8" s="4"/>
      <c r="E8" s="23"/>
      <c r="F8" s="24"/>
      <c r="G8" s="25"/>
    </row>
    <row r="9" spans="1:7" ht="14.25">
      <c r="A9" s="26" t="s">
        <v>4</v>
      </c>
      <c r="B9" s="4"/>
      <c r="C9" s="27">
        <v>2000000000</v>
      </c>
      <c r="D9" s="4"/>
      <c r="E9" s="27">
        <v>2000000000</v>
      </c>
      <c r="F9" s="24"/>
      <c r="G9" s="15"/>
    </row>
    <row r="10" spans="1:7" ht="14.25">
      <c r="A10" s="26" t="s">
        <v>5</v>
      </c>
      <c r="B10" s="28"/>
      <c r="C10" s="29">
        <v>19867932722.23</v>
      </c>
      <c r="D10" s="4"/>
      <c r="E10" s="29">
        <v>19867932722.23</v>
      </c>
      <c r="F10" s="24"/>
      <c r="G10" s="15"/>
    </row>
    <row r="11" spans="1:7" ht="14.25">
      <c r="A11" s="26"/>
      <c r="B11" s="4"/>
      <c r="C11" s="27">
        <v>21867932722.23</v>
      </c>
      <c r="D11" s="4"/>
      <c r="E11" s="27">
        <v>21867932722.23</v>
      </c>
      <c r="F11" s="24"/>
      <c r="G11" s="25"/>
    </row>
    <row r="12" spans="1:7" ht="14.25" customHeight="1">
      <c r="A12" s="26" t="s">
        <v>6</v>
      </c>
      <c r="B12" s="30"/>
      <c r="C12" s="31">
        <v>-778280983</v>
      </c>
      <c r="D12" s="4"/>
      <c r="E12" s="31">
        <v>0</v>
      </c>
      <c r="F12" s="24"/>
      <c r="G12" s="15"/>
    </row>
    <row r="13" spans="1:7" ht="14.25" customHeight="1" thickBot="1">
      <c r="A13" s="32"/>
      <c r="B13" s="30"/>
      <c r="C13" s="33">
        <v>21089651739.23</v>
      </c>
      <c r="D13" s="4"/>
      <c r="E13" s="33">
        <v>21867932722.23</v>
      </c>
      <c r="F13" s="24"/>
      <c r="G13" s="25"/>
    </row>
    <row r="14" spans="1:7" ht="15" thickTop="1">
      <c r="A14" s="34" t="s">
        <v>7</v>
      </c>
      <c r="B14" s="35"/>
      <c r="C14" s="36"/>
      <c r="D14" s="4"/>
      <c r="E14" s="36"/>
      <c r="F14" s="24"/>
      <c r="G14" s="15"/>
    </row>
    <row r="15" spans="1:7" ht="3.75" customHeight="1">
      <c r="A15" s="26"/>
      <c r="B15" s="35"/>
      <c r="C15" s="36"/>
      <c r="D15" s="4"/>
      <c r="E15" s="36"/>
      <c r="F15" s="24"/>
      <c r="G15" s="25"/>
    </row>
    <row r="16" spans="1:7" ht="14.25">
      <c r="A16" s="26" t="s">
        <v>8</v>
      </c>
      <c r="B16" s="35"/>
      <c r="C16" s="36"/>
      <c r="D16" s="37"/>
      <c r="E16" s="36"/>
      <c r="F16" s="24"/>
      <c r="G16" s="38"/>
    </row>
    <row r="17" spans="1:8" ht="14.25">
      <c r="A17" s="26" t="s">
        <v>9</v>
      </c>
      <c r="B17" s="35"/>
      <c r="C17" s="39">
        <v>87848406119</v>
      </c>
      <c r="D17" s="37"/>
      <c r="E17" s="39">
        <v>86392623945</v>
      </c>
      <c r="F17" s="24"/>
      <c r="G17" s="25"/>
    </row>
    <row r="18" spans="1:8" ht="14.25">
      <c r="A18" s="26" t="s">
        <v>10</v>
      </c>
      <c r="B18" s="35"/>
      <c r="C18" s="40">
        <v>4667987768</v>
      </c>
      <c r="D18" s="37"/>
      <c r="E18" s="40">
        <v>4667987768</v>
      </c>
      <c r="F18" s="24"/>
      <c r="G18" s="25"/>
    </row>
    <row r="19" spans="1:8" ht="14.25">
      <c r="A19" s="26" t="s">
        <v>11</v>
      </c>
      <c r="B19" s="35"/>
      <c r="C19" s="40">
        <v>28571242496</v>
      </c>
      <c r="D19" s="37"/>
      <c r="E19" s="40">
        <v>28645207964</v>
      </c>
      <c r="F19" s="24"/>
      <c r="G19" s="25"/>
    </row>
    <row r="20" spans="1:8" ht="14.25" customHeight="1">
      <c r="A20" s="26" t="s">
        <v>12</v>
      </c>
      <c r="B20" s="35"/>
      <c r="C20" s="41">
        <v>183919609</v>
      </c>
      <c r="D20" s="37"/>
      <c r="E20" s="41">
        <v>152221498</v>
      </c>
      <c r="F20" s="24"/>
      <c r="G20" s="25"/>
      <c r="H20" s="42"/>
    </row>
    <row r="21" spans="1:8" ht="14.25">
      <c r="A21" s="26"/>
      <c r="B21" s="35"/>
      <c r="C21" s="43">
        <v>121271555992</v>
      </c>
      <c r="D21" s="37"/>
      <c r="E21" s="43">
        <v>119858041175</v>
      </c>
      <c r="F21" s="24"/>
      <c r="G21" s="25"/>
    </row>
    <row r="22" spans="1:8" ht="14.25">
      <c r="A22" s="26" t="s">
        <v>13</v>
      </c>
      <c r="B22" s="35"/>
      <c r="C22" s="44">
        <v>1753894113</v>
      </c>
      <c r="D22" s="37"/>
      <c r="E22" s="44">
        <v>2314995798</v>
      </c>
      <c r="F22" s="24"/>
      <c r="G22" s="25"/>
    </row>
    <row r="23" spans="1:8" ht="14.25">
      <c r="A23" s="26" t="s">
        <v>14</v>
      </c>
      <c r="B23" s="35"/>
      <c r="C23" s="44">
        <v>6060019419</v>
      </c>
      <c r="D23" s="37"/>
      <c r="E23" s="44">
        <v>6215892739</v>
      </c>
      <c r="F23" s="24"/>
      <c r="G23" s="25"/>
    </row>
    <row r="24" spans="1:8" ht="14.25">
      <c r="A24" s="26" t="s">
        <v>15</v>
      </c>
      <c r="B24" s="35"/>
      <c r="C24" s="44">
        <v>1659153399</v>
      </c>
      <c r="D24" s="37"/>
      <c r="E24" s="44">
        <v>1658547888</v>
      </c>
      <c r="F24" s="24"/>
      <c r="G24" s="25"/>
    </row>
    <row r="25" spans="1:8" ht="14.25">
      <c r="A25" s="26" t="s">
        <v>16</v>
      </c>
      <c r="B25" s="35"/>
      <c r="C25" s="45">
        <v>451934116</v>
      </c>
      <c r="D25" s="37"/>
      <c r="E25" s="45">
        <v>551269583</v>
      </c>
      <c r="F25" s="24"/>
      <c r="G25" s="25"/>
      <c r="H25" s="42"/>
    </row>
    <row r="26" spans="1:8" ht="14.25">
      <c r="A26" s="26"/>
      <c r="B26" s="35"/>
      <c r="C26" s="44">
        <v>131196557039</v>
      </c>
      <c r="D26" s="37"/>
      <c r="E26" s="44">
        <v>130598747183</v>
      </c>
      <c r="F26" s="24"/>
      <c r="G26" s="25"/>
    </row>
    <row r="27" spans="1:8" ht="15" customHeight="1">
      <c r="A27" s="26" t="s">
        <v>17</v>
      </c>
      <c r="B27" s="35"/>
      <c r="C27" s="36"/>
      <c r="D27" s="37"/>
      <c r="E27" s="36"/>
      <c r="F27" s="24"/>
      <c r="G27" s="25"/>
    </row>
    <row r="28" spans="1:8" ht="12" customHeight="1">
      <c r="A28" s="26"/>
      <c r="B28" s="35"/>
      <c r="C28" s="36"/>
      <c r="D28" s="37"/>
      <c r="E28" s="36"/>
      <c r="F28" s="24"/>
      <c r="G28" s="25"/>
    </row>
    <row r="29" spans="1:8" ht="18" customHeight="1">
      <c r="A29" s="34" t="s">
        <v>18</v>
      </c>
      <c r="B29" s="35"/>
      <c r="C29" s="36"/>
      <c r="D29" s="37"/>
      <c r="E29" s="36"/>
      <c r="F29" s="24"/>
      <c r="G29" s="25"/>
    </row>
    <row r="30" spans="1:8" ht="6" customHeight="1">
      <c r="A30" s="46"/>
      <c r="B30" s="35"/>
      <c r="C30" s="36"/>
      <c r="D30" s="37"/>
      <c r="E30" s="36"/>
      <c r="F30" s="24"/>
      <c r="G30" s="25"/>
    </row>
    <row r="31" spans="1:8" ht="18" customHeight="1">
      <c r="A31" s="26" t="s">
        <v>19</v>
      </c>
      <c r="B31" s="35"/>
      <c r="C31" s="39">
        <v>26727179815</v>
      </c>
      <c r="D31" s="4"/>
      <c r="E31" s="39">
        <v>25735680510</v>
      </c>
      <c r="F31" s="24"/>
      <c r="G31" s="25"/>
    </row>
    <row r="32" spans="1:8" ht="15" customHeight="1">
      <c r="A32" s="26" t="s">
        <v>20</v>
      </c>
      <c r="B32" s="35"/>
      <c r="C32" s="41">
        <v>850110327</v>
      </c>
      <c r="D32" s="4"/>
      <c r="E32" s="41">
        <v>847758819</v>
      </c>
      <c r="F32" s="24"/>
      <c r="G32" s="25"/>
    </row>
    <row r="33" spans="1:8" ht="15" customHeight="1">
      <c r="A33" s="26"/>
      <c r="B33" s="35"/>
      <c r="C33" s="44">
        <v>27577290142</v>
      </c>
      <c r="D33" s="4"/>
      <c r="E33" s="44">
        <v>26583439329</v>
      </c>
      <c r="F33" s="24"/>
      <c r="G33" s="25"/>
      <c r="H33" s="42"/>
    </row>
    <row r="34" spans="1:8" ht="15" customHeight="1">
      <c r="A34" s="26" t="s">
        <v>21</v>
      </c>
      <c r="B34" s="35"/>
      <c r="C34" s="36"/>
      <c r="D34" s="4"/>
      <c r="E34" s="36"/>
      <c r="F34" s="24"/>
      <c r="G34" s="25"/>
    </row>
    <row r="35" spans="1:8" ht="15" customHeight="1">
      <c r="A35" s="26" t="s">
        <v>22</v>
      </c>
      <c r="B35" s="35"/>
      <c r="C35" s="39">
        <v>16889488992</v>
      </c>
      <c r="D35" s="4"/>
      <c r="E35" s="39">
        <v>16871009961</v>
      </c>
      <c r="F35" s="24"/>
      <c r="G35" s="25"/>
    </row>
    <row r="36" spans="1:8" ht="15" customHeight="1">
      <c r="A36" s="26" t="s">
        <v>23</v>
      </c>
      <c r="B36" s="35"/>
      <c r="C36" s="40">
        <v>37346306018</v>
      </c>
      <c r="D36" s="4"/>
      <c r="E36" s="40">
        <v>35505536267</v>
      </c>
      <c r="F36" s="24"/>
      <c r="G36" s="25"/>
    </row>
    <row r="37" spans="1:8" ht="15" customHeight="1">
      <c r="A37" s="26" t="s">
        <v>24</v>
      </c>
      <c r="B37" s="35"/>
      <c r="C37" s="40">
        <v>93174108</v>
      </c>
      <c r="D37" s="4"/>
      <c r="E37" s="40">
        <v>100195342</v>
      </c>
      <c r="F37" s="24"/>
      <c r="G37" s="25"/>
    </row>
    <row r="38" spans="1:8" ht="15" customHeight="1">
      <c r="A38" s="26" t="s">
        <v>25</v>
      </c>
      <c r="B38" s="35"/>
      <c r="C38" s="41">
        <v>303699343</v>
      </c>
      <c r="D38" s="4"/>
      <c r="E38" s="41">
        <v>379412551</v>
      </c>
      <c r="F38" s="24"/>
      <c r="G38" s="25"/>
    </row>
    <row r="39" spans="1:8" ht="14.25">
      <c r="A39" s="26"/>
      <c r="B39" s="35"/>
      <c r="C39" s="44">
        <v>54632668461</v>
      </c>
      <c r="D39" s="4"/>
      <c r="E39" s="44">
        <v>52856154121</v>
      </c>
      <c r="F39" s="24"/>
      <c r="G39" s="25"/>
      <c r="H39" s="42"/>
    </row>
    <row r="40" spans="1:8" ht="14.25">
      <c r="A40" s="26" t="s">
        <v>26</v>
      </c>
      <c r="B40" s="35"/>
      <c r="C40" s="44">
        <v>22447902585</v>
      </c>
      <c r="D40" s="4"/>
      <c r="E40" s="44">
        <v>23676009722</v>
      </c>
      <c r="F40" s="24"/>
      <c r="G40" s="25"/>
    </row>
    <row r="41" spans="1:8" ht="14.25">
      <c r="A41" s="26" t="s">
        <v>27</v>
      </c>
      <c r="B41" s="35"/>
      <c r="C41" s="45">
        <v>5449044112</v>
      </c>
      <c r="D41" s="4"/>
      <c r="E41" s="45">
        <v>5615211289</v>
      </c>
      <c r="F41" s="24"/>
      <c r="G41" s="15"/>
    </row>
    <row r="42" spans="1:8" ht="20.25" customHeight="1">
      <c r="A42" s="26"/>
      <c r="B42" s="4"/>
      <c r="C42" s="45">
        <v>110106905300</v>
      </c>
      <c r="D42" s="44"/>
      <c r="E42" s="45">
        <v>108730814461</v>
      </c>
      <c r="F42" s="24"/>
      <c r="G42" s="25"/>
      <c r="H42" s="42"/>
    </row>
    <row r="43" spans="1:8" ht="25.5" customHeight="1" thickBot="1">
      <c r="A43" s="46"/>
      <c r="B43" s="4"/>
      <c r="C43" s="47">
        <v>21089651739</v>
      </c>
      <c r="D43" s="37"/>
      <c r="E43" s="47">
        <v>21867932722</v>
      </c>
      <c r="F43" s="24"/>
      <c r="G43" s="25"/>
      <c r="H43" s="42"/>
    </row>
    <row r="44" spans="1:8" ht="9.75" customHeight="1" thickTop="1" thickBot="1">
      <c r="A44" s="48"/>
      <c r="B44" s="49"/>
      <c r="C44" s="49" t="s">
        <v>28</v>
      </c>
      <c r="D44" s="50"/>
      <c r="E44" s="49"/>
      <c r="F44" s="51"/>
      <c r="G44" s="25"/>
    </row>
    <row r="45" spans="1:8" ht="5.25" customHeight="1">
      <c r="A45" s="4"/>
      <c r="B45" s="4"/>
      <c r="C45" s="4"/>
      <c r="D45" s="37"/>
      <c r="E45" s="4"/>
      <c r="F45" s="52"/>
      <c r="G45" s="53"/>
    </row>
    <row r="46" spans="1:8" ht="9.75" customHeight="1">
      <c r="A46" s="4"/>
      <c r="B46" s="4"/>
      <c r="C46" s="44"/>
      <c r="D46" s="37"/>
      <c r="E46" s="4"/>
      <c r="F46" s="52"/>
      <c r="G46" s="53"/>
    </row>
    <row r="47" spans="1:8" ht="18.75" customHeight="1">
      <c r="B47" s="4"/>
      <c r="C47" s="44"/>
      <c r="D47" s="37"/>
      <c r="E47" s="44"/>
      <c r="F47" s="52"/>
      <c r="G47" s="53"/>
    </row>
    <row r="48" spans="1:8" s="58" customFormat="1">
      <c r="A48" s="54" t="s">
        <v>29</v>
      </c>
      <c r="B48" s="55"/>
      <c r="C48" s="56"/>
      <c r="D48" s="57"/>
      <c r="E48" s="56"/>
      <c r="F48" s="55"/>
      <c r="G48" s="53"/>
    </row>
    <row r="49" spans="1:7" s="58" customFormat="1">
      <c r="A49" s="55"/>
      <c r="B49" s="55"/>
      <c r="C49" s="56"/>
      <c r="D49" s="56"/>
      <c r="E49" s="56"/>
      <c r="F49" s="55"/>
      <c r="G49" s="53"/>
    </row>
    <row r="50" spans="1:7">
      <c r="A50" s="55"/>
      <c r="B50" s="55"/>
      <c r="C50" s="56"/>
      <c r="D50" s="56"/>
      <c r="E50" s="56"/>
      <c r="F50" s="55"/>
      <c r="G50" s="53"/>
    </row>
    <row r="51" spans="1:7">
      <c r="A51" s="55"/>
      <c r="B51" s="55"/>
      <c r="C51" s="56"/>
      <c r="D51" s="56"/>
      <c r="E51" s="56"/>
      <c r="F51" s="55"/>
    </row>
    <row r="53" spans="1:7" ht="20.25" customHeight="1">
      <c r="C53" s="6"/>
      <c r="E53" s="6"/>
    </row>
    <row r="54" spans="1:7">
      <c r="C54" s="6"/>
      <c r="E54" s="6"/>
    </row>
    <row r="55" spans="1:7">
      <c r="C55" s="6"/>
      <c r="E55" s="6"/>
    </row>
    <row r="56" spans="1:7">
      <c r="C56" s="6"/>
      <c r="E56" s="6"/>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zoomScaleNormal="100" workbookViewId="0">
      <pane xSplit="1" topLeftCell="B1" activePane="topRight" state="frozen"/>
      <selection activeCell="A13" sqref="A13"/>
      <selection pane="topRight" activeCell="I11" sqref="I11"/>
    </sheetView>
  </sheetViews>
  <sheetFormatPr defaultRowHeight="15"/>
  <cols>
    <col min="1" max="1" width="3.140625" style="1072" customWidth="1"/>
    <col min="2" max="2" width="45.85546875" style="1072" customWidth="1"/>
    <col min="3" max="3" width="12.42578125" style="1072" customWidth="1"/>
    <col min="4" max="4" width="15.140625" style="1072" customWidth="1"/>
    <col min="5" max="5" width="12.42578125" style="1072" customWidth="1"/>
    <col min="6" max="6" width="17" style="1072" customWidth="1"/>
    <col min="7" max="7" width="12.140625" style="1072" customWidth="1"/>
    <col min="8" max="8" width="11.5703125" style="1072" customWidth="1"/>
    <col min="9" max="9" width="11.28515625" style="1072" customWidth="1"/>
    <col min="10" max="11" width="9.85546875" style="1072" customWidth="1"/>
    <col min="12" max="12" width="9.85546875" style="1072" bestFit="1" customWidth="1"/>
    <col min="13" max="13" width="9.140625" style="1072"/>
    <col min="14" max="14" width="9.42578125" style="1072" bestFit="1" customWidth="1"/>
    <col min="15" max="16" width="9.28515625" style="1072" bestFit="1" customWidth="1"/>
    <col min="17" max="19" width="9.28515625" style="1072" customWidth="1"/>
    <col min="20" max="20" width="9.28515625" style="1072" bestFit="1" customWidth="1"/>
    <col min="21" max="256" width="9.140625" style="1072"/>
    <col min="257" max="257" width="3.140625" style="1072" customWidth="1"/>
    <col min="258" max="258" width="47.7109375" style="1072" customWidth="1"/>
    <col min="259" max="259" width="12.28515625" style="1072" customWidth="1"/>
    <col min="260" max="260" width="13.140625" style="1072" customWidth="1"/>
    <col min="261" max="261" width="11.7109375" style="1072" customWidth="1"/>
    <col min="262" max="262" width="12.85546875" style="1072" customWidth="1"/>
    <col min="263" max="263" width="11.5703125" style="1072" customWidth="1"/>
    <col min="264" max="264" width="10.5703125" style="1072" customWidth="1"/>
    <col min="265" max="265" width="11.28515625" style="1072" customWidth="1"/>
    <col min="266" max="267" width="9.85546875" style="1072" customWidth="1"/>
    <col min="268" max="268" width="9.85546875" style="1072" bestFit="1" customWidth="1"/>
    <col min="269" max="269" width="9.140625" style="1072"/>
    <col min="270" max="270" width="9.42578125" style="1072" bestFit="1" customWidth="1"/>
    <col min="271" max="272" width="9.28515625" style="1072" bestFit="1" customWidth="1"/>
    <col min="273" max="275" width="9.28515625" style="1072" customWidth="1"/>
    <col min="276" max="276" width="9.28515625" style="1072" bestFit="1" customWidth="1"/>
    <col min="277" max="512" width="9.140625" style="1072"/>
    <col min="513" max="513" width="3.140625" style="1072" customWidth="1"/>
    <col min="514" max="514" width="47.7109375" style="1072" customWidth="1"/>
    <col min="515" max="515" width="12.28515625" style="1072" customWidth="1"/>
    <col min="516" max="516" width="13.140625" style="1072" customWidth="1"/>
    <col min="517" max="517" width="11.7109375" style="1072" customWidth="1"/>
    <col min="518" max="518" width="12.85546875" style="1072" customWidth="1"/>
    <col min="519" max="519" width="11.5703125" style="1072" customWidth="1"/>
    <col min="520" max="520" width="10.5703125" style="1072" customWidth="1"/>
    <col min="521" max="521" width="11.28515625" style="1072" customWidth="1"/>
    <col min="522" max="523" width="9.85546875" style="1072" customWidth="1"/>
    <col min="524" max="524" width="9.85546875" style="1072" bestFit="1" customWidth="1"/>
    <col min="525" max="525" width="9.140625" style="1072"/>
    <col min="526" max="526" width="9.42578125" style="1072" bestFit="1" customWidth="1"/>
    <col min="527" max="528" width="9.28515625" style="1072" bestFit="1" customWidth="1"/>
    <col min="529" max="531" width="9.28515625" style="1072" customWidth="1"/>
    <col min="532" max="532" width="9.28515625" style="1072" bestFit="1" customWidth="1"/>
    <col min="533" max="768" width="9.140625" style="1072"/>
    <col min="769" max="769" width="3.140625" style="1072" customWidth="1"/>
    <col min="770" max="770" width="47.7109375" style="1072" customWidth="1"/>
    <col min="771" max="771" width="12.28515625" style="1072" customWidth="1"/>
    <col min="772" max="772" width="13.140625" style="1072" customWidth="1"/>
    <col min="773" max="773" width="11.7109375" style="1072" customWidth="1"/>
    <col min="774" max="774" width="12.85546875" style="1072" customWidth="1"/>
    <col min="775" max="775" width="11.5703125" style="1072" customWidth="1"/>
    <col min="776" max="776" width="10.5703125" style="1072" customWidth="1"/>
    <col min="777" max="777" width="11.28515625" style="1072" customWidth="1"/>
    <col min="778" max="779" width="9.85546875" style="1072" customWidth="1"/>
    <col min="780" max="780" width="9.85546875" style="1072" bestFit="1" customWidth="1"/>
    <col min="781" max="781" width="9.140625" style="1072"/>
    <col min="782" max="782" width="9.42578125" style="1072" bestFit="1" customWidth="1"/>
    <col min="783" max="784" width="9.28515625" style="1072" bestFit="1" customWidth="1"/>
    <col min="785" max="787" width="9.28515625" style="1072" customWidth="1"/>
    <col min="788" max="788" width="9.28515625" style="1072" bestFit="1" customWidth="1"/>
    <col min="789" max="1024" width="9.140625" style="1072"/>
    <col min="1025" max="1025" width="3.140625" style="1072" customWidth="1"/>
    <col min="1026" max="1026" width="47.7109375" style="1072" customWidth="1"/>
    <col min="1027" max="1027" width="12.28515625" style="1072" customWidth="1"/>
    <col min="1028" max="1028" width="13.140625" style="1072" customWidth="1"/>
    <col min="1029" max="1029" width="11.7109375" style="1072" customWidth="1"/>
    <col min="1030" max="1030" width="12.85546875" style="1072" customWidth="1"/>
    <col min="1031" max="1031" width="11.5703125" style="1072" customWidth="1"/>
    <col min="1032" max="1032" width="10.5703125" style="1072" customWidth="1"/>
    <col min="1033" max="1033" width="11.28515625" style="1072" customWidth="1"/>
    <col min="1034" max="1035" width="9.85546875" style="1072" customWidth="1"/>
    <col min="1036" max="1036" width="9.85546875" style="1072" bestFit="1" customWidth="1"/>
    <col min="1037" max="1037" width="9.140625" style="1072"/>
    <col min="1038" max="1038" width="9.42578125" style="1072" bestFit="1" customWidth="1"/>
    <col min="1039" max="1040" width="9.28515625" style="1072" bestFit="1" customWidth="1"/>
    <col min="1041" max="1043" width="9.28515625" style="1072" customWidth="1"/>
    <col min="1044" max="1044" width="9.28515625" style="1072" bestFit="1" customWidth="1"/>
    <col min="1045" max="1280" width="9.140625" style="1072"/>
    <col min="1281" max="1281" width="3.140625" style="1072" customWidth="1"/>
    <col min="1282" max="1282" width="47.7109375" style="1072" customWidth="1"/>
    <col min="1283" max="1283" width="12.28515625" style="1072" customWidth="1"/>
    <col min="1284" max="1284" width="13.140625" style="1072" customWidth="1"/>
    <col min="1285" max="1285" width="11.7109375" style="1072" customWidth="1"/>
    <col min="1286" max="1286" width="12.85546875" style="1072" customWidth="1"/>
    <col min="1287" max="1287" width="11.5703125" style="1072" customWidth="1"/>
    <col min="1288" max="1288" width="10.5703125" style="1072" customWidth="1"/>
    <col min="1289" max="1289" width="11.28515625" style="1072" customWidth="1"/>
    <col min="1290" max="1291" width="9.85546875" style="1072" customWidth="1"/>
    <col min="1292" max="1292" width="9.85546875" style="1072" bestFit="1" customWidth="1"/>
    <col min="1293" max="1293" width="9.140625" style="1072"/>
    <col min="1294" max="1294" width="9.42578125" style="1072" bestFit="1" customWidth="1"/>
    <col min="1295" max="1296" width="9.28515625" style="1072" bestFit="1" customWidth="1"/>
    <col min="1297" max="1299" width="9.28515625" style="1072" customWidth="1"/>
    <col min="1300" max="1300" width="9.28515625" style="1072" bestFit="1" customWidth="1"/>
    <col min="1301" max="1536" width="9.140625" style="1072"/>
    <col min="1537" max="1537" width="3.140625" style="1072" customWidth="1"/>
    <col min="1538" max="1538" width="47.7109375" style="1072" customWidth="1"/>
    <col min="1539" max="1539" width="12.28515625" style="1072" customWidth="1"/>
    <col min="1540" max="1540" width="13.140625" style="1072" customWidth="1"/>
    <col min="1541" max="1541" width="11.7109375" style="1072" customWidth="1"/>
    <col min="1542" max="1542" width="12.85546875" style="1072" customWidth="1"/>
    <col min="1543" max="1543" width="11.5703125" style="1072" customWidth="1"/>
    <col min="1544" max="1544" width="10.5703125" style="1072" customWidth="1"/>
    <col min="1545" max="1545" width="11.28515625" style="1072" customWidth="1"/>
    <col min="1546" max="1547" width="9.85546875" style="1072" customWidth="1"/>
    <col min="1548" max="1548" width="9.85546875" style="1072" bestFit="1" customWidth="1"/>
    <col min="1549" max="1549" width="9.140625" style="1072"/>
    <col min="1550" max="1550" width="9.42578125" style="1072" bestFit="1" customWidth="1"/>
    <col min="1551" max="1552" width="9.28515625" style="1072" bestFit="1" customWidth="1"/>
    <col min="1553" max="1555" width="9.28515625" style="1072" customWidth="1"/>
    <col min="1556" max="1556" width="9.28515625" style="1072" bestFit="1" customWidth="1"/>
    <col min="1557" max="1792" width="9.140625" style="1072"/>
    <col min="1793" max="1793" width="3.140625" style="1072" customWidth="1"/>
    <col min="1794" max="1794" width="47.7109375" style="1072" customWidth="1"/>
    <col min="1795" max="1795" width="12.28515625" style="1072" customWidth="1"/>
    <col min="1796" max="1796" width="13.140625" style="1072" customWidth="1"/>
    <col min="1797" max="1797" width="11.7109375" style="1072" customWidth="1"/>
    <col min="1798" max="1798" width="12.85546875" style="1072" customWidth="1"/>
    <col min="1799" max="1799" width="11.5703125" style="1072" customWidth="1"/>
    <col min="1800" max="1800" width="10.5703125" style="1072" customWidth="1"/>
    <col min="1801" max="1801" width="11.28515625" style="1072" customWidth="1"/>
    <col min="1802" max="1803" width="9.85546875" style="1072" customWidth="1"/>
    <col min="1804" max="1804" width="9.85546875" style="1072" bestFit="1" customWidth="1"/>
    <col min="1805" max="1805" width="9.140625" style="1072"/>
    <col min="1806" max="1806" width="9.42578125" style="1072" bestFit="1" customWidth="1"/>
    <col min="1807" max="1808" width="9.28515625" style="1072" bestFit="1" customWidth="1"/>
    <col min="1809" max="1811" width="9.28515625" style="1072" customWidth="1"/>
    <col min="1812" max="1812" width="9.28515625" style="1072" bestFit="1" customWidth="1"/>
    <col min="1813" max="2048" width="9.140625" style="1072"/>
    <col min="2049" max="2049" width="3.140625" style="1072" customWidth="1"/>
    <col min="2050" max="2050" width="47.7109375" style="1072" customWidth="1"/>
    <col min="2051" max="2051" width="12.28515625" style="1072" customWidth="1"/>
    <col min="2052" max="2052" width="13.140625" style="1072" customWidth="1"/>
    <col min="2053" max="2053" width="11.7109375" style="1072" customWidth="1"/>
    <col min="2054" max="2054" width="12.85546875" style="1072" customWidth="1"/>
    <col min="2055" max="2055" width="11.5703125" style="1072" customWidth="1"/>
    <col min="2056" max="2056" width="10.5703125" style="1072" customWidth="1"/>
    <col min="2057" max="2057" width="11.28515625" style="1072" customWidth="1"/>
    <col min="2058" max="2059" width="9.85546875" style="1072" customWidth="1"/>
    <col min="2060" max="2060" width="9.85546875" style="1072" bestFit="1" customWidth="1"/>
    <col min="2061" max="2061" width="9.140625" style="1072"/>
    <col min="2062" max="2062" width="9.42578125" style="1072" bestFit="1" customWidth="1"/>
    <col min="2063" max="2064" width="9.28515625" style="1072" bestFit="1" customWidth="1"/>
    <col min="2065" max="2067" width="9.28515625" style="1072" customWidth="1"/>
    <col min="2068" max="2068" width="9.28515625" style="1072" bestFit="1" customWidth="1"/>
    <col min="2069" max="2304" width="9.140625" style="1072"/>
    <col min="2305" max="2305" width="3.140625" style="1072" customWidth="1"/>
    <col min="2306" max="2306" width="47.7109375" style="1072" customWidth="1"/>
    <col min="2307" max="2307" width="12.28515625" style="1072" customWidth="1"/>
    <col min="2308" max="2308" width="13.140625" style="1072" customWidth="1"/>
    <col min="2309" max="2309" width="11.7109375" style="1072" customWidth="1"/>
    <col min="2310" max="2310" width="12.85546875" style="1072" customWidth="1"/>
    <col min="2311" max="2311" width="11.5703125" style="1072" customWidth="1"/>
    <col min="2312" max="2312" width="10.5703125" style="1072" customWidth="1"/>
    <col min="2313" max="2313" width="11.28515625" style="1072" customWidth="1"/>
    <col min="2314" max="2315" width="9.85546875" style="1072" customWidth="1"/>
    <col min="2316" max="2316" width="9.85546875" style="1072" bestFit="1" customWidth="1"/>
    <col min="2317" max="2317" width="9.140625" style="1072"/>
    <col min="2318" max="2318" width="9.42578125" style="1072" bestFit="1" customWidth="1"/>
    <col min="2319" max="2320" width="9.28515625" style="1072" bestFit="1" customWidth="1"/>
    <col min="2321" max="2323" width="9.28515625" style="1072" customWidth="1"/>
    <col min="2324" max="2324" width="9.28515625" style="1072" bestFit="1" customWidth="1"/>
    <col min="2325" max="2560" width="9.140625" style="1072"/>
    <col min="2561" max="2561" width="3.140625" style="1072" customWidth="1"/>
    <col min="2562" max="2562" width="47.7109375" style="1072" customWidth="1"/>
    <col min="2563" max="2563" width="12.28515625" style="1072" customWidth="1"/>
    <col min="2564" max="2564" width="13.140625" style="1072" customWidth="1"/>
    <col min="2565" max="2565" width="11.7109375" style="1072" customWidth="1"/>
    <col min="2566" max="2566" width="12.85546875" style="1072" customWidth="1"/>
    <col min="2567" max="2567" width="11.5703125" style="1072" customWidth="1"/>
    <col min="2568" max="2568" width="10.5703125" style="1072" customWidth="1"/>
    <col min="2569" max="2569" width="11.28515625" style="1072" customWidth="1"/>
    <col min="2570" max="2571" width="9.85546875" style="1072" customWidth="1"/>
    <col min="2572" max="2572" width="9.85546875" style="1072" bestFit="1" customWidth="1"/>
    <col min="2573" max="2573" width="9.140625" style="1072"/>
    <col min="2574" max="2574" width="9.42578125" style="1072" bestFit="1" customWidth="1"/>
    <col min="2575" max="2576" width="9.28515625" style="1072" bestFit="1" customWidth="1"/>
    <col min="2577" max="2579" width="9.28515625" style="1072" customWidth="1"/>
    <col min="2580" max="2580" width="9.28515625" style="1072" bestFit="1" customWidth="1"/>
    <col min="2581" max="2816" width="9.140625" style="1072"/>
    <col min="2817" max="2817" width="3.140625" style="1072" customWidth="1"/>
    <col min="2818" max="2818" width="47.7109375" style="1072" customWidth="1"/>
    <col min="2819" max="2819" width="12.28515625" style="1072" customWidth="1"/>
    <col min="2820" max="2820" width="13.140625" style="1072" customWidth="1"/>
    <col min="2821" max="2821" width="11.7109375" style="1072" customWidth="1"/>
    <col min="2822" max="2822" width="12.85546875" style="1072" customWidth="1"/>
    <col min="2823" max="2823" width="11.5703125" style="1072" customWidth="1"/>
    <col min="2824" max="2824" width="10.5703125" style="1072" customWidth="1"/>
    <col min="2825" max="2825" width="11.28515625" style="1072" customWidth="1"/>
    <col min="2826" max="2827" width="9.85546875" style="1072" customWidth="1"/>
    <col min="2828" max="2828" width="9.85546875" style="1072" bestFit="1" customWidth="1"/>
    <col min="2829" max="2829" width="9.140625" style="1072"/>
    <col min="2830" max="2830" width="9.42578125" style="1072" bestFit="1" customWidth="1"/>
    <col min="2831" max="2832" width="9.28515625" style="1072" bestFit="1" customWidth="1"/>
    <col min="2833" max="2835" width="9.28515625" style="1072" customWidth="1"/>
    <col min="2836" max="2836" width="9.28515625" style="1072" bestFit="1" customWidth="1"/>
    <col min="2837" max="3072" width="9.140625" style="1072"/>
    <col min="3073" max="3073" width="3.140625" style="1072" customWidth="1"/>
    <col min="3074" max="3074" width="47.7109375" style="1072" customWidth="1"/>
    <col min="3075" max="3075" width="12.28515625" style="1072" customWidth="1"/>
    <col min="3076" max="3076" width="13.140625" style="1072" customWidth="1"/>
    <col min="3077" max="3077" width="11.7109375" style="1072" customWidth="1"/>
    <col min="3078" max="3078" width="12.85546875" style="1072" customWidth="1"/>
    <col min="3079" max="3079" width="11.5703125" style="1072" customWidth="1"/>
    <col min="3080" max="3080" width="10.5703125" style="1072" customWidth="1"/>
    <col min="3081" max="3081" width="11.28515625" style="1072" customWidth="1"/>
    <col min="3082" max="3083" width="9.85546875" style="1072" customWidth="1"/>
    <col min="3084" max="3084" width="9.85546875" style="1072" bestFit="1" customWidth="1"/>
    <col min="3085" max="3085" width="9.140625" style="1072"/>
    <col min="3086" max="3086" width="9.42578125" style="1072" bestFit="1" customWidth="1"/>
    <col min="3087" max="3088" width="9.28515625" style="1072" bestFit="1" customWidth="1"/>
    <col min="3089" max="3091" width="9.28515625" style="1072" customWidth="1"/>
    <col min="3092" max="3092" width="9.28515625" style="1072" bestFit="1" customWidth="1"/>
    <col min="3093" max="3328" width="9.140625" style="1072"/>
    <col min="3329" max="3329" width="3.140625" style="1072" customWidth="1"/>
    <col min="3330" max="3330" width="47.7109375" style="1072" customWidth="1"/>
    <col min="3331" max="3331" width="12.28515625" style="1072" customWidth="1"/>
    <col min="3332" max="3332" width="13.140625" style="1072" customWidth="1"/>
    <col min="3333" max="3333" width="11.7109375" style="1072" customWidth="1"/>
    <col min="3334" max="3334" width="12.85546875" style="1072" customWidth="1"/>
    <col min="3335" max="3335" width="11.5703125" style="1072" customWidth="1"/>
    <col min="3336" max="3336" width="10.5703125" style="1072" customWidth="1"/>
    <col min="3337" max="3337" width="11.28515625" style="1072" customWidth="1"/>
    <col min="3338" max="3339" width="9.85546875" style="1072" customWidth="1"/>
    <col min="3340" max="3340" width="9.85546875" style="1072" bestFit="1" customWidth="1"/>
    <col min="3341" max="3341" width="9.140625" style="1072"/>
    <col min="3342" max="3342" width="9.42578125" style="1072" bestFit="1" customWidth="1"/>
    <col min="3343" max="3344" width="9.28515625" style="1072" bestFit="1" customWidth="1"/>
    <col min="3345" max="3347" width="9.28515625" style="1072" customWidth="1"/>
    <col min="3348" max="3348" width="9.28515625" style="1072" bestFit="1" customWidth="1"/>
    <col min="3349" max="3584" width="9.140625" style="1072"/>
    <col min="3585" max="3585" width="3.140625" style="1072" customWidth="1"/>
    <col min="3586" max="3586" width="47.7109375" style="1072" customWidth="1"/>
    <col min="3587" max="3587" width="12.28515625" style="1072" customWidth="1"/>
    <col min="3588" max="3588" width="13.140625" style="1072" customWidth="1"/>
    <col min="3589" max="3589" width="11.7109375" style="1072" customWidth="1"/>
    <col min="3590" max="3590" width="12.85546875" style="1072" customWidth="1"/>
    <col min="3591" max="3591" width="11.5703125" style="1072" customWidth="1"/>
    <col min="3592" max="3592" width="10.5703125" style="1072" customWidth="1"/>
    <col min="3593" max="3593" width="11.28515625" style="1072" customWidth="1"/>
    <col min="3594" max="3595" width="9.85546875" style="1072" customWidth="1"/>
    <col min="3596" max="3596" width="9.85546875" style="1072" bestFit="1" customWidth="1"/>
    <col min="3597" max="3597" width="9.140625" style="1072"/>
    <col min="3598" max="3598" width="9.42578125" style="1072" bestFit="1" customWidth="1"/>
    <col min="3599" max="3600" width="9.28515625" style="1072" bestFit="1" customWidth="1"/>
    <col min="3601" max="3603" width="9.28515625" style="1072" customWidth="1"/>
    <col min="3604" max="3604" width="9.28515625" style="1072" bestFit="1" customWidth="1"/>
    <col min="3605" max="3840" width="9.140625" style="1072"/>
    <col min="3841" max="3841" width="3.140625" style="1072" customWidth="1"/>
    <col min="3842" max="3842" width="47.7109375" style="1072" customWidth="1"/>
    <col min="3843" max="3843" width="12.28515625" style="1072" customWidth="1"/>
    <col min="3844" max="3844" width="13.140625" style="1072" customWidth="1"/>
    <col min="3845" max="3845" width="11.7109375" style="1072" customWidth="1"/>
    <col min="3846" max="3846" width="12.85546875" style="1072" customWidth="1"/>
    <col min="3847" max="3847" width="11.5703125" style="1072" customWidth="1"/>
    <col min="3848" max="3848" width="10.5703125" style="1072" customWidth="1"/>
    <col min="3849" max="3849" width="11.28515625" style="1072" customWidth="1"/>
    <col min="3850" max="3851" width="9.85546875" style="1072" customWidth="1"/>
    <col min="3852" max="3852" width="9.85546875" style="1072" bestFit="1" customWidth="1"/>
    <col min="3853" max="3853" width="9.140625" style="1072"/>
    <col min="3854" max="3854" width="9.42578125" style="1072" bestFit="1" customWidth="1"/>
    <col min="3855" max="3856" width="9.28515625" style="1072" bestFit="1" customWidth="1"/>
    <col min="3857" max="3859" width="9.28515625" style="1072" customWidth="1"/>
    <col min="3860" max="3860" width="9.28515625" style="1072" bestFit="1" customWidth="1"/>
    <col min="3861" max="4096" width="9.140625" style="1072"/>
    <col min="4097" max="4097" width="3.140625" style="1072" customWidth="1"/>
    <col min="4098" max="4098" width="47.7109375" style="1072" customWidth="1"/>
    <col min="4099" max="4099" width="12.28515625" style="1072" customWidth="1"/>
    <col min="4100" max="4100" width="13.140625" style="1072" customWidth="1"/>
    <col min="4101" max="4101" width="11.7109375" style="1072" customWidth="1"/>
    <col min="4102" max="4102" width="12.85546875" style="1072" customWidth="1"/>
    <col min="4103" max="4103" width="11.5703125" style="1072" customWidth="1"/>
    <col min="4104" max="4104" width="10.5703125" style="1072" customWidth="1"/>
    <col min="4105" max="4105" width="11.28515625" style="1072" customWidth="1"/>
    <col min="4106" max="4107" width="9.85546875" style="1072" customWidth="1"/>
    <col min="4108" max="4108" width="9.85546875" style="1072" bestFit="1" customWidth="1"/>
    <col min="4109" max="4109" width="9.140625" style="1072"/>
    <col min="4110" max="4110" width="9.42578125" style="1072" bestFit="1" customWidth="1"/>
    <col min="4111" max="4112" width="9.28515625" style="1072" bestFit="1" customWidth="1"/>
    <col min="4113" max="4115" width="9.28515625" style="1072" customWidth="1"/>
    <col min="4116" max="4116" width="9.28515625" style="1072" bestFit="1" customWidth="1"/>
    <col min="4117" max="4352" width="9.140625" style="1072"/>
    <col min="4353" max="4353" width="3.140625" style="1072" customWidth="1"/>
    <col min="4354" max="4354" width="47.7109375" style="1072" customWidth="1"/>
    <col min="4355" max="4355" width="12.28515625" style="1072" customWidth="1"/>
    <col min="4356" max="4356" width="13.140625" style="1072" customWidth="1"/>
    <col min="4357" max="4357" width="11.7109375" style="1072" customWidth="1"/>
    <col min="4358" max="4358" width="12.85546875" style="1072" customWidth="1"/>
    <col min="4359" max="4359" width="11.5703125" style="1072" customWidth="1"/>
    <col min="4360" max="4360" width="10.5703125" style="1072" customWidth="1"/>
    <col min="4361" max="4361" width="11.28515625" style="1072" customWidth="1"/>
    <col min="4362" max="4363" width="9.85546875" style="1072" customWidth="1"/>
    <col min="4364" max="4364" width="9.85546875" style="1072" bestFit="1" customWidth="1"/>
    <col min="4365" max="4365" width="9.140625" style="1072"/>
    <col min="4366" max="4366" width="9.42578125" style="1072" bestFit="1" customWidth="1"/>
    <col min="4367" max="4368" width="9.28515625" style="1072" bestFit="1" customWidth="1"/>
    <col min="4369" max="4371" width="9.28515625" style="1072" customWidth="1"/>
    <col min="4372" max="4372" width="9.28515625" style="1072" bestFit="1" customWidth="1"/>
    <col min="4373" max="4608" width="9.140625" style="1072"/>
    <col min="4609" max="4609" width="3.140625" style="1072" customWidth="1"/>
    <col min="4610" max="4610" width="47.7109375" style="1072" customWidth="1"/>
    <col min="4611" max="4611" width="12.28515625" style="1072" customWidth="1"/>
    <col min="4612" max="4612" width="13.140625" style="1072" customWidth="1"/>
    <col min="4613" max="4613" width="11.7109375" style="1072" customWidth="1"/>
    <col min="4614" max="4614" width="12.85546875" style="1072" customWidth="1"/>
    <col min="4615" max="4615" width="11.5703125" style="1072" customWidth="1"/>
    <col min="4616" max="4616" width="10.5703125" style="1072" customWidth="1"/>
    <col min="4617" max="4617" width="11.28515625" style="1072" customWidth="1"/>
    <col min="4618" max="4619" width="9.85546875" style="1072" customWidth="1"/>
    <col min="4620" max="4620" width="9.85546875" style="1072" bestFit="1" customWidth="1"/>
    <col min="4621" max="4621" width="9.140625" style="1072"/>
    <col min="4622" max="4622" width="9.42578125" style="1072" bestFit="1" customWidth="1"/>
    <col min="4623" max="4624" width="9.28515625" style="1072" bestFit="1" customWidth="1"/>
    <col min="4625" max="4627" width="9.28515625" style="1072" customWidth="1"/>
    <col min="4628" max="4628" width="9.28515625" style="1072" bestFit="1" customWidth="1"/>
    <col min="4629" max="4864" width="9.140625" style="1072"/>
    <col min="4865" max="4865" width="3.140625" style="1072" customWidth="1"/>
    <col min="4866" max="4866" width="47.7109375" style="1072" customWidth="1"/>
    <col min="4867" max="4867" width="12.28515625" style="1072" customWidth="1"/>
    <col min="4868" max="4868" width="13.140625" style="1072" customWidth="1"/>
    <col min="4869" max="4869" width="11.7109375" style="1072" customWidth="1"/>
    <col min="4870" max="4870" width="12.85546875" style="1072" customWidth="1"/>
    <col min="4871" max="4871" width="11.5703125" style="1072" customWidth="1"/>
    <col min="4872" max="4872" width="10.5703125" style="1072" customWidth="1"/>
    <col min="4873" max="4873" width="11.28515625" style="1072" customWidth="1"/>
    <col min="4874" max="4875" width="9.85546875" style="1072" customWidth="1"/>
    <col min="4876" max="4876" width="9.85546875" style="1072" bestFit="1" customWidth="1"/>
    <col min="4877" max="4877" width="9.140625" style="1072"/>
    <col min="4878" max="4878" width="9.42578125" style="1072" bestFit="1" customWidth="1"/>
    <col min="4879" max="4880" width="9.28515625" style="1072" bestFit="1" customWidth="1"/>
    <col min="4881" max="4883" width="9.28515625" style="1072" customWidth="1"/>
    <col min="4884" max="4884" width="9.28515625" style="1072" bestFit="1" customWidth="1"/>
    <col min="4885" max="5120" width="9.140625" style="1072"/>
    <col min="5121" max="5121" width="3.140625" style="1072" customWidth="1"/>
    <col min="5122" max="5122" width="47.7109375" style="1072" customWidth="1"/>
    <col min="5123" max="5123" width="12.28515625" style="1072" customWidth="1"/>
    <col min="5124" max="5124" width="13.140625" style="1072" customWidth="1"/>
    <col min="5125" max="5125" width="11.7109375" style="1072" customWidth="1"/>
    <col min="5126" max="5126" width="12.85546875" style="1072" customWidth="1"/>
    <col min="5127" max="5127" width="11.5703125" style="1072" customWidth="1"/>
    <col min="5128" max="5128" width="10.5703125" style="1072" customWidth="1"/>
    <col min="5129" max="5129" width="11.28515625" style="1072" customWidth="1"/>
    <col min="5130" max="5131" width="9.85546875" style="1072" customWidth="1"/>
    <col min="5132" max="5132" width="9.85546875" style="1072" bestFit="1" customWidth="1"/>
    <col min="5133" max="5133" width="9.140625" style="1072"/>
    <col min="5134" max="5134" width="9.42578125" style="1072" bestFit="1" customWidth="1"/>
    <col min="5135" max="5136" width="9.28515625" style="1072" bestFit="1" customWidth="1"/>
    <col min="5137" max="5139" width="9.28515625" style="1072" customWidth="1"/>
    <col min="5140" max="5140" width="9.28515625" style="1072" bestFit="1" customWidth="1"/>
    <col min="5141" max="5376" width="9.140625" style="1072"/>
    <col min="5377" max="5377" width="3.140625" style="1072" customWidth="1"/>
    <col min="5378" max="5378" width="47.7109375" style="1072" customWidth="1"/>
    <col min="5379" max="5379" width="12.28515625" style="1072" customWidth="1"/>
    <col min="5380" max="5380" width="13.140625" style="1072" customWidth="1"/>
    <col min="5381" max="5381" width="11.7109375" style="1072" customWidth="1"/>
    <col min="5382" max="5382" width="12.85546875" style="1072" customWidth="1"/>
    <col min="5383" max="5383" width="11.5703125" style="1072" customWidth="1"/>
    <col min="5384" max="5384" width="10.5703125" style="1072" customWidth="1"/>
    <col min="5385" max="5385" width="11.28515625" style="1072" customWidth="1"/>
    <col min="5386" max="5387" width="9.85546875" style="1072" customWidth="1"/>
    <col min="5388" max="5388" width="9.85546875" style="1072" bestFit="1" customWidth="1"/>
    <col min="5389" max="5389" width="9.140625" style="1072"/>
    <col min="5390" max="5390" width="9.42578125" style="1072" bestFit="1" customWidth="1"/>
    <col min="5391" max="5392" width="9.28515625" style="1072" bestFit="1" customWidth="1"/>
    <col min="5393" max="5395" width="9.28515625" style="1072" customWidth="1"/>
    <col min="5396" max="5396" width="9.28515625" style="1072" bestFit="1" customWidth="1"/>
    <col min="5397" max="5632" width="9.140625" style="1072"/>
    <col min="5633" max="5633" width="3.140625" style="1072" customWidth="1"/>
    <col min="5634" max="5634" width="47.7109375" style="1072" customWidth="1"/>
    <col min="5635" max="5635" width="12.28515625" style="1072" customWidth="1"/>
    <col min="5636" max="5636" width="13.140625" style="1072" customWidth="1"/>
    <col min="5637" max="5637" width="11.7109375" style="1072" customWidth="1"/>
    <col min="5638" max="5638" width="12.85546875" style="1072" customWidth="1"/>
    <col min="5639" max="5639" width="11.5703125" style="1072" customWidth="1"/>
    <col min="5640" max="5640" width="10.5703125" style="1072" customWidth="1"/>
    <col min="5641" max="5641" width="11.28515625" style="1072" customWidth="1"/>
    <col min="5642" max="5643" width="9.85546875" style="1072" customWidth="1"/>
    <col min="5644" max="5644" width="9.85546875" style="1072" bestFit="1" customWidth="1"/>
    <col min="5645" max="5645" width="9.140625" style="1072"/>
    <col min="5646" max="5646" width="9.42578125" style="1072" bestFit="1" customWidth="1"/>
    <col min="5647" max="5648" width="9.28515625" style="1072" bestFit="1" customWidth="1"/>
    <col min="5649" max="5651" width="9.28515625" style="1072" customWidth="1"/>
    <col min="5652" max="5652" width="9.28515625" style="1072" bestFit="1" customWidth="1"/>
    <col min="5653" max="5888" width="9.140625" style="1072"/>
    <col min="5889" max="5889" width="3.140625" style="1072" customWidth="1"/>
    <col min="5890" max="5890" width="47.7109375" style="1072" customWidth="1"/>
    <col min="5891" max="5891" width="12.28515625" style="1072" customWidth="1"/>
    <col min="5892" max="5892" width="13.140625" style="1072" customWidth="1"/>
    <col min="5893" max="5893" width="11.7109375" style="1072" customWidth="1"/>
    <col min="5894" max="5894" width="12.85546875" style="1072" customWidth="1"/>
    <col min="5895" max="5895" width="11.5703125" style="1072" customWidth="1"/>
    <col min="5896" max="5896" width="10.5703125" style="1072" customWidth="1"/>
    <col min="5897" max="5897" width="11.28515625" style="1072" customWidth="1"/>
    <col min="5898" max="5899" width="9.85546875" style="1072" customWidth="1"/>
    <col min="5900" max="5900" width="9.85546875" style="1072" bestFit="1" customWidth="1"/>
    <col min="5901" max="5901" width="9.140625" style="1072"/>
    <col min="5902" max="5902" width="9.42578125" style="1072" bestFit="1" customWidth="1"/>
    <col min="5903" max="5904" width="9.28515625" style="1072" bestFit="1" customWidth="1"/>
    <col min="5905" max="5907" width="9.28515625" style="1072" customWidth="1"/>
    <col min="5908" max="5908" width="9.28515625" style="1072" bestFit="1" customWidth="1"/>
    <col min="5909" max="6144" width="9.140625" style="1072"/>
    <col min="6145" max="6145" width="3.140625" style="1072" customWidth="1"/>
    <col min="6146" max="6146" width="47.7109375" style="1072" customWidth="1"/>
    <col min="6147" max="6147" width="12.28515625" style="1072" customWidth="1"/>
    <col min="6148" max="6148" width="13.140625" style="1072" customWidth="1"/>
    <col min="6149" max="6149" width="11.7109375" style="1072" customWidth="1"/>
    <col min="6150" max="6150" width="12.85546875" style="1072" customWidth="1"/>
    <col min="6151" max="6151" width="11.5703125" style="1072" customWidth="1"/>
    <col min="6152" max="6152" width="10.5703125" style="1072" customWidth="1"/>
    <col min="6153" max="6153" width="11.28515625" style="1072" customWidth="1"/>
    <col min="6154" max="6155" width="9.85546875" style="1072" customWidth="1"/>
    <col min="6156" max="6156" width="9.85546875" style="1072" bestFit="1" customWidth="1"/>
    <col min="6157" max="6157" width="9.140625" style="1072"/>
    <col min="6158" max="6158" width="9.42578125" style="1072" bestFit="1" customWidth="1"/>
    <col min="6159" max="6160" width="9.28515625" style="1072" bestFit="1" customWidth="1"/>
    <col min="6161" max="6163" width="9.28515625" style="1072" customWidth="1"/>
    <col min="6164" max="6164" width="9.28515625" style="1072" bestFit="1" customWidth="1"/>
    <col min="6165" max="6400" width="9.140625" style="1072"/>
    <col min="6401" max="6401" width="3.140625" style="1072" customWidth="1"/>
    <col min="6402" max="6402" width="47.7109375" style="1072" customWidth="1"/>
    <col min="6403" max="6403" width="12.28515625" style="1072" customWidth="1"/>
    <col min="6404" max="6404" width="13.140625" style="1072" customWidth="1"/>
    <col min="6405" max="6405" width="11.7109375" style="1072" customWidth="1"/>
    <col min="6406" max="6406" width="12.85546875" style="1072" customWidth="1"/>
    <col min="6407" max="6407" width="11.5703125" style="1072" customWidth="1"/>
    <col min="6408" max="6408" width="10.5703125" style="1072" customWidth="1"/>
    <col min="6409" max="6409" width="11.28515625" style="1072" customWidth="1"/>
    <col min="6410" max="6411" width="9.85546875" style="1072" customWidth="1"/>
    <col min="6412" max="6412" width="9.85546875" style="1072" bestFit="1" customWidth="1"/>
    <col min="6413" max="6413" width="9.140625" style="1072"/>
    <col min="6414" max="6414" width="9.42578125" style="1072" bestFit="1" customWidth="1"/>
    <col min="6415" max="6416" width="9.28515625" style="1072" bestFit="1" customWidth="1"/>
    <col min="6417" max="6419" width="9.28515625" style="1072" customWidth="1"/>
    <col min="6420" max="6420" width="9.28515625" style="1072" bestFit="1" customWidth="1"/>
    <col min="6421" max="6656" width="9.140625" style="1072"/>
    <col min="6657" max="6657" width="3.140625" style="1072" customWidth="1"/>
    <col min="6658" max="6658" width="47.7109375" style="1072" customWidth="1"/>
    <col min="6659" max="6659" width="12.28515625" style="1072" customWidth="1"/>
    <col min="6660" max="6660" width="13.140625" style="1072" customWidth="1"/>
    <col min="6661" max="6661" width="11.7109375" style="1072" customWidth="1"/>
    <col min="6662" max="6662" width="12.85546875" style="1072" customWidth="1"/>
    <col min="6663" max="6663" width="11.5703125" style="1072" customWidth="1"/>
    <col min="6664" max="6664" width="10.5703125" style="1072" customWidth="1"/>
    <col min="6665" max="6665" width="11.28515625" style="1072" customWidth="1"/>
    <col min="6666" max="6667" width="9.85546875" style="1072" customWidth="1"/>
    <col min="6668" max="6668" width="9.85546875" style="1072" bestFit="1" customWidth="1"/>
    <col min="6669" max="6669" width="9.140625" style="1072"/>
    <col min="6670" max="6670" width="9.42578125" style="1072" bestFit="1" customWidth="1"/>
    <col min="6671" max="6672" width="9.28515625" style="1072" bestFit="1" customWidth="1"/>
    <col min="6673" max="6675" width="9.28515625" style="1072" customWidth="1"/>
    <col min="6676" max="6676" width="9.28515625" style="1072" bestFit="1" customWidth="1"/>
    <col min="6677" max="6912" width="9.140625" style="1072"/>
    <col min="6913" max="6913" width="3.140625" style="1072" customWidth="1"/>
    <col min="6914" max="6914" width="47.7109375" style="1072" customWidth="1"/>
    <col min="6915" max="6915" width="12.28515625" style="1072" customWidth="1"/>
    <col min="6916" max="6916" width="13.140625" style="1072" customWidth="1"/>
    <col min="6917" max="6917" width="11.7109375" style="1072" customWidth="1"/>
    <col min="6918" max="6918" width="12.85546875" style="1072" customWidth="1"/>
    <col min="6919" max="6919" width="11.5703125" style="1072" customWidth="1"/>
    <col min="6920" max="6920" width="10.5703125" style="1072" customWidth="1"/>
    <col min="6921" max="6921" width="11.28515625" style="1072" customWidth="1"/>
    <col min="6922" max="6923" width="9.85546875" style="1072" customWidth="1"/>
    <col min="6924" max="6924" width="9.85546875" style="1072" bestFit="1" customWidth="1"/>
    <col min="6925" max="6925" width="9.140625" style="1072"/>
    <col min="6926" max="6926" width="9.42578125" style="1072" bestFit="1" customWidth="1"/>
    <col min="6927" max="6928" width="9.28515625" style="1072" bestFit="1" customWidth="1"/>
    <col min="6929" max="6931" width="9.28515625" style="1072" customWidth="1"/>
    <col min="6932" max="6932" width="9.28515625" style="1072" bestFit="1" customWidth="1"/>
    <col min="6933" max="7168" width="9.140625" style="1072"/>
    <col min="7169" max="7169" width="3.140625" style="1072" customWidth="1"/>
    <col min="7170" max="7170" width="47.7109375" style="1072" customWidth="1"/>
    <col min="7171" max="7171" width="12.28515625" style="1072" customWidth="1"/>
    <col min="7172" max="7172" width="13.140625" style="1072" customWidth="1"/>
    <col min="7173" max="7173" width="11.7109375" style="1072" customWidth="1"/>
    <col min="7174" max="7174" width="12.85546875" style="1072" customWidth="1"/>
    <col min="7175" max="7175" width="11.5703125" style="1072" customWidth="1"/>
    <col min="7176" max="7176" width="10.5703125" style="1072" customWidth="1"/>
    <col min="7177" max="7177" width="11.28515625" style="1072" customWidth="1"/>
    <col min="7178" max="7179" width="9.85546875" style="1072" customWidth="1"/>
    <col min="7180" max="7180" width="9.85546875" style="1072" bestFit="1" customWidth="1"/>
    <col min="7181" max="7181" width="9.140625" style="1072"/>
    <col min="7182" max="7182" width="9.42578125" style="1072" bestFit="1" customWidth="1"/>
    <col min="7183" max="7184" width="9.28515625" style="1072" bestFit="1" customWidth="1"/>
    <col min="7185" max="7187" width="9.28515625" style="1072" customWidth="1"/>
    <col min="7188" max="7188" width="9.28515625" style="1072" bestFit="1" customWidth="1"/>
    <col min="7189" max="7424" width="9.140625" style="1072"/>
    <col min="7425" max="7425" width="3.140625" style="1072" customWidth="1"/>
    <col min="7426" max="7426" width="47.7109375" style="1072" customWidth="1"/>
    <col min="7427" max="7427" width="12.28515625" style="1072" customWidth="1"/>
    <col min="7428" max="7428" width="13.140625" style="1072" customWidth="1"/>
    <col min="7429" max="7429" width="11.7109375" style="1072" customWidth="1"/>
    <col min="7430" max="7430" width="12.85546875" style="1072" customWidth="1"/>
    <col min="7431" max="7431" width="11.5703125" style="1072" customWidth="1"/>
    <col min="7432" max="7432" width="10.5703125" style="1072" customWidth="1"/>
    <col min="7433" max="7433" width="11.28515625" style="1072" customWidth="1"/>
    <col min="7434" max="7435" width="9.85546875" style="1072" customWidth="1"/>
    <col min="7436" max="7436" width="9.85546875" style="1072" bestFit="1" customWidth="1"/>
    <col min="7437" max="7437" width="9.140625" style="1072"/>
    <col min="7438" max="7438" width="9.42578125" style="1072" bestFit="1" customWidth="1"/>
    <col min="7439" max="7440" width="9.28515625" style="1072" bestFit="1" customWidth="1"/>
    <col min="7441" max="7443" width="9.28515625" style="1072" customWidth="1"/>
    <col min="7444" max="7444" width="9.28515625" style="1072" bestFit="1" customWidth="1"/>
    <col min="7445" max="7680" width="9.140625" style="1072"/>
    <col min="7681" max="7681" width="3.140625" style="1072" customWidth="1"/>
    <col min="7682" max="7682" width="47.7109375" style="1072" customWidth="1"/>
    <col min="7683" max="7683" width="12.28515625" style="1072" customWidth="1"/>
    <col min="7684" max="7684" width="13.140625" style="1072" customWidth="1"/>
    <col min="7685" max="7685" width="11.7109375" style="1072" customWidth="1"/>
    <col min="7686" max="7686" width="12.85546875" style="1072" customWidth="1"/>
    <col min="7687" max="7687" width="11.5703125" style="1072" customWidth="1"/>
    <col min="7688" max="7688" width="10.5703125" style="1072" customWidth="1"/>
    <col min="7689" max="7689" width="11.28515625" style="1072" customWidth="1"/>
    <col min="7690" max="7691" width="9.85546875" style="1072" customWidth="1"/>
    <col min="7692" max="7692" width="9.85546875" style="1072" bestFit="1" customWidth="1"/>
    <col min="7693" max="7693" width="9.140625" style="1072"/>
    <col min="7694" max="7694" width="9.42578125" style="1072" bestFit="1" customWidth="1"/>
    <col min="7695" max="7696" width="9.28515625" style="1072" bestFit="1" customWidth="1"/>
    <col min="7697" max="7699" width="9.28515625" style="1072" customWidth="1"/>
    <col min="7700" max="7700" width="9.28515625" style="1072" bestFit="1" customWidth="1"/>
    <col min="7701" max="7936" width="9.140625" style="1072"/>
    <col min="7937" max="7937" width="3.140625" style="1072" customWidth="1"/>
    <col min="7938" max="7938" width="47.7109375" style="1072" customWidth="1"/>
    <col min="7939" max="7939" width="12.28515625" style="1072" customWidth="1"/>
    <col min="7940" max="7940" width="13.140625" style="1072" customWidth="1"/>
    <col min="7941" max="7941" width="11.7109375" style="1072" customWidth="1"/>
    <col min="7942" max="7942" width="12.85546875" style="1072" customWidth="1"/>
    <col min="7943" max="7943" width="11.5703125" style="1072" customWidth="1"/>
    <col min="7944" max="7944" width="10.5703125" style="1072" customWidth="1"/>
    <col min="7945" max="7945" width="11.28515625" style="1072" customWidth="1"/>
    <col min="7946" max="7947" width="9.85546875" style="1072" customWidth="1"/>
    <col min="7948" max="7948" width="9.85546875" style="1072" bestFit="1" customWidth="1"/>
    <col min="7949" max="7949" width="9.140625" style="1072"/>
    <col min="7950" max="7950" width="9.42578125" style="1072" bestFit="1" customWidth="1"/>
    <col min="7951" max="7952" width="9.28515625" style="1072" bestFit="1" customWidth="1"/>
    <col min="7953" max="7955" width="9.28515625" style="1072" customWidth="1"/>
    <col min="7956" max="7956" width="9.28515625" style="1072" bestFit="1" customWidth="1"/>
    <col min="7957" max="8192" width="9.140625" style="1072"/>
    <col min="8193" max="8193" width="3.140625" style="1072" customWidth="1"/>
    <col min="8194" max="8194" width="47.7109375" style="1072" customWidth="1"/>
    <col min="8195" max="8195" width="12.28515625" style="1072" customWidth="1"/>
    <col min="8196" max="8196" width="13.140625" style="1072" customWidth="1"/>
    <col min="8197" max="8197" width="11.7109375" style="1072" customWidth="1"/>
    <col min="8198" max="8198" width="12.85546875" style="1072" customWidth="1"/>
    <col min="8199" max="8199" width="11.5703125" style="1072" customWidth="1"/>
    <col min="8200" max="8200" width="10.5703125" style="1072" customWidth="1"/>
    <col min="8201" max="8201" width="11.28515625" style="1072" customWidth="1"/>
    <col min="8202" max="8203" width="9.85546875" style="1072" customWidth="1"/>
    <col min="8204" max="8204" width="9.85546875" style="1072" bestFit="1" customWidth="1"/>
    <col min="8205" max="8205" width="9.140625" style="1072"/>
    <col min="8206" max="8206" width="9.42578125" style="1072" bestFit="1" customWidth="1"/>
    <col min="8207" max="8208" width="9.28515625" style="1072" bestFit="1" customWidth="1"/>
    <col min="8209" max="8211" width="9.28515625" style="1072" customWidth="1"/>
    <col min="8212" max="8212" width="9.28515625" style="1072" bestFit="1" customWidth="1"/>
    <col min="8213" max="8448" width="9.140625" style="1072"/>
    <col min="8449" max="8449" width="3.140625" style="1072" customWidth="1"/>
    <col min="8450" max="8450" width="47.7109375" style="1072" customWidth="1"/>
    <col min="8451" max="8451" width="12.28515625" style="1072" customWidth="1"/>
    <col min="8452" max="8452" width="13.140625" style="1072" customWidth="1"/>
    <col min="8453" max="8453" width="11.7109375" style="1072" customWidth="1"/>
    <col min="8454" max="8454" width="12.85546875" style="1072" customWidth="1"/>
    <col min="8455" max="8455" width="11.5703125" style="1072" customWidth="1"/>
    <col min="8456" max="8456" width="10.5703125" style="1072" customWidth="1"/>
    <col min="8457" max="8457" width="11.28515625" style="1072" customWidth="1"/>
    <col min="8458" max="8459" width="9.85546875" style="1072" customWidth="1"/>
    <col min="8460" max="8460" width="9.85546875" style="1072" bestFit="1" customWidth="1"/>
    <col min="8461" max="8461" width="9.140625" style="1072"/>
    <col min="8462" max="8462" width="9.42578125" style="1072" bestFit="1" customWidth="1"/>
    <col min="8463" max="8464" width="9.28515625" style="1072" bestFit="1" customWidth="1"/>
    <col min="8465" max="8467" width="9.28515625" style="1072" customWidth="1"/>
    <col min="8468" max="8468" width="9.28515625" style="1072" bestFit="1" customWidth="1"/>
    <col min="8469" max="8704" width="9.140625" style="1072"/>
    <col min="8705" max="8705" width="3.140625" style="1072" customWidth="1"/>
    <col min="8706" max="8706" width="47.7109375" style="1072" customWidth="1"/>
    <col min="8707" max="8707" width="12.28515625" style="1072" customWidth="1"/>
    <col min="8708" max="8708" width="13.140625" style="1072" customWidth="1"/>
    <col min="8709" max="8709" width="11.7109375" style="1072" customWidth="1"/>
    <col min="8710" max="8710" width="12.85546875" style="1072" customWidth="1"/>
    <col min="8711" max="8711" width="11.5703125" style="1072" customWidth="1"/>
    <col min="8712" max="8712" width="10.5703125" style="1072" customWidth="1"/>
    <col min="8713" max="8713" width="11.28515625" style="1072" customWidth="1"/>
    <col min="8714" max="8715" width="9.85546875" style="1072" customWidth="1"/>
    <col min="8716" max="8716" width="9.85546875" style="1072" bestFit="1" customWidth="1"/>
    <col min="8717" max="8717" width="9.140625" style="1072"/>
    <col min="8718" max="8718" width="9.42578125" style="1072" bestFit="1" customWidth="1"/>
    <col min="8719" max="8720" width="9.28515625" style="1072" bestFit="1" customWidth="1"/>
    <col min="8721" max="8723" width="9.28515625" style="1072" customWidth="1"/>
    <col min="8724" max="8724" width="9.28515625" style="1072" bestFit="1" customWidth="1"/>
    <col min="8725" max="8960" width="9.140625" style="1072"/>
    <col min="8961" max="8961" width="3.140625" style="1072" customWidth="1"/>
    <col min="8962" max="8962" width="47.7109375" style="1072" customWidth="1"/>
    <col min="8963" max="8963" width="12.28515625" style="1072" customWidth="1"/>
    <col min="8964" max="8964" width="13.140625" style="1072" customWidth="1"/>
    <col min="8965" max="8965" width="11.7109375" style="1072" customWidth="1"/>
    <col min="8966" max="8966" width="12.85546875" style="1072" customWidth="1"/>
    <col min="8967" max="8967" width="11.5703125" style="1072" customWidth="1"/>
    <col min="8968" max="8968" width="10.5703125" style="1072" customWidth="1"/>
    <col min="8969" max="8969" width="11.28515625" style="1072" customWidth="1"/>
    <col min="8970" max="8971" width="9.85546875" style="1072" customWidth="1"/>
    <col min="8972" max="8972" width="9.85546875" style="1072" bestFit="1" customWidth="1"/>
    <col min="8973" max="8973" width="9.140625" style="1072"/>
    <col min="8974" max="8974" width="9.42578125" style="1072" bestFit="1" customWidth="1"/>
    <col min="8975" max="8976" width="9.28515625" style="1072" bestFit="1" customWidth="1"/>
    <col min="8977" max="8979" width="9.28515625" style="1072" customWidth="1"/>
    <col min="8980" max="8980" width="9.28515625" style="1072" bestFit="1" customWidth="1"/>
    <col min="8981" max="9216" width="9.140625" style="1072"/>
    <col min="9217" max="9217" width="3.140625" style="1072" customWidth="1"/>
    <col min="9218" max="9218" width="47.7109375" style="1072" customWidth="1"/>
    <col min="9219" max="9219" width="12.28515625" style="1072" customWidth="1"/>
    <col min="9220" max="9220" width="13.140625" style="1072" customWidth="1"/>
    <col min="9221" max="9221" width="11.7109375" style="1072" customWidth="1"/>
    <col min="9222" max="9222" width="12.85546875" style="1072" customWidth="1"/>
    <col min="9223" max="9223" width="11.5703125" style="1072" customWidth="1"/>
    <col min="9224" max="9224" width="10.5703125" style="1072" customWidth="1"/>
    <col min="9225" max="9225" width="11.28515625" style="1072" customWidth="1"/>
    <col min="9226" max="9227" width="9.85546875" style="1072" customWidth="1"/>
    <col min="9228" max="9228" width="9.85546875" style="1072" bestFit="1" customWidth="1"/>
    <col min="9229" max="9229" width="9.140625" style="1072"/>
    <col min="9230" max="9230" width="9.42578125" style="1072" bestFit="1" customWidth="1"/>
    <col min="9231" max="9232" width="9.28515625" style="1072" bestFit="1" customWidth="1"/>
    <col min="9233" max="9235" width="9.28515625" style="1072" customWidth="1"/>
    <col min="9236" max="9236" width="9.28515625" style="1072" bestFit="1" customWidth="1"/>
    <col min="9237" max="9472" width="9.140625" style="1072"/>
    <col min="9473" max="9473" width="3.140625" style="1072" customWidth="1"/>
    <col min="9474" max="9474" width="47.7109375" style="1072" customWidth="1"/>
    <col min="9475" max="9475" width="12.28515625" style="1072" customWidth="1"/>
    <col min="9476" max="9476" width="13.140625" style="1072" customWidth="1"/>
    <col min="9477" max="9477" width="11.7109375" style="1072" customWidth="1"/>
    <col min="9478" max="9478" width="12.85546875" style="1072" customWidth="1"/>
    <col min="9479" max="9479" width="11.5703125" style="1072" customWidth="1"/>
    <col min="9480" max="9480" width="10.5703125" style="1072" customWidth="1"/>
    <col min="9481" max="9481" width="11.28515625" style="1072" customWidth="1"/>
    <col min="9482" max="9483" width="9.85546875" style="1072" customWidth="1"/>
    <col min="9484" max="9484" width="9.85546875" style="1072" bestFit="1" customWidth="1"/>
    <col min="9485" max="9485" width="9.140625" style="1072"/>
    <col min="9486" max="9486" width="9.42578125" style="1072" bestFit="1" customWidth="1"/>
    <col min="9487" max="9488" width="9.28515625" style="1072" bestFit="1" customWidth="1"/>
    <col min="9489" max="9491" width="9.28515625" style="1072" customWidth="1"/>
    <col min="9492" max="9492" width="9.28515625" style="1072" bestFit="1" customWidth="1"/>
    <col min="9493" max="9728" width="9.140625" style="1072"/>
    <col min="9729" max="9729" width="3.140625" style="1072" customWidth="1"/>
    <col min="9730" max="9730" width="47.7109375" style="1072" customWidth="1"/>
    <col min="9731" max="9731" width="12.28515625" style="1072" customWidth="1"/>
    <col min="9732" max="9732" width="13.140625" style="1072" customWidth="1"/>
    <col min="9733" max="9733" width="11.7109375" style="1072" customWidth="1"/>
    <col min="9734" max="9734" width="12.85546875" style="1072" customWidth="1"/>
    <col min="9735" max="9735" width="11.5703125" style="1072" customWidth="1"/>
    <col min="9736" max="9736" width="10.5703125" style="1072" customWidth="1"/>
    <col min="9737" max="9737" width="11.28515625" style="1072" customWidth="1"/>
    <col min="9738" max="9739" width="9.85546875" style="1072" customWidth="1"/>
    <col min="9740" max="9740" width="9.85546875" style="1072" bestFit="1" customWidth="1"/>
    <col min="9741" max="9741" width="9.140625" style="1072"/>
    <col min="9742" max="9742" width="9.42578125" style="1072" bestFit="1" customWidth="1"/>
    <col min="9743" max="9744" width="9.28515625" style="1072" bestFit="1" customWidth="1"/>
    <col min="9745" max="9747" width="9.28515625" style="1072" customWidth="1"/>
    <col min="9748" max="9748" width="9.28515625" style="1072" bestFit="1" customWidth="1"/>
    <col min="9749" max="9984" width="9.140625" style="1072"/>
    <col min="9985" max="9985" width="3.140625" style="1072" customWidth="1"/>
    <col min="9986" max="9986" width="47.7109375" style="1072" customWidth="1"/>
    <col min="9987" max="9987" width="12.28515625" style="1072" customWidth="1"/>
    <col min="9988" max="9988" width="13.140625" style="1072" customWidth="1"/>
    <col min="9989" max="9989" width="11.7109375" style="1072" customWidth="1"/>
    <col min="9990" max="9990" width="12.85546875" style="1072" customWidth="1"/>
    <col min="9991" max="9991" width="11.5703125" style="1072" customWidth="1"/>
    <col min="9992" max="9992" width="10.5703125" style="1072" customWidth="1"/>
    <col min="9993" max="9993" width="11.28515625" style="1072" customWidth="1"/>
    <col min="9994" max="9995" width="9.85546875" style="1072" customWidth="1"/>
    <col min="9996" max="9996" width="9.85546875" style="1072" bestFit="1" customWidth="1"/>
    <col min="9997" max="9997" width="9.140625" style="1072"/>
    <col min="9998" max="9998" width="9.42578125" style="1072" bestFit="1" customWidth="1"/>
    <col min="9999" max="10000" width="9.28515625" style="1072" bestFit="1" customWidth="1"/>
    <col min="10001" max="10003" width="9.28515625" style="1072" customWidth="1"/>
    <col min="10004" max="10004" width="9.28515625" style="1072" bestFit="1" customWidth="1"/>
    <col min="10005" max="10240" width="9.140625" style="1072"/>
    <col min="10241" max="10241" width="3.140625" style="1072" customWidth="1"/>
    <col min="10242" max="10242" width="47.7109375" style="1072" customWidth="1"/>
    <col min="10243" max="10243" width="12.28515625" style="1072" customWidth="1"/>
    <col min="10244" max="10244" width="13.140625" style="1072" customWidth="1"/>
    <col min="10245" max="10245" width="11.7109375" style="1072" customWidth="1"/>
    <col min="10246" max="10246" width="12.85546875" style="1072" customWidth="1"/>
    <col min="10247" max="10247" width="11.5703125" style="1072" customWidth="1"/>
    <col min="10248" max="10248" width="10.5703125" style="1072" customWidth="1"/>
    <col min="10249" max="10249" width="11.28515625" style="1072" customWidth="1"/>
    <col min="10250" max="10251" width="9.85546875" style="1072" customWidth="1"/>
    <col min="10252" max="10252" width="9.85546875" style="1072" bestFit="1" customWidth="1"/>
    <col min="10253" max="10253" width="9.140625" style="1072"/>
    <col min="10254" max="10254" width="9.42578125" style="1072" bestFit="1" customWidth="1"/>
    <col min="10255" max="10256" width="9.28515625" style="1072" bestFit="1" customWidth="1"/>
    <col min="10257" max="10259" width="9.28515625" style="1072" customWidth="1"/>
    <col min="10260" max="10260" width="9.28515625" style="1072" bestFit="1" customWidth="1"/>
    <col min="10261" max="10496" width="9.140625" style="1072"/>
    <col min="10497" max="10497" width="3.140625" style="1072" customWidth="1"/>
    <col min="10498" max="10498" width="47.7109375" style="1072" customWidth="1"/>
    <col min="10499" max="10499" width="12.28515625" style="1072" customWidth="1"/>
    <col min="10500" max="10500" width="13.140625" style="1072" customWidth="1"/>
    <col min="10501" max="10501" width="11.7109375" style="1072" customWidth="1"/>
    <col min="10502" max="10502" width="12.85546875" style="1072" customWidth="1"/>
    <col min="10503" max="10503" width="11.5703125" style="1072" customWidth="1"/>
    <col min="10504" max="10504" width="10.5703125" style="1072" customWidth="1"/>
    <col min="10505" max="10505" width="11.28515625" style="1072" customWidth="1"/>
    <col min="10506" max="10507" width="9.85546875" style="1072" customWidth="1"/>
    <col min="10508" max="10508" width="9.85546875" style="1072" bestFit="1" customWidth="1"/>
    <col min="10509" max="10509" width="9.140625" style="1072"/>
    <col min="10510" max="10510" width="9.42578125" style="1072" bestFit="1" customWidth="1"/>
    <col min="10511" max="10512" width="9.28515625" style="1072" bestFit="1" customWidth="1"/>
    <col min="10513" max="10515" width="9.28515625" style="1072" customWidth="1"/>
    <col min="10516" max="10516" width="9.28515625" style="1072" bestFit="1" customWidth="1"/>
    <col min="10517" max="10752" width="9.140625" style="1072"/>
    <col min="10753" max="10753" width="3.140625" style="1072" customWidth="1"/>
    <col min="10754" max="10754" width="47.7109375" style="1072" customWidth="1"/>
    <col min="10755" max="10755" width="12.28515625" style="1072" customWidth="1"/>
    <col min="10756" max="10756" width="13.140625" style="1072" customWidth="1"/>
    <col min="10757" max="10757" width="11.7109375" style="1072" customWidth="1"/>
    <col min="10758" max="10758" width="12.85546875" style="1072" customWidth="1"/>
    <col min="10759" max="10759" width="11.5703125" style="1072" customWidth="1"/>
    <col min="10760" max="10760" width="10.5703125" style="1072" customWidth="1"/>
    <col min="10761" max="10761" width="11.28515625" style="1072" customWidth="1"/>
    <col min="10762" max="10763" width="9.85546875" style="1072" customWidth="1"/>
    <col min="10764" max="10764" width="9.85546875" style="1072" bestFit="1" customWidth="1"/>
    <col min="10765" max="10765" width="9.140625" style="1072"/>
    <col min="10766" max="10766" width="9.42578125" style="1072" bestFit="1" customWidth="1"/>
    <col min="10767" max="10768" width="9.28515625" style="1072" bestFit="1" customWidth="1"/>
    <col min="10769" max="10771" width="9.28515625" style="1072" customWidth="1"/>
    <col min="10772" max="10772" width="9.28515625" style="1072" bestFit="1" customWidth="1"/>
    <col min="10773" max="11008" width="9.140625" style="1072"/>
    <col min="11009" max="11009" width="3.140625" style="1072" customWidth="1"/>
    <col min="11010" max="11010" width="47.7109375" style="1072" customWidth="1"/>
    <col min="11011" max="11011" width="12.28515625" style="1072" customWidth="1"/>
    <col min="11012" max="11012" width="13.140625" style="1072" customWidth="1"/>
    <col min="11013" max="11013" width="11.7109375" style="1072" customWidth="1"/>
    <col min="11014" max="11014" width="12.85546875" style="1072" customWidth="1"/>
    <col min="11015" max="11015" width="11.5703125" style="1072" customWidth="1"/>
    <col min="11016" max="11016" width="10.5703125" style="1072" customWidth="1"/>
    <col min="11017" max="11017" width="11.28515625" style="1072" customWidth="1"/>
    <col min="11018" max="11019" width="9.85546875" style="1072" customWidth="1"/>
    <col min="11020" max="11020" width="9.85546875" style="1072" bestFit="1" customWidth="1"/>
    <col min="11021" max="11021" width="9.140625" style="1072"/>
    <col min="11022" max="11022" width="9.42578125" style="1072" bestFit="1" customWidth="1"/>
    <col min="11023" max="11024" width="9.28515625" style="1072" bestFit="1" customWidth="1"/>
    <col min="11025" max="11027" width="9.28515625" style="1072" customWidth="1"/>
    <col min="11028" max="11028" width="9.28515625" style="1072" bestFit="1" customWidth="1"/>
    <col min="11029" max="11264" width="9.140625" style="1072"/>
    <col min="11265" max="11265" width="3.140625" style="1072" customWidth="1"/>
    <col min="11266" max="11266" width="47.7109375" style="1072" customWidth="1"/>
    <col min="11267" max="11267" width="12.28515625" style="1072" customWidth="1"/>
    <col min="11268" max="11268" width="13.140625" style="1072" customWidth="1"/>
    <col min="11269" max="11269" width="11.7109375" style="1072" customWidth="1"/>
    <col min="11270" max="11270" width="12.85546875" style="1072" customWidth="1"/>
    <col min="11271" max="11271" width="11.5703125" style="1072" customWidth="1"/>
    <col min="11272" max="11272" width="10.5703125" style="1072" customWidth="1"/>
    <col min="11273" max="11273" width="11.28515625" style="1072" customWidth="1"/>
    <col min="11274" max="11275" width="9.85546875" style="1072" customWidth="1"/>
    <col min="11276" max="11276" width="9.85546875" style="1072" bestFit="1" customWidth="1"/>
    <col min="11277" max="11277" width="9.140625" style="1072"/>
    <col min="11278" max="11278" width="9.42578125" style="1072" bestFit="1" customWidth="1"/>
    <col min="11279" max="11280" width="9.28515625" style="1072" bestFit="1" customWidth="1"/>
    <col min="11281" max="11283" width="9.28515625" style="1072" customWidth="1"/>
    <col min="11284" max="11284" width="9.28515625" style="1072" bestFit="1" customWidth="1"/>
    <col min="11285" max="11520" width="9.140625" style="1072"/>
    <col min="11521" max="11521" width="3.140625" style="1072" customWidth="1"/>
    <col min="11522" max="11522" width="47.7109375" style="1072" customWidth="1"/>
    <col min="11523" max="11523" width="12.28515625" style="1072" customWidth="1"/>
    <col min="11524" max="11524" width="13.140625" style="1072" customWidth="1"/>
    <col min="11525" max="11525" width="11.7109375" style="1072" customWidth="1"/>
    <col min="11526" max="11526" width="12.85546875" style="1072" customWidth="1"/>
    <col min="11527" max="11527" width="11.5703125" style="1072" customWidth="1"/>
    <col min="11528" max="11528" width="10.5703125" style="1072" customWidth="1"/>
    <col min="11529" max="11529" width="11.28515625" style="1072" customWidth="1"/>
    <col min="11530" max="11531" width="9.85546875" style="1072" customWidth="1"/>
    <col min="11532" max="11532" width="9.85546875" style="1072" bestFit="1" customWidth="1"/>
    <col min="11533" max="11533" width="9.140625" style="1072"/>
    <col min="11534" max="11534" width="9.42578125" style="1072" bestFit="1" customWidth="1"/>
    <col min="11535" max="11536" width="9.28515625" style="1072" bestFit="1" customWidth="1"/>
    <col min="11537" max="11539" width="9.28515625" style="1072" customWidth="1"/>
    <col min="11540" max="11540" width="9.28515625" style="1072" bestFit="1" customWidth="1"/>
    <col min="11541" max="11776" width="9.140625" style="1072"/>
    <col min="11777" max="11777" width="3.140625" style="1072" customWidth="1"/>
    <col min="11778" max="11778" width="47.7109375" style="1072" customWidth="1"/>
    <col min="11779" max="11779" width="12.28515625" style="1072" customWidth="1"/>
    <col min="11780" max="11780" width="13.140625" style="1072" customWidth="1"/>
    <col min="11781" max="11781" width="11.7109375" style="1072" customWidth="1"/>
    <col min="11782" max="11782" width="12.85546875" style="1072" customWidth="1"/>
    <col min="11783" max="11783" width="11.5703125" style="1072" customWidth="1"/>
    <col min="11784" max="11784" width="10.5703125" style="1072" customWidth="1"/>
    <col min="11785" max="11785" width="11.28515625" style="1072" customWidth="1"/>
    <col min="11786" max="11787" width="9.85546875" style="1072" customWidth="1"/>
    <col min="11788" max="11788" width="9.85546875" style="1072" bestFit="1" customWidth="1"/>
    <col min="11789" max="11789" width="9.140625" style="1072"/>
    <col min="11790" max="11790" width="9.42578125" style="1072" bestFit="1" customWidth="1"/>
    <col min="11791" max="11792" width="9.28515625" style="1072" bestFit="1" customWidth="1"/>
    <col min="11793" max="11795" width="9.28515625" style="1072" customWidth="1"/>
    <col min="11796" max="11796" width="9.28515625" style="1072" bestFit="1" customWidth="1"/>
    <col min="11797" max="12032" width="9.140625" style="1072"/>
    <col min="12033" max="12033" width="3.140625" style="1072" customWidth="1"/>
    <col min="12034" max="12034" width="47.7109375" style="1072" customWidth="1"/>
    <col min="12035" max="12035" width="12.28515625" style="1072" customWidth="1"/>
    <col min="12036" max="12036" width="13.140625" style="1072" customWidth="1"/>
    <col min="12037" max="12037" width="11.7109375" style="1072" customWidth="1"/>
    <col min="12038" max="12038" width="12.85546875" style="1072" customWidth="1"/>
    <col min="12039" max="12039" width="11.5703125" style="1072" customWidth="1"/>
    <col min="12040" max="12040" width="10.5703125" style="1072" customWidth="1"/>
    <col min="12041" max="12041" width="11.28515625" style="1072" customWidth="1"/>
    <col min="12042" max="12043" width="9.85546875" style="1072" customWidth="1"/>
    <col min="12044" max="12044" width="9.85546875" style="1072" bestFit="1" customWidth="1"/>
    <col min="12045" max="12045" width="9.140625" style="1072"/>
    <col min="12046" max="12046" width="9.42578125" style="1072" bestFit="1" customWidth="1"/>
    <col min="12047" max="12048" width="9.28515625" style="1072" bestFit="1" customWidth="1"/>
    <col min="12049" max="12051" width="9.28515625" style="1072" customWidth="1"/>
    <col min="12052" max="12052" width="9.28515625" style="1072" bestFit="1" customWidth="1"/>
    <col min="12053" max="12288" width="9.140625" style="1072"/>
    <col min="12289" max="12289" width="3.140625" style="1072" customWidth="1"/>
    <col min="12290" max="12290" width="47.7109375" style="1072" customWidth="1"/>
    <col min="12291" max="12291" width="12.28515625" style="1072" customWidth="1"/>
    <col min="12292" max="12292" width="13.140625" style="1072" customWidth="1"/>
    <col min="12293" max="12293" width="11.7109375" style="1072" customWidth="1"/>
    <col min="12294" max="12294" width="12.85546875" style="1072" customWidth="1"/>
    <col min="12295" max="12295" width="11.5703125" style="1072" customWidth="1"/>
    <col min="12296" max="12296" width="10.5703125" style="1072" customWidth="1"/>
    <col min="12297" max="12297" width="11.28515625" style="1072" customWidth="1"/>
    <col min="12298" max="12299" width="9.85546875" style="1072" customWidth="1"/>
    <col min="12300" max="12300" width="9.85546875" style="1072" bestFit="1" customWidth="1"/>
    <col min="12301" max="12301" width="9.140625" style="1072"/>
    <col min="12302" max="12302" width="9.42578125" style="1072" bestFit="1" customWidth="1"/>
    <col min="12303" max="12304" width="9.28515625" style="1072" bestFit="1" customWidth="1"/>
    <col min="12305" max="12307" width="9.28515625" style="1072" customWidth="1"/>
    <col min="12308" max="12308" width="9.28515625" style="1072" bestFit="1" customWidth="1"/>
    <col min="12309" max="12544" width="9.140625" style="1072"/>
    <col min="12545" max="12545" width="3.140625" style="1072" customWidth="1"/>
    <col min="12546" max="12546" width="47.7109375" style="1072" customWidth="1"/>
    <col min="12547" max="12547" width="12.28515625" style="1072" customWidth="1"/>
    <col min="12548" max="12548" width="13.140625" style="1072" customWidth="1"/>
    <col min="12549" max="12549" width="11.7109375" style="1072" customWidth="1"/>
    <col min="12550" max="12550" width="12.85546875" style="1072" customWidth="1"/>
    <col min="12551" max="12551" width="11.5703125" style="1072" customWidth="1"/>
    <col min="12552" max="12552" width="10.5703125" style="1072" customWidth="1"/>
    <col min="12553" max="12553" width="11.28515625" style="1072" customWidth="1"/>
    <col min="12554" max="12555" width="9.85546875" style="1072" customWidth="1"/>
    <col min="12556" max="12556" width="9.85546875" style="1072" bestFit="1" customWidth="1"/>
    <col min="12557" max="12557" width="9.140625" style="1072"/>
    <col min="12558" max="12558" width="9.42578125" style="1072" bestFit="1" customWidth="1"/>
    <col min="12559" max="12560" width="9.28515625" style="1072" bestFit="1" customWidth="1"/>
    <col min="12561" max="12563" width="9.28515625" style="1072" customWidth="1"/>
    <col min="12564" max="12564" width="9.28515625" style="1072" bestFit="1" customWidth="1"/>
    <col min="12565" max="12800" width="9.140625" style="1072"/>
    <col min="12801" max="12801" width="3.140625" style="1072" customWidth="1"/>
    <col min="12802" max="12802" width="47.7109375" style="1072" customWidth="1"/>
    <col min="12803" max="12803" width="12.28515625" style="1072" customWidth="1"/>
    <col min="12804" max="12804" width="13.140625" style="1072" customWidth="1"/>
    <col min="12805" max="12805" width="11.7109375" style="1072" customWidth="1"/>
    <col min="12806" max="12806" width="12.85546875" style="1072" customWidth="1"/>
    <col min="12807" max="12807" width="11.5703125" style="1072" customWidth="1"/>
    <col min="12808" max="12808" width="10.5703125" style="1072" customWidth="1"/>
    <col min="12809" max="12809" width="11.28515625" style="1072" customWidth="1"/>
    <col min="12810" max="12811" width="9.85546875" style="1072" customWidth="1"/>
    <col min="12812" max="12812" width="9.85546875" style="1072" bestFit="1" customWidth="1"/>
    <col min="12813" max="12813" width="9.140625" style="1072"/>
    <col min="12814" max="12814" width="9.42578125" style="1072" bestFit="1" customWidth="1"/>
    <col min="12815" max="12816" width="9.28515625" style="1072" bestFit="1" customWidth="1"/>
    <col min="12817" max="12819" width="9.28515625" style="1072" customWidth="1"/>
    <col min="12820" max="12820" width="9.28515625" style="1072" bestFit="1" customWidth="1"/>
    <col min="12821" max="13056" width="9.140625" style="1072"/>
    <col min="13057" max="13057" width="3.140625" style="1072" customWidth="1"/>
    <col min="13058" max="13058" width="47.7109375" style="1072" customWidth="1"/>
    <col min="13059" max="13059" width="12.28515625" style="1072" customWidth="1"/>
    <col min="13060" max="13060" width="13.140625" style="1072" customWidth="1"/>
    <col min="13061" max="13061" width="11.7109375" style="1072" customWidth="1"/>
    <col min="13062" max="13062" width="12.85546875" style="1072" customWidth="1"/>
    <col min="13063" max="13063" width="11.5703125" style="1072" customWidth="1"/>
    <col min="13064" max="13064" width="10.5703125" style="1072" customWidth="1"/>
    <col min="13065" max="13065" width="11.28515625" style="1072" customWidth="1"/>
    <col min="13066" max="13067" width="9.85546875" style="1072" customWidth="1"/>
    <col min="13068" max="13068" width="9.85546875" style="1072" bestFit="1" customWidth="1"/>
    <col min="13069" max="13069" width="9.140625" style="1072"/>
    <col min="13070" max="13070" width="9.42578125" style="1072" bestFit="1" customWidth="1"/>
    <col min="13071" max="13072" width="9.28515625" style="1072" bestFit="1" customWidth="1"/>
    <col min="13073" max="13075" width="9.28515625" style="1072" customWidth="1"/>
    <col min="13076" max="13076" width="9.28515625" style="1072" bestFit="1" customWidth="1"/>
    <col min="13077" max="13312" width="9.140625" style="1072"/>
    <col min="13313" max="13313" width="3.140625" style="1072" customWidth="1"/>
    <col min="13314" max="13314" width="47.7109375" style="1072" customWidth="1"/>
    <col min="13315" max="13315" width="12.28515625" style="1072" customWidth="1"/>
    <col min="13316" max="13316" width="13.140625" style="1072" customWidth="1"/>
    <col min="13317" max="13317" width="11.7109375" style="1072" customWidth="1"/>
    <col min="13318" max="13318" width="12.85546875" style="1072" customWidth="1"/>
    <col min="13319" max="13319" width="11.5703125" style="1072" customWidth="1"/>
    <col min="13320" max="13320" width="10.5703125" style="1072" customWidth="1"/>
    <col min="13321" max="13321" width="11.28515625" style="1072" customWidth="1"/>
    <col min="13322" max="13323" width="9.85546875" style="1072" customWidth="1"/>
    <col min="13324" max="13324" width="9.85546875" style="1072" bestFit="1" customWidth="1"/>
    <col min="13325" max="13325" width="9.140625" style="1072"/>
    <col min="13326" max="13326" width="9.42578125" style="1072" bestFit="1" customWidth="1"/>
    <col min="13327" max="13328" width="9.28515625" style="1072" bestFit="1" customWidth="1"/>
    <col min="13329" max="13331" width="9.28515625" style="1072" customWidth="1"/>
    <col min="13332" max="13332" width="9.28515625" style="1072" bestFit="1" customWidth="1"/>
    <col min="13333" max="13568" width="9.140625" style="1072"/>
    <col min="13569" max="13569" width="3.140625" style="1072" customWidth="1"/>
    <col min="13570" max="13570" width="47.7109375" style="1072" customWidth="1"/>
    <col min="13571" max="13571" width="12.28515625" style="1072" customWidth="1"/>
    <col min="13572" max="13572" width="13.140625" style="1072" customWidth="1"/>
    <col min="13573" max="13573" width="11.7109375" style="1072" customWidth="1"/>
    <col min="13574" max="13574" width="12.85546875" style="1072" customWidth="1"/>
    <col min="13575" max="13575" width="11.5703125" style="1072" customWidth="1"/>
    <col min="13576" max="13576" width="10.5703125" style="1072" customWidth="1"/>
    <col min="13577" max="13577" width="11.28515625" style="1072" customWidth="1"/>
    <col min="13578" max="13579" width="9.85546875" style="1072" customWidth="1"/>
    <col min="13580" max="13580" width="9.85546875" style="1072" bestFit="1" customWidth="1"/>
    <col min="13581" max="13581" width="9.140625" style="1072"/>
    <col min="13582" max="13582" width="9.42578125" style="1072" bestFit="1" customWidth="1"/>
    <col min="13583" max="13584" width="9.28515625" style="1072" bestFit="1" customWidth="1"/>
    <col min="13585" max="13587" width="9.28515625" style="1072" customWidth="1"/>
    <col min="13588" max="13588" width="9.28515625" style="1072" bestFit="1" customWidth="1"/>
    <col min="13589" max="13824" width="9.140625" style="1072"/>
    <col min="13825" max="13825" width="3.140625" style="1072" customWidth="1"/>
    <col min="13826" max="13826" width="47.7109375" style="1072" customWidth="1"/>
    <col min="13827" max="13827" width="12.28515625" style="1072" customWidth="1"/>
    <col min="13828" max="13828" width="13.140625" style="1072" customWidth="1"/>
    <col min="13829" max="13829" width="11.7109375" style="1072" customWidth="1"/>
    <col min="13830" max="13830" width="12.85546875" style="1072" customWidth="1"/>
    <col min="13831" max="13831" width="11.5703125" style="1072" customWidth="1"/>
    <col min="13832" max="13832" width="10.5703125" style="1072" customWidth="1"/>
    <col min="13833" max="13833" width="11.28515625" style="1072" customWidth="1"/>
    <col min="13834" max="13835" width="9.85546875" style="1072" customWidth="1"/>
    <col min="13836" max="13836" width="9.85546875" style="1072" bestFit="1" customWidth="1"/>
    <col min="13837" max="13837" width="9.140625" style="1072"/>
    <col min="13838" max="13838" width="9.42578125" style="1072" bestFit="1" customWidth="1"/>
    <col min="13839" max="13840" width="9.28515625" style="1072" bestFit="1" customWidth="1"/>
    <col min="13841" max="13843" width="9.28515625" style="1072" customWidth="1"/>
    <col min="13844" max="13844" width="9.28515625" style="1072" bestFit="1" customWidth="1"/>
    <col min="13845" max="14080" width="9.140625" style="1072"/>
    <col min="14081" max="14081" width="3.140625" style="1072" customWidth="1"/>
    <col min="14082" max="14082" width="47.7109375" style="1072" customWidth="1"/>
    <col min="14083" max="14083" width="12.28515625" style="1072" customWidth="1"/>
    <col min="14084" max="14084" width="13.140625" style="1072" customWidth="1"/>
    <col min="14085" max="14085" width="11.7109375" style="1072" customWidth="1"/>
    <col min="14086" max="14086" width="12.85546875" style="1072" customWidth="1"/>
    <col min="14087" max="14087" width="11.5703125" style="1072" customWidth="1"/>
    <col min="14088" max="14088" width="10.5703125" style="1072" customWidth="1"/>
    <col min="14089" max="14089" width="11.28515625" style="1072" customWidth="1"/>
    <col min="14090" max="14091" width="9.85546875" style="1072" customWidth="1"/>
    <col min="14092" max="14092" width="9.85546875" style="1072" bestFit="1" customWidth="1"/>
    <col min="14093" max="14093" width="9.140625" style="1072"/>
    <col min="14094" max="14094" width="9.42578125" style="1072" bestFit="1" customWidth="1"/>
    <col min="14095" max="14096" width="9.28515625" style="1072" bestFit="1" customWidth="1"/>
    <col min="14097" max="14099" width="9.28515625" style="1072" customWidth="1"/>
    <col min="14100" max="14100" width="9.28515625" style="1072" bestFit="1" customWidth="1"/>
    <col min="14101" max="14336" width="9.140625" style="1072"/>
    <col min="14337" max="14337" width="3.140625" style="1072" customWidth="1"/>
    <col min="14338" max="14338" width="47.7109375" style="1072" customWidth="1"/>
    <col min="14339" max="14339" width="12.28515625" style="1072" customWidth="1"/>
    <col min="14340" max="14340" width="13.140625" style="1072" customWidth="1"/>
    <col min="14341" max="14341" width="11.7109375" style="1072" customWidth="1"/>
    <col min="14342" max="14342" width="12.85546875" style="1072" customWidth="1"/>
    <col min="14343" max="14343" width="11.5703125" style="1072" customWidth="1"/>
    <col min="14344" max="14344" width="10.5703125" style="1072" customWidth="1"/>
    <col min="14345" max="14345" width="11.28515625" style="1072" customWidth="1"/>
    <col min="14346" max="14347" width="9.85546875" style="1072" customWidth="1"/>
    <col min="14348" max="14348" width="9.85546875" style="1072" bestFit="1" customWidth="1"/>
    <col min="14349" max="14349" width="9.140625" style="1072"/>
    <col min="14350" max="14350" width="9.42578125" style="1072" bestFit="1" customWidth="1"/>
    <col min="14351" max="14352" width="9.28515625" style="1072" bestFit="1" customWidth="1"/>
    <col min="14353" max="14355" width="9.28515625" style="1072" customWidth="1"/>
    <col min="14356" max="14356" width="9.28515625" style="1072" bestFit="1" customWidth="1"/>
    <col min="14357" max="14592" width="9.140625" style="1072"/>
    <col min="14593" max="14593" width="3.140625" style="1072" customWidth="1"/>
    <col min="14594" max="14594" width="47.7109375" style="1072" customWidth="1"/>
    <col min="14595" max="14595" width="12.28515625" style="1072" customWidth="1"/>
    <col min="14596" max="14596" width="13.140625" style="1072" customWidth="1"/>
    <col min="14597" max="14597" width="11.7109375" style="1072" customWidth="1"/>
    <col min="14598" max="14598" width="12.85546875" style="1072" customWidth="1"/>
    <col min="14599" max="14599" width="11.5703125" style="1072" customWidth="1"/>
    <col min="14600" max="14600" width="10.5703125" style="1072" customWidth="1"/>
    <col min="14601" max="14601" width="11.28515625" style="1072" customWidth="1"/>
    <col min="14602" max="14603" width="9.85546875" style="1072" customWidth="1"/>
    <col min="14604" max="14604" width="9.85546875" style="1072" bestFit="1" customWidth="1"/>
    <col min="14605" max="14605" width="9.140625" style="1072"/>
    <col min="14606" max="14606" width="9.42578125" style="1072" bestFit="1" customWidth="1"/>
    <col min="14607" max="14608" width="9.28515625" style="1072" bestFit="1" customWidth="1"/>
    <col min="14609" max="14611" width="9.28515625" style="1072" customWidth="1"/>
    <col min="14612" max="14612" width="9.28515625" style="1072" bestFit="1" customWidth="1"/>
    <col min="14613" max="14848" width="9.140625" style="1072"/>
    <col min="14849" max="14849" width="3.140625" style="1072" customWidth="1"/>
    <col min="14850" max="14850" width="47.7109375" style="1072" customWidth="1"/>
    <col min="14851" max="14851" width="12.28515625" style="1072" customWidth="1"/>
    <col min="14852" max="14852" width="13.140625" style="1072" customWidth="1"/>
    <col min="14853" max="14853" width="11.7109375" style="1072" customWidth="1"/>
    <col min="14854" max="14854" width="12.85546875" style="1072" customWidth="1"/>
    <col min="14855" max="14855" width="11.5703125" style="1072" customWidth="1"/>
    <col min="14856" max="14856" width="10.5703125" style="1072" customWidth="1"/>
    <col min="14857" max="14857" width="11.28515625" style="1072" customWidth="1"/>
    <col min="14858" max="14859" width="9.85546875" style="1072" customWidth="1"/>
    <col min="14860" max="14860" width="9.85546875" style="1072" bestFit="1" customWidth="1"/>
    <col min="14861" max="14861" width="9.140625" style="1072"/>
    <col min="14862" max="14862" width="9.42578125" style="1072" bestFit="1" customWidth="1"/>
    <col min="14863" max="14864" width="9.28515625" style="1072" bestFit="1" customWidth="1"/>
    <col min="14865" max="14867" width="9.28515625" style="1072" customWidth="1"/>
    <col min="14868" max="14868" width="9.28515625" style="1072" bestFit="1" customWidth="1"/>
    <col min="14869" max="15104" width="9.140625" style="1072"/>
    <col min="15105" max="15105" width="3.140625" style="1072" customWidth="1"/>
    <col min="15106" max="15106" width="47.7109375" style="1072" customWidth="1"/>
    <col min="15107" max="15107" width="12.28515625" style="1072" customWidth="1"/>
    <col min="15108" max="15108" width="13.140625" style="1072" customWidth="1"/>
    <col min="15109" max="15109" width="11.7109375" style="1072" customWidth="1"/>
    <col min="15110" max="15110" width="12.85546875" style="1072" customWidth="1"/>
    <col min="15111" max="15111" width="11.5703125" style="1072" customWidth="1"/>
    <col min="15112" max="15112" width="10.5703125" style="1072" customWidth="1"/>
    <col min="15113" max="15113" width="11.28515625" style="1072" customWidth="1"/>
    <col min="15114" max="15115" width="9.85546875" style="1072" customWidth="1"/>
    <col min="15116" max="15116" width="9.85546875" style="1072" bestFit="1" customWidth="1"/>
    <col min="15117" max="15117" width="9.140625" style="1072"/>
    <col min="15118" max="15118" width="9.42578125" style="1072" bestFit="1" customWidth="1"/>
    <col min="15119" max="15120" width="9.28515625" style="1072" bestFit="1" customWidth="1"/>
    <col min="15121" max="15123" width="9.28515625" style="1072" customWidth="1"/>
    <col min="15124" max="15124" width="9.28515625" style="1072" bestFit="1" customWidth="1"/>
    <col min="15125" max="15360" width="9.140625" style="1072"/>
    <col min="15361" max="15361" width="3.140625" style="1072" customWidth="1"/>
    <col min="15362" max="15362" width="47.7109375" style="1072" customWidth="1"/>
    <col min="15363" max="15363" width="12.28515625" style="1072" customWidth="1"/>
    <col min="15364" max="15364" width="13.140625" style="1072" customWidth="1"/>
    <col min="15365" max="15365" width="11.7109375" style="1072" customWidth="1"/>
    <col min="15366" max="15366" width="12.85546875" style="1072" customWidth="1"/>
    <col min="15367" max="15367" width="11.5703125" style="1072" customWidth="1"/>
    <col min="15368" max="15368" width="10.5703125" style="1072" customWidth="1"/>
    <col min="15369" max="15369" width="11.28515625" style="1072" customWidth="1"/>
    <col min="15370" max="15371" width="9.85546875" style="1072" customWidth="1"/>
    <col min="15372" max="15372" width="9.85546875" style="1072" bestFit="1" customWidth="1"/>
    <col min="15373" max="15373" width="9.140625" style="1072"/>
    <col min="15374" max="15374" width="9.42578125" style="1072" bestFit="1" customWidth="1"/>
    <col min="15375" max="15376" width="9.28515625" style="1072" bestFit="1" customWidth="1"/>
    <col min="15377" max="15379" width="9.28515625" style="1072" customWidth="1"/>
    <col min="15380" max="15380" width="9.28515625" style="1072" bestFit="1" customWidth="1"/>
    <col min="15381" max="15616" width="9.140625" style="1072"/>
    <col min="15617" max="15617" width="3.140625" style="1072" customWidth="1"/>
    <col min="15618" max="15618" width="47.7109375" style="1072" customWidth="1"/>
    <col min="15619" max="15619" width="12.28515625" style="1072" customWidth="1"/>
    <col min="15620" max="15620" width="13.140625" style="1072" customWidth="1"/>
    <col min="15621" max="15621" width="11.7109375" style="1072" customWidth="1"/>
    <col min="15622" max="15622" width="12.85546875" style="1072" customWidth="1"/>
    <col min="15623" max="15623" width="11.5703125" style="1072" customWidth="1"/>
    <col min="15624" max="15624" width="10.5703125" style="1072" customWidth="1"/>
    <col min="15625" max="15625" width="11.28515625" style="1072" customWidth="1"/>
    <col min="15626" max="15627" width="9.85546875" style="1072" customWidth="1"/>
    <col min="15628" max="15628" width="9.85546875" style="1072" bestFit="1" customWidth="1"/>
    <col min="15629" max="15629" width="9.140625" style="1072"/>
    <col min="15630" max="15630" width="9.42578125" style="1072" bestFit="1" customWidth="1"/>
    <col min="15631" max="15632" width="9.28515625" style="1072" bestFit="1" customWidth="1"/>
    <col min="15633" max="15635" width="9.28515625" style="1072" customWidth="1"/>
    <col min="15636" max="15636" width="9.28515625" style="1072" bestFit="1" customWidth="1"/>
    <col min="15637" max="15872" width="9.140625" style="1072"/>
    <col min="15873" max="15873" width="3.140625" style="1072" customWidth="1"/>
    <col min="15874" max="15874" width="47.7109375" style="1072" customWidth="1"/>
    <col min="15875" max="15875" width="12.28515625" style="1072" customWidth="1"/>
    <col min="15876" max="15876" width="13.140625" style="1072" customWidth="1"/>
    <col min="15877" max="15877" width="11.7109375" style="1072" customWidth="1"/>
    <col min="15878" max="15878" width="12.85546875" style="1072" customWidth="1"/>
    <col min="15879" max="15879" width="11.5703125" style="1072" customWidth="1"/>
    <col min="15880" max="15880" width="10.5703125" style="1072" customWidth="1"/>
    <col min="15881" max="15881" width="11.28515625" style="1072" customWidth="1"/>
    <col min="15882" max="15883" width="9.85546875" style="1072" customWidth="1"/>
    <col min="15884" max="15884" width="9.85546875" style="1072" bestFit="1" customWidth="1"/>
    <col min="15885" max="15885" width="9.140625" style="1072"/>
    <col min="15886" max="15886" width="9.42578125" style="1072" bestFit="1" customWidth="1"/>
    <col min="15887" max="15888" width="9.28515625" style="1072" bestFit="1" customWidth="1"/>
    <col min="15889" max="15891" width="9.28515625" style="1072" customWidth="1"/>
    <col min="15892" max="15892" width="9.28515625" style="1072" bestFit="1" customWidth="1"/>
    <col min="15893" max="16128" width="9.140625" style="1072"/>
    <col min="16129" max="16129" width="3.140625" style="1072" customWidth="1"/>
    <col min="16130" max="16130" width="47.7109375" style="1072" customWidth="1"/>
    <col min="16131" max="16131" width="12.28515625" style="1072" customWidth="1"/>
    <col min="16132" max="16132" width="13.140625" style="1072" customWidth="1"/>
    <col min="16133" max="16133" width="11.7109375" style="1072" customWidth="1"/>
    <col min="16134" max="16134" width="12.85546875" style="1072" customWidth="1"/>
    <col min="16135" max="16135" width="11.5703125" style="1072" customWidth="1"/>
    <col min="16136" max="16136" width="10.5703125" style="1072" customWidth="1"/>
    <col min="16137" max="16137" width="11.28515625" style="1072" customWidth="1"/>
    <col min="16138" max="16139" width="9.85546875" style="1072" customWidth="1"/>
    <col min="16140" max="16140" width="9.85546875" style="1072" bestFit="1" customWidth="1"/>
    <col min="16141" max="16141" width="9.140625" style="1072"/>
    <col min="16142" max="16142" width="9.42578125" style="1072" bestFit="1" customWidth="1"/>
    <col min="16143" max="16144" width="9.28515625" style="1072" bestFit="1" customWidth="1"/>
    <col min="16145" max="16147" width="9.28515625" style="1072" customWidth="1"/>
    <col min="16148" max="16148" width="9.28515625" style="1072" bestFit="1" customWidth="1"/>
    <col min="16149" max="16384" width="9.140625" style="1072"/>
  </cols>
  <sheetData>
    <row r="1" spans="1:9" s="1069" customFormat="1" ht="18.75">
      <c r="A1" s="1069" t="s">
        <v>672</v>
      </c>
    </row>
    <row r="2" spans="1:9" ht="19.5" customHeight="1" thickBot="1">
      <c r="A2" s="1070"/>
      <c r="B2" s="1071"/>
      <c r="C2" s="3252" t="s">
        <v>673</v>
      </c>
      <c r="D2" s="3252"/>
      <c r="E2" s="3252"/>
      <c r="F2" s="3252"/>
    </row>
    <row r="3" spans="1:9" ht="16.5" thickBot="1">
      <c r="A3" s="1073"/>
      <c r="B3" s="1074"/>
      <c r="C3" s="3237" t="s">
        <v>674</v>
      </c>
      <c r="D3" s="3238"/>
      <c r="E3" s="3238"/>
      <c r="F3" s="3239"/>
      <c r="H3" s="1075"/>
    </row>
    <row r="4" spans="1:9" ht="21" customHeight="1" thickBot="1">
      <c r="A4" s="1076"/>
      <c r="B4" s="1077"/>
      <c r="C4" s="1078">
        <v>41824</v>
      </c>
      <c r="D4" s="1078">
        <v>41831</v>
      </c>
      <c r="E4" s="1078">
        <v>41838</v>
      </c>
      <c r="F4" s="1079">
        <v>41845</v>
      </c>
      <c r="H4" s="1075"/>
      <c r="I4"/>
    </row>
    <row r="5" spans="1:9" ht="2.25" hidden="1" customHeight="1">
      <c r="A5" s="1080"/>
      <c r="B5" s="1081"/>
      <c r="C5" s="1082"/>
      <c r="D5" s="1083"/>
      <c r="E5" s="1083"/>
      <c r="F5" s="1083"/>
      <c r="H5" s="1084"/>
      <c r="I5"/>
    </row>
    <row r="6" spans="1:9" ht="18.75" customHeight="1">
      <c r="A6" s="1085"/>
      <c r="B6" s="1086" t="s">
        <v>675</v>
      </c>
      <c r="C6" s="1087"/>
      <c r="D6" s="1088"/>
      <c r="E6" s="1088"/>
      <c r="F6" s="1088"/>
      <c r="H6" s="1084"/>
      <c r="I6"/>
    </row>
    <row r="7" spans="1:9" ht="18.75" customHeight="1">
      <c r="A7" s="1089"/>
      <c r="B7" s="1090" t="s">
        <v>676</v>
      </c>
      <c r="C7" s="1091" t="s">
        <v>661</v>
      </c>
      <c r="D7" s="1092" t="s">
        <v>661</v>
      </c>
      <c r="E7" s="1092" t="s">
        <v>661</v>
      </c>
      <c r="F7" s="1092" t="s">
        <v>661</v>
      </c>
      <c r="H7" s="1093"/>
      <c r="I7"/>
    </row>
    <row r="8" spans="1:9" ht="18.75" customHeight="1">
      <c r="A8" s="1089"/>
      <c r="B8" s="1090" t="s">
        <v>677</v>
      </c>
      <c r="C8" s="1091" t="s">
        <v>661</v>
      </c>
      <c r="D8" s="1092" t="s">
        <v>661</v>
      </c>
      <c r="E8" s="1092" t="s">
        <v>661</v>
      </c>
      <c r="F8" s="1092">
        <v>1.75</v>
      </c>
      <c r="H8" s="1093"/>
      <c r="I8"/>
    </row>
    <row r="9" spans="1:9" ht="18.75" customHeight="1">
      <c r="A9" s="1089"/>
      <c r="B9" s="1090" t="s">
        <v>678</v>
      </c>
      <c r="C9" s="1091" t="s">
        <v>661</v>
      </c>
      <c r="D9" s="1092">
        <v>2.19</v>
      </c>
      <c r="E9" s="1092" t="s">
        <v>661</v>
      </c>
      <c r="F9" s="1092" t="s">
        <v>661</v>
      </c>
      <c r="H9" s="1093"/>
      <c r="I9"/>
    </row>
    <row r="10" spans="1:9" ht="18.75" customHeight="1">
      <c r="A10" s="1089"/>
      <c r="B10" s="1090" t="s">
        <v>679</v>
      </c>
      <c r="C10" s="1091">
        <v>2.38</v>
      </c>
      <c r="D10" s="1092" t="s">
        <v>661</v>
      </c>
      <c r="E10" s="1092">
        <v>2.08</v>
      </c>
      <c r="F10" s="1092" t="s">
        <v>661</v>
      </c>
      <c r="H10" s="1093"/>
      <c r="I10"/>
    </row>
    <row r="11" spans="1:9" ht="8.25" customHeight="1" thickBot="1">
      <c r="A11" s="1094"/>
      <c r="B11" s="1095"/>
      <c r="C11" s="1096"/>
      <c r="D11" s="1097"/>
      <c r="E11" s="1097"/>
      <c r="F11" s="1097"/>
      <c r="H11" s="1098"/>
      <c r="I11"/>
    </row>
    <row r="12" spans="1:9" s="1099" customFormat="1" ht="21.75" customHeight="1">
      <c r="A12" s="1099" t="s">
        <v>680</v>
      </c>
      <c r="I12"/>
    </row>
    <row r="13" spans="1:9" ht="12" customHeight="1"/>
    <row r="14" spans="1:9" ht="15" customHeight="1">
      <c r="A14" s="3236" t="s">
        <v>681</v>
      </c>
      <c r="B14" s="3236"/>
      <c r="C14" s="3236"/>
      <c r="D14" s="3236"/>
      <c r="E14" s="3236"/>
      <c r="F14" s="3236"/>
    </row>
    <row r="15" spans="1:9" ht="19.5" customHeight="1" thickBot="1">
      <c r="A15" s="1100"/>
      <c r="B15" s="1100"/>
      <c r="C15" s="1100"/>
      <c r="D15" s="1100"/>
      <c r="E15" s="1100"/>
      <c r="F15" s="1070"/>
    </row>
    <row r="16" spans="1:9" ht="18.75" customHeight="1" thickBot="1">
      <c r="A16" s="1073" t="s">
        <v>682</v>
      </c>
      <c r="B16" s="1074"/>
      <c r="C16" s="3253" t="s">
        <v>683</v>
      </c>
      <c r="D16" s="3254"/>
      <c r="E16" s="3253" t="s">
        <v>684</v>
      </c>
      <c r="F16" s="3254"/>
      <c r="G16" s="1101"/>
    </row>
    <row r="17" spans="1:8" ht="20.25" customHeight="1" thickBot="1">
      <c r="A17" s="1076"/>
      <c r="B17" s="1077"/>
      <c r="C17" s="3250" t="s">
        <v>685</v>
      </c>
      <c r="D17" s="3251"/>
      <c r="E17" s="3250" t="s">
        <v>685</v>
      </c>
      <c r="F17" s="3251"/>
      <c r="G17" s="1101"/>
    </row>
    <row r="18" spans="1:8" ht="20.25" customHeight="1">
      <c r="A18" s="1085">
        <v>1</v>
      </c>
      <c r="B18" s="1102" t="s">
        <v>686</v>
      </c>
      <c r="C18" s="3246">
        <v>3720</v>
      </c>
      <c r="D18" s="3247"/>
      <c r="E18" s="3246">
        <v>4350</v>
      </c>
      <c r="F18" s="3247"/>
      <c r="G18" s="1103"/>
    </row>
    <row r="19" spans="1:8" ht="20.25" customHeight="1">
      <c r="A19" s="1085">
        <v>2</v>
      </c>
      <c r="B19" s="1102" t="s">
        <v>687</v>
      </c>
      <c r="C19" s="3248">
        <v>1300</v>
      </c>
      <c r="D19" s="3249"/>
      <c r="E19" s="3248">
        <v>1250</v>
      </c>
      <c r="F19" s="3249"/>
      <c r="G19" s="1103"/>
    </row>
    <row r="20" spans="1:8" ht="20.25" customHeight="1">
      <c r="A20" s="1085">
        <v>3</v>
      </c>
      <c r="B20" s="1104" t="s">
        <v>688</v>
      </c>
      <c r="C20" s="3240">
        <v>4.0999999999999996</v>
      </c>
      <c r="D20" s="3241"/>
      <c r="E20" s="3240">
        <v>3.88</v>
      </c>
      <c r="F20" s="3241"/>
      <c r="G20" s="1105"/>
    </row>
    <row r="21" spans="1:8" ht="20.25" customHeight="1">
      <c r="A21" s="1085">
        <v>4</v>
      </c>
      <c r="B21" s="1102" t="s">
        <v>689</v>
      </c>
      <c r="C21" s="3240">
        <v>4.09</v>
      </c>
      <c r="D21" s="3241"/>
      <c r="E21" s="3240">
        <v>3.96</v>
      </c>
      <c r="F21" s="3241"/>
      <c r="G21" s="1105"/>
    </row>
    <row r="22" spans="1:8" ht="20.25" customHeight="1">
      <c r="A22" s="1085">
        <v>5</v>
      </c>
      <c r="B22" s="1102" t="s">
        <v>690</v>
      </c>
      <c r="C22" s="3242">
        <v>4.0599999999999996</v>
      </c>
      <c r="D22" s="3243"/>
      <c r="E22" s="3242">
        <v>3.93</v>
      </c>
      <c r="F22" s="3243"/>
      <c r="G22" s="1106"/>
    </row>
    <row r="23" spans="1:8" ht="20.25" customHeight="1">
      <c r="A23" s="1085">
        <v>6</v>
      </c>
      <c r="B23" s="1102" t="s">
        <v>691</v>
      </c>
      <c r="C23" s="3244" t="s">
        <v>692</v>
      </c>
      <c r="D23" s="3245"/>
      <c r="E23" s="3244" t="s">
        <v>693</v>
      </c>
      <c r="F23" s="3245"/>
      <c r="G23" s="1107"/>
    </row>
    <row r="24" spans="1:8" ht="11.25" customHeight="1" thickBot="1">
      <c r="A24" s="1108"/>
      <c r="B24" s="1077"/>
      <c r="C24" s="3234"/>
      <c r="D24" s="3235"/>
      <c r="E24" s="3234"/>
      <c r="F24" s="3235"/>
      <c r="G24" s="1109"/>
    </row>
    <row r="25" spans="1:8" ht="12.75" customHeight="1">
      <c r="A25" s="1099"/>
      <c r="B25" s="1099"/>
      <c r="C25" s="1099"/>
      <c r="D25" s="1099"/>
      <c r="E25" s="1099"/>
    </row>
    <row r="26" spans="1:8" ht="17.25" customHeight="1">
      <c r="A26" s="1099"/>
      <c r="B26" s="1110" t="s">
        <v>694</v>
      </c>
      <c r="C26" s="1111"/>
      <c r="D26" s="1111"/>
      <c r="E26" s="1111"/>
      <c r="F26" s="1112"/>
      <c r="G26" s="1113"/>
      <c r="H26" s="1114"/>
    </row>
    <row r="27" spans="1:8" ht="17.25" customHeight="1">
      <c r="A27" s="1099"/>
      <c r="B27" s="1110" t="s">
        <v>695</v>
      </c>
      <c r="C27" s="1111"/>
      <c r="D27" s="1111"/>
      <c r="E27" s="1111"/>
      <c r="F27" s="1112"/>
      <c r="G27" s="1113"/>
      <c r="H27" s="1114"/>
    </row>
    <row r="28" spans="1:8" s="1099" customFormat="1" ht="15.75">
      <c r="A28" s="1099" t="s">
        <v>680</v>
      </c>
      <c r="B28" s="1111"/>
      <c r="C28" s="1111"/>
      <c r="D28" s="1111"/>
      <c r="E28" s="1111"/>
      <c r="F28" s="1111"/>
      <c r="G28" s="1111"/>
    </row>
    <row r="29" spans="1:8" ht="17.25" customHeight="1"/>
    <row r="30" spans="1:8" ht="18.75">
      <c r="A30" s="3236" t="s">
        <v>696</v>
      </c>
      <c r="B30" s="3236"/>
      <c r="C30" s="3236"/>
      <c r="D30" s="3236"/>
      <c r="E30" s="3236"/>
      <c r="F30" s="3236"/>
      <c r="G30" s="3236"/>
      <c r="H30" s="3236"/>
    </row>
    <row r="31" spans="1:8" ht="6.75" customHeight="1" thickBot="1"/>
    <row r="32" spans="1:8" ht="18" customHeight="1" thickBot="1">
      <c r="A32" s="1115"/>
      <c r="B32" s="1116"/>
      <c r="C32" s="3237" t="s">
        <v>697</v>
      </c>
      <c r="D32" s="3238"/>
      <c r="E32" s="3238"/>
      <c r="F32" s="3238"/>
      <c r="G32" s="3238"/>
      <c r="H32" s="3239"/>
    </row>
    <row r="33" spans="1:8" ht="24" customHeight="1" thickBot="1">
      <c r="A33" s="1117"/>
      <c r="B33" s="1118"/>
      <c r="C33" s="1119" t="s">
        <v>698</v>
      </c>
      <c r="D33" s="1119" t="s">
        <v>699</v>
      </c>
      <c r="E33" s="1119" t="s">
        <v>700</v>
      </c>
      <c r="F33" s="1119" t="s">
        <v>701</v>
      </c>
      <c r="G33" s="1119" t="s">
        <v>702</v>
      </c>
      <c r="H33" s="1119" t="s">
        <v>703</v>
      </c>
    </row>
    <row r="34" spans="1:8" ht="20.25" customHeight="1">
      <c r="A34" s="1120">
        <v>1</v>
      </c>
      <c r="B34" s="1121" t="s">
        <v>704</v>
      </c>
      <c r="C34" s="1122">
        <v>1200</v>
      </c>
      <c r="D34" s="1122">
        <v>1200</v>
      </c>
      <c r="E34" s="1122">
        <v>1200</v>
      </c>
      <c r="F34" s="1122">
        <v>1600</v>
      </c>
      <c r="G34" s="1122">
        <v>1600</v>
      </c>
      <c r="H34" s="1122">
        <v>1600</v>
      </c>
    </row>
    <row r="35" spans="1:8" ht="20.25" customHeight="1">
      <c r="A35" s="1120">
        <v>2</v>
      </c>
      <c r="B35" s="1121" t="s">
        <v>705</v>
      </c>
      <c r="C35" s="1122">
        <v>3810</v>
      </c>
      <c r="D35" s="1122">
        <v>920</v>
      </c>
      <c r="E35" s="1122">
        <v>1688</v>
      </c>
      <c r="F35" s="1122">
        <v>2926</v>
      </c>
      <c r="G35" s="1122">
        <v>3536</v>
      </c>
      <c r="H35" s="1122">
        <v>5105</v>
      </c>
    </row>
    <row r="36" spans="1:8" ht="20.25" customHeight="1">
      <c r="A36" s="1120">
        <v>3</v>
      </c>
      <c r="B36" s="1121" t="s">
        <v>706</v>
      </c>
      <c r="C36" s="1122">
        <v>1200</v>
      </c>
      <c r="D36" s="1122">
        <v>890</v>
      </c>
      <c r="E36" s="1122">
        <v>1200</v>
      </c>
      <c r="F36" s="1122">
        <v>1600</v>
      </c>
      <c r="G36" s="1122">
        <v>2400</v>
      </c>
      <c r="H36" s="1122">
        <v>1600</v>
      </c>
    </row>
    <row r="37" spans="1:8" ht="20.25" customHeight="1">
      <c r="A37" s="1120">
        <v>4</v>
      </c>
      <c r="B37" s="1121" t="s">
        <v>707</v>
      </c>
      <c r="C37" s="1123">
        <v>4.3</v>
      </c>
      <c r="D37" s="1123">
        <v>4.3</v>
      </c>
      <c r="E37" s="1123">
        <v>4.3</v>
      </c>
      <c r="F37" s="1123">
        <v>4.3</v>
      </c>
      <c r="G37" s="1123">
        <v>5.2</v>
      </c>
      <c r="H37" s="1123">
        <v>5.2</v>
      </c>
    </row>
    <row r="38" spans="1:8" ht="20.25" customHeight="1">
      <c r="A38" s="1120">
        <v>5</v>
      </c>
      <c r="B38" s="1124" t="s">
        <v>708</v>
      </c>
      <c r="C38" s="1125">
        <v>4.3099999999999996</v>
      </c>
      <c r="D38" s="1125">
        <v>4.5</v>
      </c>
      <c r="E38" s="1125">
        <v>6.03</v>
      </c>
      <c r="F38" s="1125">
        <v>5.98</v>
      </c>
      <c r="G38" s="1125">
        <v>5.83</v>
      </c>
      <c r="H38" s="1125">
        <v>5.4</v>
      </c>
    </row>
    <row r="39" spans="1:8" ht="20.25" customHeight="1">
      <c r="A39" s="1120">
        <v>6</v>
      </c>
      <c r="B39" s="1124" t="s">
        <v>709</v>
      </c>
      <c r="C39" s="1125">
        <v>4.28</v>
      </c>
      <c r="D39" s="1125">
        <v>4.4000000000000004</v>
      </c>
      <c r="E39" s="1125">
        <v>5.7</v>
      </c>
      <c r="F39" s="1125">
        <v>5.83</v>
      </c>
      <c r="G39" s="1125">
        <v>5.54</v>
      </c>
      <c r="H39" s="1125">
        <v>5.32</v>
      </c>
    </row>
    <row r="40" spans="1:8" ht="20.25" customHeight="1">
      <c r="A40" s="1120">
        <v>7</v>
      </c>
      <c r="B40" s="1124" t="s">
        <v>710</v>
      </c>
      <c r="C40" s="1126">
        <v>100.08</v>
      </c>
      <c r="D40" s="1126">
        <v>99.555999999999997</v>
      </c>
      <c r="E40" s="1126">
        <v>94.158000000000001</v>
      </c>
      <c r="F40" s="1126">
        <v>93.834999999999994</v>
      </c>
      <c r="G40" s="1126">
        <v>98.533000000000001</v>
      </c>
      <c r="H40" s="1126">
        <v>99.486999999999995</v>
      </c>
    </row>
    <row r="41" spans="1:8" ht="10.5" customHeight="1" thickBot="1">
      <c r="A41" s="1127"/>
      <c r="B41" s="1128"/>
      <c r="C41" s="1129"/>
      <c r="D41" s="1129"/>
      <c r="E41" s="1129"/>
      <c r="F41" s="1129"/>
      <c r="G41" s="1129"/>
      <c r="H41" s="1129"/>
    </row>
    <row r="42" spans="1:8" ht="8.25" customHeight="1"/>
    <row r="43" spans="1:8" ht="18.75">
      <c r="A43" s="1111"/>
      <c r="B43" s="1110" t="s">
        <v>711</v>
      </c>
      <c r="C43" s="1110" t="s">
        <v>712</v>
      </c>
      <c r="D43" s="1111"/>
      <c r="E43" s="1111"/>
      <c r="F43" s="1110"/>
      <c r="G43" s="1114"/>
      <c r="H43" s="1114"/>
    </row>
    <row r="44" spans="1:8" ht="18.75">
      <c r="A44" s="1111"/>
      <c r="B44" s="1110" t="s">
        <v>713</v>
      </c>
      <c r="C44" s="1110" t="s">
        <v>714</v>
      </c>
      <c r="D44" s="1111"/>
      <c r="E44" s="1111"/>
      <c r="F44" s="1110"/>
      <c r="G44" s="1114"/>
      <c r="H44" s="1114"/>
    </row>
    <row r="45" spans="1:8" s="1099" customFormat="1" ht="18.75">
      <c r="A45" s="1111"/>
      <c r="B45" s="1110" t="s">
        <v>715</v>
      </c>
      <c r="C45" s="1110" t="s">
        <v>716</v>
      </c>
      <c r="D45" s="1111"/>
      <c r="E45" s="1111"/>
      <c r="F45" s="1111"/>
    </row>
    <row r="46" spans="1:8" ht="15.75">
      <c r="A46" s="1111" t="s">
        <v>680</v>
      </c>
      <c r="B46" s="1111"/>
      <c r="C46" s="1113"/>
      <c r="D46" s="1113"/>
      <c r="E46" s="1113"/>
      <c r="F46" s="1111"/>
    </row>
    <row r="47" spans="1:8" ht="15.75">
      <c r="A47" s="1111"/>
      <c r="B47" s="1111"/>
      <c r="C47" s="1111"/>
      <c r="D47" s="1111"/>
      <c r="E47" s="1111"/>
      <c r="F47" s="1111"/>
    </row>
    <row r="51" spans="2:3" ht="18">
      <c r="B51" s="1130"/>
      <c r="C51" s="1130"/>
    </row>
    <row r="52" spans="2:3" ht="18">
      <c r="B52" s="1130"/>
      <c r="C52" s="1130"/>
    </row>
    <row r="53" spans="2:3" ht="18">
      <c r="B53" s="1130"/>
      <c r="C53" s="1130"/>
    </row>
  </sheetData>
  <mergeCells count="23">
    <mergeCell ref="C17:D17"/>
    <mergeCell ref="E17:F17"/>
    <mergeCell ref="C2:F2"/>
    <mergeCell ref="C3:F3"/>
    <mergeCell ref="A14:F14"/>
    <mergeCell ref="C16:D16"/>
    <mergeCell ref="E16:F16"/>
    <mergeCell ref="C18:D18"/>
    <mergeCell ref="E18:F18"/>
    <mergeCell ref="C19:D19"/>
    <mergeCell ref="E19:F19"/>
    <mergeCell ref="C20:D20"/>
    <mergeCell ref="E20:F20"/>
    <mergeCell ref="C24:D24"/>
    <mergeCell ref="E24:F24"/>
    <mergeCell ref="A30:H30"/>
    <mergeCell ref="C32:H32"/>
    <mergeCell ref="C21:D21"/>
    <mergeCell ref="E21:F21"/>
    <mergeCell ref="C22:D22"/>
    <mergeCell ref="E22:F22"/>
    <mergeCell ref="C23:D23"/>
    <mergeCell ref="E23:F23"/>
  </mergeCells>
  <printOptions horizontalCentered="1"/>
  <pageMargins left="0.23622047244094499" right="0" top="1.3405511809999999" bottom="0.196850393700787" header="0.27559055118110198" footer="0"/>
  <pageSetup paperSize="9"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9"/>
  <sheetViews>
    <sheetView showGridLines="0" zoomScaleNormal="100" workbookViewId="0">
      <pane xSplit="3" ySplit="3" topLeftCell="D4" activePane="bottomRight" state="frozen"/>
      <selection pane="topRight" activeCell="D1" sqref="D1"/>
      <selection pane="bottomLeft" activeCell="A5" sqref="A5"/>
      <selection pane="bottomRight" activeCell="M32" sqref="M32"/>
    </sheetView>
  </sheetViews>
  <sheetFormatPr defaultRowHeight="15"/>
  <cols>
    <col min="1" max="1" width="3.5703125" style="1173" bestFit="1" customWidth="1"/>
    <col min="2" max="2" width="41.140625" style="1173" customWidth="1"/>
    <col min="3" max="3" width="8.85546875" style="1173" customWidth="1"/>
    <col min="4" max="4" width="10.7109375" style="1173" customWidth="1"/>
    <col min="5" max="5" width="11.5703125" style="1173" customWidth="1"/>
    <col min="6" max="6" width="9.85546875" style="1173" bestFit="1" customWidth="1"/>
    <col min="7" max="7" width="12.28515625" style="1173" customWidth="1"/>
    <col min="8" max="8" width="9.140625" style="1173" hidden="1" customWidth="1"/>
    <col min="9" max="9" width="14.5703125" style="1173" customWidth="1"/>
    <col min="10" max="10" width="4.140625" style="1173" customWidth="1"/>
    <col min="11" max="255" width="9.140625" style="1173"/>
    <col min="256" max="256" width="2.7109375" style="1173" bestFit="1" customWidth="1"/>
    <col min="257" max="257" width="41.140625" style="1173" customWidth="1"/>
    <col min="258" max="258" width="12.85546875" style="1173" customWidth="1"/>
    <col min="259" max="260" width="10.42578125" style="1173" bestFit="1" customWidth="1"/>
    <col min="261" max="261" width="9.42578125" style="1173" bestFit="1" customWidth="1"/>
    <col min="262" max="263" width="10.42578125" style="1173" bestFit="1" customWidth="1"/>
    <col min="264" max="264" width="0" style="1173" hidden="1" customWidth="1"/>
    <col min="265" max="265" width="9.140625" style="1173"/>
    <col min="266" max="266" width="4.140625" style="1173" customWidth="1"/>
    <col min="267" max="511" width="9.140625" style="1173"/>
    <col min="512" max="512" width="2.7109375" style="1173" bestFit="1" customWidth="1"/>
    <col min="513" max="513" width="41.140625" style="1173" customWidth="1"/>
    <col min="514" max="514" width="12.85546875" style="1173" customWidth="1"/>
    <col min="515" max="516" width="10.42578125" style="1173" bestFit="1" customWidth="1"/>
    <col min="517" max="517" width="9.42578125" style="1173" bestFit="1" customWidth="1"/>
    <col min="518" max="519" width="10.42578125" style="1173" bestFit="1" customWidth="1"/>
    <col min="520" max="520" width="0" style="1173" hidden="1" customWidth="1"/>
    <col min="521" max="521" width="9.140625" style="1173"/>
    <col min="522" max="522" width="4.140625" style="1173" customWidth="1"/>
    <col min="523" max="767" width="9.140625" style="1173"/>
    <col min="768" max="768" width="2.7109375" style="1173" bestFit="1" customWidth="1"/>
    <col min="769" max="769" width="41.140625" style="1173" customWidth="1"/>
    <col min="770" max="770" width="12.85546875" style="1173" customWidth="1"/>
    <col min="771" max="772" width="10.42578125" style="1173" bestFit="1" customWidth="1"/>
    <col min="773" max="773" width="9.42578125" style="1173" bestFit="1" customWidth="1"/>
    <col min="774" max="775" width="10.42578125" style="1173" bestFit="1" customWidth="1"/>
    <col min="776" max="776" width="0" style="1173" hidden="1" customWidth="1"/>
    <col min="777" max="777" width="9.140625" style="1173"/>
    <col min="778" max="778" width="4.140625" style="1173" customWidth="1"/>
    <col min="779" max="1023" width="9.140625" style="1173"/>
    <col min="1024" max="1024" width="2.7109375" style="1173" bestFit="1" customWidth="1"/>
    <col min="1025" max="1025" width="41.140625" style="1173" customWidth="1"/>
    <col min="1026" max="1026" width="12.85546875" style="1173" customWidth="1"/>
    <col min="1027" max="1028" width="10.42578125" style="1173" bestFit="1" customWidth="1"/>
    <col min="1029" max="1029" width="9.42578125" style="1173" bestFit="1" customWidth="1"/>
    <col min="1030" max="1031" width="10.42578125" style="1173" bestFit="1" customWidth="1"/>
    <col min="1032" max="1032" width="0" style="1173" hidden="1" customWidth="1"/>
    <col min="1033" max="1033" width="9.140625" style="1173"/>
    <col min="1034" max="1034" width="4.140625" style="1173" customWidth="1"/>
    <col min="1035" max="1279" width="9.140625" style="1173"/>
    <col min="1280" max="1280" width="2.7109375" style="1173" bestFit="1" customWidth="1"/>
    <col min="1281" max="1281" width="41.140625" style="1173" customWidth="1"/>
    <col min="1282" max="1282" width="12.85546875" style="1173" customWidth="1"/>
    <col min="1283" max="1284" width="10.42578125" style="1173" bestFit="1" customWidth="1"/>
    <col min="1285" max="1285" width="9.42578125" style="1173" bestFit="1" customWidth="1"/>
    <col min="1286" max="1287" width="10.42578125" style="1173" bestFit="1" customWidth="1"/>
    <col min="1288" max="1288" width="0" style="1173" hidden="1" customWidth="1"/>
    <col min="1289" max="1289" width="9.140625" style="1173"/>
    <col min="1290" max="1290" width="4.140625" style="1173" customWidth="1"/>
    <col min="1291" max="1535" width="9.140625" style="1173"/>
    <col min="1536" max="1536" width="2.7109375" style="1173" bestFit="1" customWidth="1"/>
    <col min="1537" max="1537" width="41.140625" style="1173" customWidth="1"/>
    <col min="1538" max="1538" width="12.85546875" style="1173" customWidth="1"/>
    <col min="1539" max="1540" width="10.42578125" style="1173" bestFit="1" customWidth="1"/>
    <col min="1541" max="1541" width="9.42578125" style="1173" bestFit="1" customWidth="1"/>
    <col min="1542" max="1543" width="10.42578125" style="1173" bestFit="1" customWidth="1"/>
    <col min="1544" max="1544" width="0" style="1173" hidden="1" customWidth="1"/>
    <col min="1545" max="1545" width="9.140625" style="1173"/>
    <col min="1546" max="1546" width="4.140625" style="1173" customWidth="1"/>
    <col min="1547" max="1791" width="9.140625" style="1173"/>
    <col min="1792" max="1792" width="2.7109375" style="1173" bestFit="1" customWidth="1"/>
    <col min="1793" max="1793" width="41.140625" style="1173" customWidth="1"/>
    <col min="1794" max="1794" width="12.85546875" style="1173" customWidth="1"/>
    <col min="1795" max="1796" width="10.42578125" style="1173" bestFit="1" customWidth="1"/>
    <col min="1797" max="1797" width="9.42578125" style="1173" bestFit="1" customWidth="1"/>
    <col min="1798" max="1799" width="10.42578125" style="1173" bestFit="1" customWidth="1"/>
    <col min="1800" max="1800" width="0" style="1173" hidden="1" customWidth="1"/>
    <col min="1801" max="1801" width="9.140625" style="1173"/>
    <col min="1802" max="1802" width="4.140625" style="1173" customWidth="1"/>
    <col min="1803" max="2047" width="9.140625" style="1173"/>
    <col min="2048" max="2048" width="2.7109375" style="1173" bestFit="1" customWidth="1"/>
    <col min="2049" max="2049" width="41.140625" style="1173" customWidth="1"/>
    <col min="2050" max="2050" width="12.85546875" style="1173" customWidth="1"/>
    <col min="2051" max="2052" width="10.42578125" style="1173" bestFit="1" customWidth="1"/>
    <col min="2053" max="2053" width="9.42578125" style="1173" bestFit="1" customWidth="1"/>
    <col min="2054" max="2055" width="10.42578125" style="1173" bestFit="1" customWidth="1"/>
    <col min="2056" max="2056" width="0" style="1173" hidden="1" customWidth="1"/>
    <col min="2057" max="2057" width="9.140625" style="1173"/>
    <col min="2058" max="2058" width="4.140625" style="1173" customWidth="1"/>
    <col min="2059" max="2303" width="9.140625" style="1173"/>
    <col min="2304" max="2304" width="2.7109375" style="1173" bestFit="1" customWidth="1"/>
    <col min="2305" max="2305" width="41.140625" style="1173" customWidth="1"/>
    <col min="2306" max="2306" width="12.85546875" style="1173" customWidth="1"/>
    <col min="2307" max="2308" width="10.42578125" style="1173" bestFit="1" customWidth="1"/>
    <col min="2309" max="2309" width="9.42578125" style="1173" bestFit="1" customWidth="1"/>
    <col min="2310" max="2311" width="10.42578125" style="1173" bestFit="1" customWidth="1"/>
    <col min="2312" max="2312" width="0" style="1173" hidden="1" customWidth="1"/>
    <col min="2313" max="2313" width="9.140625" style="1173"/>
    <col min="2314" max="2314" width="4.140625" style="1173" customWidth="1"/>
    <col min="2315" max="2559" width="9.140625" style="1173"/>
    <col min="2560" max="2560" width="2.7109375" style="1173" bestFit="1" customWidth="1"/>
    <col min="2561" max="2561" width="41.140625" style="1173" customWidth="1"/>
    <col min="2562" max="2562" width="12.85546875" style="1173" customWidth="1"/>
    <col min="2563" max="2564" width="10.42578125" style="1173" bestFit="1" customWidth="1"/>
    <col min="2565" max="2565" width="9.42578125" style="1173" bestFit="1" customWidth="1"/>
    <col min="2566" max="2567" width="10.42578125" style="1173" bestFit="1" customWidth="1"/>
    <col min="2568" max="2568" width="0" style="1173" hidden="1" customWidth="1"/>
    <col min="2569" max="2569" width="9.140625" style="1173"/>
    <col min="2570" max="2570" width="4.140625" style="1173" customWidth="1"/>
    <col min="2571" max="2815" width="9.140625" style="1173"/>
    <col min="2816" max="2816" width="2.7109375" style="1173" bestFit="1" customWidth="1"/>
    <col min="2817" max="2817" width="41.140625" style="1173" customWidth="1"/>
    <col min="2818" max="2818" width="12.85546875" style="1173" customWidth="1"/>
    <col min="2819" max="2820" width="10.42578125" style="1173" bestFit="1" customWidth="1"/>
    <col min="2821" max="2821" width="9.42578125" style="1173" bestFit="1" customWidth="1"/>
    <col min="2822" max="2823" width="10.42578125" style="1173" bestFit="1" customWidth="1"/>
    <col min="2824" max="2824" width="0" style="1173" hidden="1" customWidth="1"/>
    <col min="2825" max="2825" width="9.140625" style="1173"/>
    <col min="2826" max="2826" width="4.140625" style="1173" customWidth="1"/>
    <col min="2827" max="3071" width="9.140625" style="1173"/>
    <col min="3072" max="3072" width="2.7109375" style="1173" bestFit="1" customWidth="1"/>
    <col min="3073" max="3073" width="41.140625" style="1173" customWidth="1"/>
    <col min="3074" max="3074" width="12.85546875" style="1173" customWidth="1"/>
    <col min="3075" max="3076" width="10.42578125" style="1173" bestFit="1" customWidth="1"/>
    <col min="3077" max="3077" width="9.42578125" style="1173" bestFit="1" customWidth="1"/>
    <col min="3078" max="3079" width="10.42578125" style="1173" bestFit="1" customWidth="1"/>
    <col min="3080" max="3080" width="0" style="1173" hidden="1" customWidth="1"/>
    <col min="3081" max="3081" width="9.140625" style="1173"/>
    <col min="3082" max="3082" width="4.140625" style="1173" customWidth="1"/>
    <col min="3083" max="3327" width="9.140625" style="1173"/>
    <col min="3328" max="3328" width="2.7109375" style="1173" bestFit="1" customWidth="1"/>
    <col min="3329" max="3329" width="41.140625" style="1173" customWidth="1"/>
    <col min="3330" max="3330" width="12.85546875" style="1173" customWidth="1"/>
    <col min="3331" max="3332" width="10.42578125" style="1173" bestFit="1" customWidth="1"/>
    <col min="3333" max="3333" width="9.42578125" style="1173" bestFit="1" customWidth="1"/>
    <col min="3334" max="3335" width="10.42578125" style="1173" bestFit="1" customWidth="1"/>
    <col min="3336" max="3336" width="0" style="1173" hidden="1" customWidth="1"/>
    <col min="3337" max="3337" width="9.140625" style="1173"/>
    <col min="3338" max="3338" width="4.140625" style="1173" customWidth="1"/>
    <col min="3339" max="3583" width="9.140625" style="1173"/>
    <col min="3584" max="3584" width="2.7109375" style="1173" bestFit="1" customWidth="1"/>
    <col min="3585" max="3585" width="41.140625" style="1173" customWidth="1"/>
    <col min="3586" max="3586" width="12.85546875" style="1173" customWidth="1"/>
    <col min="3587" max="3588" width="10.42578125" style="1173" bestFit="1" customWidth="1"/>
    <col min="3589" max="3589" width="9.42578125" style="1173" bestFit="1" customWidth="1"/>
    <col min="3590" max="3591" width="10.42578125" style="1173" bestFit="1" customWidth="1"/>
    <col min="3592" max="3592" width="0" style="1173" hidden="1" customWidth="1"/>
    <col min="3593" max="3593" width="9.140625" style="1173"/>
    <col min="3594" max="3594" width="4.140625" style="1173" customWidth="1"/>
    <col min="3595" max="3839" width="9.140625" style="1173"/>
    <col min="3840" max="3840" width="2.7109375" style="1173" bestFit="1" customWidth="1"/>
    <col min="3841" max="3841" width="41.140625" style="1173" customWidth="1"/>
    <col min="3842" max="3842" width="12.85546875" style="1173" customWidth="1"/>
    <col min="3843" max="3844" width="10.42578125" style="1173" bestFit="1" customWidth="1"/>
    <col min="3845" max="3845" width="9.42578125" style="1173" bestFit="1" customWidth="1"/>
    <col min="3846" max="3847" width="10.42578125" style="1173" bestFit="1" customWidth="1"/>
    <col min="3848" max="3848" width="0" style="1173" hidden="1" customWidth="1"/>
    <col min="3849" max="3849" width="9.140625" style="1173"/>
    <col min="3850" max="3850" width="4.140625" style="1173" customWidth="1"/>
    <col min="3851" max="4095" width="9.140625" style="1173"/>
    <col min="4096" max="4096" width="2.7109375" style="1173" bestFit="1" customWidth="1"/>
    <col min="4097" max="4097" width="41.140625" style="1173" customWidth="1"/>
    <col min="4098" max="4098" width="12.85546875" style="1173" customWidth="1"/>
    <col min="4099" max="4100" width="10.42578125" style="1173" bestFit="1" customWidth="1"/>
    <col min="4101" max="4101" width="9.42578125" style="1173" bestFit="1" customWidth="1"/>
    <col min="4102" max="4103" width="10.42578125" style="1173" bestFit="1" customWidth="1"/>
    <col min="4104" max="4104" width="0" style="1173" hidden="1" customWidth="1"/>
    <col min="4105" max="4105" width="9.140625" style="1173"/>
    <col min="4106" max="4106" width="4.140625" style="1173" customWidth="1"/>
    <col min="4107" max="4351" width="9.140625" style="1173"/>
    <col min="4352" max="4352" width="2.7109375" style="1173" bestFit="1" customWidth="1"/>
    <col min="4353" max="4353" width="41.140625" style="1173" customWidth="1"/>
    <col min="4354" max="4354" width="12.85546875" style="1173" customWidth="1"/>
    <col min="4355" max="4356" width="10.42578125" style="1173" bestFit="1" customWidth="1"/>
    <col min="4357" max="4357" width="9.42578125" style="1173" bestFit="1" customWidth="1"/>
    <col min="4358" max="4359" width="10.42578125" style="1173" bestFit="1" customWidth="1"/>
    <col min="4360" max="4360" width="0" style="1173" hidden="1" customWidth="1"/>
    <col min="4361" max="4361" width="9.140625" style="1173"/>
    <col min="4362" max="4362" width="4.140625" style="1173" customWidth="1"/>
    <col min="4363" max="4607" width="9.140625" style="1173"/>
    <col min="4608" max="4608" width="2.7109375" style="1173" bestFit="1" customWidth="1"/>
    <col min="4609" max="4609" width="41.140625" style="1173" customWidth="1"/>
    <col min="4610" max="4610" width="12.85546875" style="1173" customWidth="1"/>
    <col min="4611" max="4612" width="10.42578125" style="1173" bestFit="1" customWidth="1"/>
    <col min="4613" max="4613" width="9.42578125" style="1173" bestFit="1" customWidth="1"/>
    <col min="4614" max="4615" width="10.42578125" style="1173" bestFit="1" customWidth="1"/>
    <col min="4616" max="4616" width="0" style="1173" hidden="1" customWidth="1"/>
    <col min="4617" max="4617" width="9.140625" style="1173"/>
    <col min="4618" max="4618" width="4.140625" style="1173" customWidth="1"/>
    <col min="4619" max="4863" width="9.140625" style="1173"/>
    <col min="4864" max="4864" width="2.7109375" style="1173" bestFit="1" customWidth="1"/>
    <col min="4865" max="4865" width="41.140625" style="1173" customWidth="1"/>
    <col min="4866" max="4866" width="12.85546875" style="1173" customWidth="1"/>
    <col min="4867" max="4868" width="10.42578125" style="1173" bestFit="1" customWidth="1"/>
    <col min="4869" max="4869" width="9.42578125" style="1173" bestFit="1" customWidth="1"/>
    <col min="4870" max="4871" width="10.42578125" style="1173" bestFit="1" customWidth="1"/>
    <col min="4872" max="4872" width="0" style="1173" hidden="1" customWidth="1"/>
    <col min="4873" max="4873" width="9.140625" style="1173"/>
    <col min="4874" max="4874" width="4.140625" style="1173" customWidth="1"/>
    <col min="4875" max="5119" width="9.140625" style="1173"/>
    <col min="5120" max="5120" width="2.7109375" style="1173" bestFit="1" customWidth="1"/>
    <col min="5121" max="5121" width="41.140625" style="1173" customWidth="1"/>
    <col min="5122" max="5122" width="12.85546875" style="1173" customWidth="1"/>
    <col min="5123" max="5124" width="10.42578125" style="1173" bestFit="1" customWidth="1"/>
    <col min="5125" max="5125" width="9.42578125" style="1173" bestFit="1" customWidth="1"/>
    <col min="5126" max="5127" width="10.42578125" style="1173" bestFit="1" customWidth="1"/>
    <col min="5128" max="5128" width="0" style="1173" hidden="1" customWidth="1"/>
    <col min="5129" max="5129" width="9.140625" style="1173"/>
    <col min="5130" max="5130" width="4.140625" style="1173" customWidth="1"/>
    <col min="5131" max="5375" width="9.140625" style="1173"/>
    <col min="5376" max="5376" width="2.7109375" style="1173" bestFit="1" customWidth="1"/>
    <col min="5377" max="5377" width="41.140625" style="1173" customWidth="1"/>
    <col min="5378" max="5378" width="12.85546875" style="1173" customWidth="1"/>
    <col min="5379" max="5380" width="10.42578125" style="1173" bestFit="1" customWidth="1"/>
    <col min="5381" max="5381" width="9.42578125" style="1173" bestFit="1" customWidth="1"/>
    <col min="5382" max="5383" width="10.42578125" style="1173" bestFit="1" customWidth="1"/>
    <col min="5384" max="5384" width="0" style="1173" hidden="1" customWidth="1"/>
    <col min="5385" max="5385" width="9.140625" style="1173"/>
    <col min="5386" max="5386" width="4.140625" style="1173" customWidth="1"/>
    <col min="5387" max="5631" width="9.140625" style="1173"/>
    <col min="5632" max="5632" width="2.7109375" style="1173" bestFit="1" customWidth="1"/>
    <col min="5633" max="5633" width="41.140625" style="1173" customWidth="1"/>
    <col min="5634" max="5634" width="12.85546875" style="1173" customWidth="1"/>
    <col min="5635" max="5636" width="10.42578125" style="1173" bestFit="1" customWidth="1"/>
    <col min="5637" max="5637" width="9.42578125" style="1173" bestFit="1" customWidth="1"/>
    <col min="5638" max="5639" width="10.42578125" style="1173" bestFit="1" customWidth="1"/>
    <col min="5640" max="5640" width="0" style="1173" hidden="1" customWidth="1"/>
    <col min="5641" max="5641" width="9.140625" style="1173"/>
    <col min="5642" max="5642" width="4.140625" style="1173" customWidth="1"/>
    <col min="5643" max="5887" width="9.140625" style="1173"/>
    <col min="5888" max="5888" width="2.7109375" style="1173" bestFit="1" customWidth="1"/>
    <col min="5889" max="5889" width="41.140625" style="1173" customWidth="1"/>
    <col min="5890" max="5890" width="12.85546875" style="1173" customWidth="1"/>
    <col min="5891" max="5892" width="10.42578125" style="1173" bestFit="1" customWidth="1"/>
    <col min="5893" max="5893" width="9.42578125" style="1173" bestFit="1" customWidth="1"/>
    <col min="5894" max="5895" width="10.42578125" style="1173" bestFit="1" customWidth="1"/>
    <col min="5896" max="5896" width="0" style="1173" hidden="1" customWidth="1"/>
    <col min="5897" max="5897" width="9.140625" style="1173"/>
    <col min="5898" max="5898" width="4.140625" style="1173" customWidth="1"/>
    <col min="5899" max="6143" width="9.140625" style="1173"/>
    <col min="6144" max="6144" width="2.7109375" style="1173" bestFit="1" customWidth="1"/>
    <col min="6145" max="6145" width="41.140625" style="1173" customWidth="1"/>
    <col min="6146" max="6146" width="12.85546875" style="1173" customWidth="1"/>
    <col min="6147" max="6148" width="10.42578125" style="1173" bestFit="1" customWidth="1"/>
    <col min="6149" max="6149" width="9.42578125" style="1173" bestFit="1" customWidth="1"/>
    <col min="6150" max="6151" width="10.42578125" style="1173" bestFit="1" customWidth="1"/>
    <col min="6152" max="6152" width="0" style="1173" hidden="1" customWidth="1"/>
    <col min="6153" max="6153" width="9.140625" style="1173"/>
    <col min="6154" max="6154" width="4.140625" style="1173" customWidth="1"/>
    <col min="6155" max="6399" width="9.140625" style="1173"/>
    <col min="6400" max="6400" width="2.7109375" style="1173" bestFit="1" customWidth="1"/>
    <col min="6401" max="6401" width="41.140625" style="1173" customWidth="1"/>
    <col min="6402" max="6402" width="12.85546875" style="1173" customWidth="1"/>
    <col min="6403" max="6404" width="10.42578125" style="1173" bestFit="1" customWidth="1"/>
    <col min="6405" max="6405" width="9.42578125" style="1173" bestFit="1" customWidth="1"/>
    <col min="6406" max="6407" width="10.42578125" style="1173" bestFit="1" customWidth="1"/>
    <col min="6408" max="6408" width="0" style="1173" hidden="1" customWidth="1"/>
    <col min="6409" max="6409" width="9.140625" style="1173"/>
    <col min="6410" max="6410" width="4.140625" style="1173" customWidth="1"/>
    <col min="6411" max="6655" width="9.140625" style="1173"/>
    <col min="6656" max="6656" width="2.7109375" style="1173" bestFit="1" customWidth="1"/>
    <col min="6657" max="6657" width="41.140625" style="1173" customWidth="1"/>
    <col min="6658" max="6658" width="12.85546875" style="1173" customWidth="1"/>
    <col min="6659" max="6660" width="10.42578125" style="1173" bestFit="1" customWidth="1"/>
    <col min="6661" max="6661" width="9.42578125" style="1173" bestFit="1" customWidth="1"/>
    <col min="6662" max="6663" width="10.42578125" style="1173" bestFit="1" customWidth="1"/>
    <col min="6664" max="6664" width="0" style="1173" hidden="1" customWidth="1"/>
    <col min="6665" max="6665" width="9.140625" style="1173"/>
    <col min="6666" max="6666" width="4.140625" style="1173" customWidth="1"/>
    <col min="6667" max="6911" width="9.140625" style="1173"/>
    <col min="6912" max="6912" width="2.7109375" style="1173" bestFit="1" customWidth="1"/>
    <col min="6913" max="6913" width="41.140625" style="1173" customWidth="1"/>
    <col min="6914" max="6914" width="12.85546875" style="1173" customWidth="1"/>
    <col min="6915" max="6916" width="10.42578125" style="1173" bestFit="1" customWidth="1"/>
    <col min="6917" max="6917" width="9.42578125" style="1173" bestFit="1" customWidth="1"/>
    <col min="6918" max="6919" width="10.42578125" style="1173" bestFit="1" customWidth="1"/>
    <col min="6920" max="6920" width="0" style="1173" hidden="1" customWidth="1"/>
    <col min="6921" max="6921" width="9.140625" style="1173"/>
    <col min="6922" max="6922" width="4.140625" style="1173" customWidth="1"/>
    <col min="6923" max="7167" width="9.140625" style="1173"/>
    <col min="7168" max="7168" width="2.7109375" style="1173" bestFit="1" customWidth="1"/>
    <col min="7169" max="7169" width="41.140625" style="1173" customWidth="1"/>
    <col min="7170" max="7170" width="12.85546875" style="1173" customWidth="1"/>
    <col min="7171" max="7172" width="10.42578125" style="1173" bestFit="1" customWidth="1"/>
    <col min="7173" max="7173" width="9.42578125" style="1173" bestFit="1" customWidth="1"/>
    <col min="7174" max="7175" width="10.42578125" style="1173" bestFit="1" customWidth="1"/>
    <col min="7176" max="7176" width="0" style="1173" hidden="1" customWidth="1"/>
    <col min="7177" max="7177" width="9.140625" style="1173"/>
    <col min="7178" max="7178" width="4.140625" style="1173" customWidth="1"/>
    <col min="7179" max="7423" width="9.140625" style="1173"/>
    <col min="7424" max="7424" width="2.7109375" style="1173" bestFit="1" customWidth="1"/>
    <col min="7425" max="7425" width="41.140625" style="1173" customWidth="1"/>
    <col min="7426" max="7426" width="12.85546875" style="1173" customWidth="1"/>
    <col min="7427" max="7428" width="10.42578125" style="1173" bestFit="1" customWidth="1"/>
    <col min="7429" max="7429" width="9.42578125" style="1173" bestFit="1" customWidth="1"/>
    <col min="7430" max="7431" width="10.42578125" style="1173" bestFit="1" customWidth="1"/>
    <col min="7432" max="7432" width="0" style="1173" hidden="1" customWidth="1"/>
    <col min="7433" max="7433" width="9.140625" style="1173"/>
    <col min="7434" max="7434" width="4.140625" style="1173" customWidth="1"/>
    <col min="7435" max="7679" width="9.140625" style="1173"/>
    <col min="7680" max="7680" width="2.7109375" style="1173" bestFit="1" customWidth="1"/>
    <col min="7681" max="7681" width="41.140625" style="1173" customWidth="1"/>
    <col min="7682" max="7682" width="12.85546875" style="1173" customWidth="1"/>
    <col min="7683" max="7684" width="10.42578125" style="1173" bestFit="1" customWidth="1"/>
    <col min="7685" max="7685" width="9.42578125" style="1173" bestFit="1" customWidth="1"/>
    <col min="7686" max="7687" width="10.42578125" style="1173" bestFit="1" customWidth="1"/>
    <col min="7688" max="7688" width="0" style="1173" hidden="1" customWidth="1"/>
    <col min="7689" max="7689" width="9.140625" style="1173"/>
    <col min="7690" max="7690" width="4.140625" style="1173" customWidth="1"/>
    <col min="7691" max="7935" width="9.140625" style="1173"/>
    <col min="7936" max="7936" width="2.7109375" style="1173" bestFit="1" customWidth="1"/>
    <col min="7937" max="7937" width="41.140625" style="1173" customWidth="1"/>
    <col min="7938" max="7938" width="12.85546875" style="1173" customWidth="1"/>
    <col min="7939" max="7940" width="10.42578125" style="1173" bestFit="1" customWidth="1"/>
    <col min="7941" max="7941" width="9.42578125" style="1173" bestFit="1" customWidth="1"/>
    <col min="7942" max="7943" width="10.42578125" style="1173" bestFit="1" customWidth="1"/>
    <col min="7944" max="7944" width="0" style="1173" hidden="1" customWidth="1"/>
    <col min="7945" max="7945" width="9.140625" style="1173"/>
    <col min="7946" max="7946" width="4.140625" style="1173" customWidth="1"/>
    <col min="7947" max="8191" width="9.140625" style="1173"/>
    <col min="8192" max="8192" width="2.7109375" style="1173" bestFit="1" customWidth="1"/>
    <col min="8193" max="8193" width="41.140625" style="1173" customWidth="1"/>
    <col min="8194" max="8194" width="12.85546875" style="1173" customWidth="1"/>
    <col min="8195" max="8196" width="10.42578125" style="1173" bestFit="1" customWidth="1"/>
    <col min="8197" max="8197" width="9.42578125" style="1173" bestFit="1" customWidth="1"/>
    <col min="8198" max="8199" width="10.42578125" style="1173" bestFit="1" customWidth="1"/>
    <col min="8200" max="8200" width="0" style="1173" hidden="1" customWidth="1"/>
    <col min="8201" max="8201" width="9.140625" style="1173"/>
    <col min="8202" max="8202" width="4.140625" style="1173" customWidth="1"/>
    <col min="8203" max="8447" width="9.140625" style="1173"/>
    <col min="8448" max="8448" width="2.7109375" style="1173" bestFit="1" customWidth="1"/>
    <col min="8449" max="8449" width="41.140625" style="1173" customWidth="1"/>
    <col min="8450" max="8450" width="12.85546875" style="1173" customWidth="1"/>
    <col min="8451" max="8452" width="10.42578125" style="1173" bestFit="1" customWidth="1"/>
    <col min="8453" max="8453" width="9.42578125" style="1173" bestFit="1" customWidth="1"/>
    <col min="8454" max="8455" width="10.42578125" style="1173" bestFit="1" customWidth="1"/>
    <col min="8456" max="8456" width="0" style="1173" hidden="1" customWidth="1"/>
    <col min="8457" max="8457" width="9.140625" style="1173"/>
    <col min="8458" max="8458" width="4.140625" style="1173" customWidth="1"/>
    <col min="8459" max="8703" width="9.140625" style="1173"/>
    <col min="8704" max="8704" width="2.7109375" style="1173" bestFit="1" customWidth="1"/>
    <col min="8705" max="8705" width="41.140625" style="1173" customWidth="1"/>
    <col min="8706" max="8706" width="12.85546875" style="1173" customWidth="1"/>
    <col min="8707" max="8708" width="10.42578125" style="1173" bestFit="1" customWidth="1"/>
    <col min="8709" max="8709" width="9.42578125" style="1173" bestFit="1" customWidth="1"/>
    <col min="8710" max="8711" width="10.42578125" style="1173" bestFit="1" customWidth="1"/>
    <col min="8712" max="8712" width="0" style="1173" hidden="1" customWidth="1"/>
    <col min="8713" max="8713" width="9.140625" style="1173"/>
    <col min="8714" max="8714" width="4.140625" style="1173" customWidth="1"/>
    <col min="8715" max="8959" width="9.140625" style="1173"/>
    <col min="8960" max="8960" width="2.7109375" style="1173" bestFit="1" customWidth="1"/>
    <col min="8961" max="8961" width="41.140625" style="1173" customWidth="1"/>
    <col min="8962" max="8962" width="12.85546875" style="1173" customWidth="1"/>
    <col min="8963" max="8964" width="10.42578125" style="1173" bestFit="1" customWidth="1"/>
    <col min="8965" max="8965" width="9.42578125" style="1173" bestFit="1" customWidth="1"/>
    <col min="8966" max="8967" width="10.42578125" style="1173" bestFit="1" customWidth="1"/>
    <col min="8968" max="8968" width="0" style="1173" hidden="1" customWidth="1"/>
    <col min="8969" max="8969" width="9.140625" style="1173"/>
    <col min="8970" max="8970" width="4.140625" style="1173" customWidth="1"/>
    <col min="8971" max="9215" width="9.140625" style="1173"/>
    <col min="9216" max="9216" width="2.7109375" style="1173" bestFit="1" customWidth="1"/>
    <col min="9217" max="9217" width="41.140625" style="1173" customWidth="1"/>
    <col min="9218" max="9218" width="12.85546875" style="1173" customWidth="1"/>
    <col min="9219" max="9220" width="10.42578125" style="1173" bestFit="1" customWidth="1"/>
    <col min="9221" max="9221" width="9.42578125" style="1173" bestFit="1" customWidth="1"/>
    <col min="9222" max="9223" width="10.42578125" style="1173" bestFit="1" customWidth="1"/>
    <col min="9224" max="9224" width="0" style="1173" hidden="1" customWidth="1"/>
    <col min="9225" max="9225" width="9.140625" style="1173"/>
    <col min="9226" max="9226" width="4.140625" style="1173" customWidth="1"/>
    <col min="9227" max="9471" width="9.140625" style="1173"/>
    <col min="9472" max="9472" width="2.7109375" style="1173" bestFit="1" customWidth="1"/>
    <col min="9473" max="9473" width="41.140625" style="1173" customWidth="1"/>
    <col min="9474" max="9474" width="12.85546875" style="1173" customWidth="1"/>
    <col min="9475" max="9476" width="10.42578125" style="1173" bestFit="1" customWidth="1"/>
    <col min="9477" max="9477" width="9.42578125" style="1173" bestFit="1" customWidth="1"/>
    <col min="9478" max="9479" width="10.42578125" style="1173" bestFit="1" customWidth="1"/>
    <col min="9480" max="9480" width="0" style="1173" hidden="1" customWidth="1"/>
    <col min="9481" max="9481" width="9.140625" style="1173"/>
    <col min="9482" max="9482" width="4.140625" style="1173" customWidth="1"/>
    <col min="9483" max="9727" width="9.140625" style="1173"/>
    <col min="9728" max="9728" width="2.7109375" style="1173" bestFit="1" customWidth="1"/>
    <col min="9729" max="9729" width="41.140625" style="1173" customWidth="1"/>
    <col min="9730" max="9730" width="12.85546875" style="1173" customWidth="1"/>
    <col min="9731" max="9732" width="10.42578125" style="1173" bestFit="1" customWidth="1"/>
    <col min="9733" max="9733" width="9.42578125" style="1173" bestFit="1" customWidth="1"/>
    <col min="9734" max="9735" width="10.42578125" style="1173" bestFit="1" customWidth="1"/>
    <col min="9736" max="9736" width="0" style="1173" hidden="1" customWidth="1"/>
    <col min="9737" max="9737" width="9.140625" style="1173"/>
    <col min="9738" max="9738" width="4.140625" style="1173" customWidth="1"/>
    <col min="9739" max="9983" width="9.140625" style="1173"/>
    <col min="9984" max="9984" width="2.7109375" style="1173" bestFit="1" customWidth="1"/>
    <col min="9985" max="9985" width="41.140625" style="1173" customWidth="1"/>
    <col min="9986" max="9986" width="12.85546875" style="1173" customWidth="1"/>
    <col min="9987" max="9988" width="10.42578125" style="1173" bestFit="1" customWidth="1"/>
    <col min="9989" max="9989" width="9.42578125" style="1173" bestFit="1" customWidth="1"/>
    <col min="9990" max="9991" width="10.42578125" style="1173" bestFit="1" customWidth="1"/>
    <col min="9992" max="9992" width="0" style="1173" hidden="1" customWidth="1"/>
    <col min="9993" max="9993" width="9.140625" style="1173"/>
    <col min="9994" max="9994" width="4.140625" style="1173" customWidth="1"/>
    <col min="9995" max="10239" width="9.140625" style="1173"/>
    <col min="10240" max="10240" width="2.7109375" style="1173" bestFit="1" customWidth="1"/>
    <col min="10241" max="10241" width="41.140625" style="1173" customWidth="1"/>
    <col min="10242" max="10242" width="12.85546875" style="1173" customWidth="1"/>
    <col min="10243" max="10244" width="10.42578125" style="1173" bestFit="1" customWidth="1"/>
    <col min="10245" max="10245" width="9.42578125" style="1173" bestFit="1" customWidth="1"/>
    <col min="10246" max="10247" width="10.42578125" style="1173" bestFit="1" customWidth="1"/>
    <col min="10248" max="10248" width="0" style="1173" hidden="1" customWidth="1"/>
    <col min="10249" max="10249" width="9.140625" style="1173"/>
    <col min="10250" max="10250" width="4.140625" style="1173" customWidth="1"/>
    <col min="10251" max="10495" width="9.140625" style="1173"/>
    <col min="10496" max="10496" width="2.7109375" style="1173" bestFit="1" customWidth="1"/>
    <col min="10497" max="10497" width="41.140625" style="1173" customWidth="1"/>
    <col min="10498" max="10498" width="12.85546875" style="1173" customWidth="1"/>
    <col min="10499" max="10500" width="10.42578125" style="1173" bestFit="1" customWidth="1"/>
    <col min="10501" max="10501" width="9.42578125" style="1173" bestFit="1" customWidth="1"/>
    <col min="10502" max="10503" width="10.42578125" style="1173" bestFit="1" customWidth="1"/>
    <col min="10504" max="10504" width="0" style="1173" hidden="1" customWidth="1"/>
    <col min="10505" max="10505" width="9.140625" style="1173"/>
    <col min="10506" max="10506" width="4.140625" style="1173" customWidth="1"/>
    <col min="10507" max="10751" width="9.140625" style="1173"/>
    <col min="10752" max="10752" width="2.7109375" style="1173" bestFit="1" customWidth="1"/>
    <col min="10753" max="10753" width="41.140625" style="1173" customWidth="1"/>
    <col min="10754" max="10754" width="12.85546875" style="1173" customWidth="1"/>
    <col min="10755" max="10756" width="10.42578125" style="1173" bestFit="1" customWidth="1"/>
    <col min="10757" max="10757" width="9.42578125" style="1173" bestFit="1" customWidth="1"/>
    <col min="10758" max="10759" width="10.42578125" style="1173" bestFit="1" customWidth="1"/>
    <col min="10760" max="10760" width="0" style="1173" hidden="1" customWidth="1"/>
    <col min="10761" max="10761" width="9.140625" style="1173"/>
    <col min="10762" max="10762" width="4.140625" style="1173" customWidth="1"/>
    <col min="10763" max="11007" width="9.140625" style="1173"/>
    <col min="11008" max="11008" width="2.7109375" style="1173" bestFit="1" customWidth="1"/>
    <col min="11009" max="11009" width="41.140625" style="1173" customWidth="1"/>
    <col min="11010" max="11010" width="12.85546875" style="1173" customWidth="1"/>
    <col min="11011" max="11012" width="10.42578125" style="1173" bestFit="1" customWidth="1"/>
    <col min="11013" max="11013" width="9.42578125" style="1173" bestFit="1" customWidth="1"/>
    <col min="11014" max="11015" width="10.42578125" style="1173" bestFit="1" customWidth="1"/>
    <col min="11016" max="11016" width="0" style="1173" hidden="1" customWidth="1"/>
    <col min="11017" max="11017" width="9.140625" style="1173"/>
    <col min="11018" max="11018" width="4.140625" style="1173" customWidth="1"/>
    <col min="11019" max="11263" width="9.140625" style="1173"/>
    <col min="11264" max="11264" width="2.7109375" style="1173" bestFit="1" customWidth="1"/>
    <col min="11265" max="11265" width="41.140625" style="1173" customWidth="1"/>
    <col min="11266" max="11266" width="12.85546875" style="1173" customWidth="1"/>
    <col min="11267" max="11268" width="10.42578125" style="1173" bestFit="1" customWidth="1"/>
    <col min="11269" max="11269" width="9.42578125" style="1173" bestFit="1" customWidth="1"/>
    <col min="11270" max="11271" width="10.42578125" style="1173" bestFit="1" customWidth="1"/>
    <col min="11272" max="11272" width="0" style="1173" hidden="1" customWidth="1"/>
    <col min="11273" max="11273" width="9.140625" style="1173"/>
    <col min="11274" max="11274" width="4.140625" style="1173" customWidth="1"/>
    <col min="11275" max="11519" width="9.140625" style="1173"/>
    <col min="11520" max="11520" width="2.7109375" style="1173" bestFit="1" customWidth="1"/>
    <col min="11521" max="11521" width="41.140625" style="1173" customWidth="1"/>
    <col min="11522" max="11522" width="12.85546875" style="1173" customWidth="1"/>
    <col min="11523" max="11524" width="10.42578125" style="1173" bestFit="1" customWidth="1"/>
    <col min="11525" max="11525" width="9.42578125" style="1173" bestFit="1" customWidth="1"/>
    <col min="11526" max="11527" width="10.42578125" style="1173" bestFit="1" customWidth="1"/>
    <col min="11528" max="11528" width="0" style="1173" hidden="1" customWidth="1"/>
    <col min="11529" max="11529" width="9.140625" style="1173"/>
    <col min="11530" max="11530" width="4.140625" style="1173" customWidth="1"/>
    <col min="11531" max="11775" width="9.140625" style="1173"/>
    <col min="11776" max="11776" width="2.7109375" style="1173" bestFit="1" customWidth="1"/>
    <col min="11777" max="11777" width="41.140625" style="1173" customWidth="1"/>
    <col min="11778" max="11778" width="12.85546875" style="1173" customWidth="1"/>
    <col min="11779" max="11780" width="10.42578125" style="1173" bestFit="1" customWidth="1"/>
    <col min="11781" max="11781" width="9.42578125" style="1173" bestFit="1" customWidth="1"/>
    <col min="11782" max="11783" width="10.42578125" style="1173" bestFit="1" customWidth="1"/>
    <col min="11784" max="11784" width="0" style="1173" hidden="1" customWidth="1"/>
    <col min="11785" max="11785" width="9.140625" style="1173"/>
    <col min="11786" max="11786" width="4.140625" style="1173" customWidth="1"/>
    <col min="11787" max="12031" width="9.140625" style="1173"/>
    <col min="12032" max="12032" width="2.7109375" style="1173" bestFit="1" customWidth="1"/>
    <col min="12033" max="12033" width="41.140625" style="1173" customWidth="1"/>
    <col min="12034" max="12034" width="12.85546875" style="1173" customWidth="1"/>
    <col min="12035" max="12036" width="10.42578125" style="1173" bestFit="1" customWidth="1"/>
    <col min="12037" max="12037" width="9.42578125" style="1173" bestFit="1" customWidth="1"/>
    <col min="12038" max="12039" width="10.42578125" style="1173" bestFit="1" customWidth="1"/>
    <col min="12040" max="12040" width="0" style="1173" hidden="1" customWidth="1"/>
    <col min="12041" max="12041" width="9.140625" style="1173"/>
    <col min="12042" max="12042" width="4.140625" style="1173" customWidth="1"/>
    <col min="12043" max="12287" width="9.140625" style="1173"/>
    <col min="12288" max="12288" width="2.7109375" style="1173" bestFit="1" customWidth="1"/>
    <col min="12289" max="12289" width="41.140625" style="1173" customWidth="1"/>
    <col min="12290" max="12290" width="12.85546875" style="1173" customWidth="1"/>
    <col min="12291" max="12292" width="10.42578125" style="1173" bestFit="1" customWidth="1"/>
    <col min="12293" max="12293" width="9.42578125" style="1173" bestFit="1" customWidth="1"/>
    <col min="12294" max="12295" width="10.42578125" style="1173" bestFit="1" customWidth="1"/>
    <col min="12296" max="12296" width="0" style="1173" hidden="1" customWidth="1"/>
    <col min="12297" max="12297" width="9.140625" style="1173"/>
    <col min="12298" max="12298" width="4.140625" style="1173" customWidth="1"/>
    <col min="12299" max="12543" width="9.140625" style="1173"/>
    <col min="12544" max="12544" width="2.7109375" style="1173" bestFit="1" customWidth="1"/>
    <col min="12545" max="12545" width="41.140625" style="1173" customWidth="1"/>
    <col min="12546" max="12546" width="12.85546875" style="1173" customWidth="1"/>
    <col min="12547" max="12548" width="10.42578125" style="1173" bestFit="1" customWidth="1"/>
    <col min="12549" max="12549" width="9.42578125" style="1173" bestFit="1" customWidth="1"/>
    <col min="12550" max="12551" width="10.42578125" style="1173" bestFit="1" customWidth="1"/>
    <col min="12552" max="12552" width="0" style="1173" hidden="1" customWidth="1"/>
    <col min="12553" max="12553" width="9.140625" style="1173"/>
    <col min="12554" max="12554" width="4.140625" style="1173" customWidth="1"/>
    <col min="12555" max="12799" width="9.140625" style="1173"/>
    <col min="12800" max="12800" width="2.7109375" style="1173" bestFit="1" customWidth="1"/>
    <col min="12801" max="12801" width="41.140625" style="1173" customWidth="1"/>
    <col min="12802" max="12802" width="12.85546875" style="1173" customWidth="1"/>
    <col min="12803" max="12804" width="10.42578125" style="1173" bestFit="1" customWidth="1"/>
    <col min="12805" max="12805" width="9.42578125" style="1173" bestFit="1" customWidth="1"/>
    <col min="12806" max="12807" width="10.42578125" style="1173" bestFit="1" customWidth="1"/>
    <col min="12808" max="12808" width="0" style="1173" hidden="1" customWidth="1"/>
    <col min="12809" max="12809" width="9.140625" style="1173"/>
    <col min="12810" max="12810" width="4.140625" style="1173" customWidth="1"/>
    <col min="12811" max="13055" width="9.140625" style="1173"/>
    <col min="13056" max="13056" width="2.7109375" style="1173" bestFit="1" customWidth="1"/>
    <col min="13057" max="13057" width="41.140625" style="1173" customWidth="1"/>
    <col min="13058" max="13058" width="12.85546875" style="1173" customWidth="1"/>
    <col min="13059" max="13060" width="10.42578125" style="1173" bestFit="1" customWidth="1"/>
    <col min="13061" max="13061" width="9.42578125" style="1173" bestFit="1" customWidth="1"/>
    <col min="13062" max="13063" width="10.42578125" style="1173" bestFit="1" customWidth="1"/>
    <col min="13064" max="13064" width="0" style="1173" hidden="1" customWidth="1"/>
    <col min="13065" max="13065" width="9.140625" style="1173"/>
    <col min="13066" max="13066" width="4.140625" style="1173" customWidth="1"/>
    <col min="13067" max="13311" width="9.140625" style="1173"/>
    <col min="13312" max="13312" width="2.7109375" style="1173" bestFit="1" customWidth="1"/>
    <col min="13313" max="13313" width="41.140625" style="1173" customWidth="1"/>
    <col min="13314" max="13314" width="12.85546875" style="1173" customWidth="1"/>
    <col min="13315" max="13316" width="10.42578125" style="1173" bestFit="1" customWidth="1"/>
    <col min="13317" max="13317" width="9.42578125" style="1173" bestFit="1" customWidth="1"/>
    <col min="13318" max="13319" width="10.42578125" style="1173" bestFit="1" customWidth="1"/>
    <col min="13320" max="13320" width="0" style="1173" hidden="1" customWidth="1"/>
    <col min="13321" max="13321" width="9.140625" style="1173"/>
    <col min="13322" max="13322" width="4.140625" style="1173" customWidth="1"/>
    <col min="13323" max="13567" width="9.140625" style="1173"/>
    <col min="13568" max="13568" width="2.7109375" style="1173" bestFit="1" customWidth="1"/>
    <col min="13569" max="13569" width="41.140625" style="1173" customWidth="1"/>
    <col min="13570" max="13570" width="12.85546875" style="1173" customWidth="1"/>
    <col min="13571" max="13572" width="10.42578125" style="1173" bestFit="1" customWidth="1"/>
    <col min="13573" max="13573" width="9.42578125" style="1173" bestFit="1" customWidth="1"/>
    <col min="13574" max="13575" width="10.42578125" style="1173" bestFit="1" customWidth="1"/>
    <col min="13576" max="13576" width="0" style="1173" hidden="1" customWidth="1"/>
    <col min="13577" max="13577" width="9.140625" style="1173"/>
    <col min="13578" max="13578" width="4.140625" style="1173" customWidth="1"/>
    <col min="13579" max="13823" width="9.140625" style="1173"/>
    <col min="13824" max="13824" width="2.7109375" style="1173" bestFit="1" customWidth="1"/>
    <col min="13825" max="13825" width="41.140625" style="1173" customWidth="1"/>
    <col min="13826" max="13826" width="12.85546875" style="1173" customWidth="1"/>
    <col min="13827" max="13828" width="10.42578125" style="1173" bestFit="1" customWidth="1"/>
    <col min="13829" max="13829" width="9.42578125" style="1173" bestFit="1" customWidth="1"/>
    <col min="13830" max="13831" width="10.42578125" style="1173" bestFit="1" customWidth="1"/>
    <col min="13832" max="13832" width="0" style="1173" hidden="1" customWidth="1"/>
    <col min="13833" max="13833" width="9.140625" style="1173"/>
    <col min="13834" max="13834" width="4.140625" style="1173" customWidth="1"/>
    <col min="13835" max="14079" width="9.140625" style="1173"/>
    <col min="14080" max="14080" width="2.7109375" style="1173" bestFit="1" customWidth="1"/>
    <col min="14081" max="14081" width="41.140625" style="1173" customWidth="1"/>
    <col min="14082" max="14082" width="12.85546875" style="1173" customWidth="1"/>
    <col min="14083" max="14084" width="10.42578125" style="1173" bestFit="1" customWidth="1"/>
    <col min="14085" max="14085" width="9.42578125" style="1173" bestFit="1" customWidth="1"/>
    <col min="14086" max="14087" width="10.42578125" style="1173" bestFit="1" customWidth="1"/>
    <col min="14088" max="14088" width="0" style="1173" hidden="1" customWidth="1"/>
    <col min="14089" max="14089" width="9.140625" style="1173"/>
    <col min="14090" max="14090" width="4.140625" style="1173" customWidth="1"/>
    <col min="14091" max="14335" width="9.140625" style="1173"/>
    <col min="14336" max="14336" width="2.7109375" style="1173" bestFit="1" customWidth="1"/>
    <col min="14337" max="14337" width="41.140625" style="1173" customWidth="1"/>
    <col min="14338" max="14338" width="12.85546875" style="1173" customWidth="1"/>
    <col min="14339" max="14340" width="10.42578125" style="1173" bestFit="1" customWidth="1"/>
    <col min="14341" max="14341" width="9.42578125" style="1173" bestFit="1" customWidth="1"/>
    <col min="14342" max="14343" width="10.42578125" style="1173" bestFit="1" customWidth="1"/>
    <col min="14344" max="14344" width="0" style="1173" hidden="1" customWidth="1"/>
    <col min="14345" max="14345" width="9.140625" style="1173"/>
    <col min="14346" max="14346" width="4.140625" style="1173" customWidth="1"/>
    <col min="14347" max="14591" width="9.140625" style="1173"/>
    <col min="14592" max="14592" width="2.7109375" style="1173" bestFit="1" customWidth="1"/>
    <col min="14593" max="14593" width="41.140625" style="1173" customWidth="1"/>
    <col min="14594" max="14594" width="12.85546875" style="1173" customWidth="1"/>
    <col min="14595" max="14596" width="10.42578125" style="1173" bestFit="1" customWidth="1"/>
    <col min="14597" max="14597" width="9.42578125" style="1173" bestFit="1" customWidth="1"/>
    <col min="14598" max="14599" width="10.42578125" style="1173" bestFit="1" customWidth="1"/>
    <col min="14600" max="14600" width="0" style="1173" hidden="1" customWidth="1"/>
    <col min="14601" max="14601" width="9.140625" style="1173"/>
    <col min="14602" max="14602" width="4.140625" style="1173" customWidth="1"/>
    <col min="14603" max="14847" width="9.140625" style="1173"/>
    <col min="14848" max="14848" width="2.7109375" style="1173" bestFit="1" customWidth="1"/>
    <col min="14849" max="14849" width="41.140625" style="1173" customWidth="1"/>
    <col min="14850" max="14850" width="12.85546875" style="1173" customWidth="1"/>
    <col min="14851" max="14852" width="10.42578125" style="1173" bestFit="1" customWidth="1"/>
    <col min="14853" max="14853" width="9.42578125" style="1173" bestFit="1" customWidth="1"/>
    <col min="14854" max="14855" width="10.42578125" style="1173" bestFit="1" customWidth="1"/>
    <col min="14856" max="14856" width="0" style="1173" hidden="1" customWidth="1"/>
    <col min="14857" max="14857" width="9.140625" style="1173"/>
    <col min="14858" max="14858" width="4.140625" style="1173" customWidth="1"/>
    <col min="14859" max="15103" width="9.140625" style="1173"/>
    <col min="15104" max="15104" width="2.7109375" style="1173" bestFit="1" customWidth="1"/>
    <col min="15105" max="15105" width="41.140625" style="1173" customWidth="1"/>
    <col min="15106" max="15106" width="12.85546875" style="1173" customWidth="1"/>
    <col min="15107" max="15108" width="10.42578125" style="1173" bestFit="1" customWidth="1"/>
    <col min="15109" max="15109" width="9.42578125" style="1173" bestFit="1" customWidth="1"/>
    <col min="15110" max="15111" width="10.42578125" style="1173" bestFit="1" customWidth="1"/>
    <col min="15112" max="15112" width="0" style="1173" hidden="1" customWidth="1"/>
    <col min="15113" max="15113" width="9.140625" style="1173"/>
    <col min="15114" max="15114" width="4.140625" style="1173" customWidth="1"/>
    <col min="15115" max="15359" width="9.140625" style="1173"/>
    <col min="15360" max="15360" width="2.7109375" style="1173" bestFit="1" customWidth="1"/>
    <col min="15361" max="15361" width="41.140625" style="1173" customWidth="1"/>
    <col min="15362" max="15362" width="12.85546875" style="1173" customWidth="1"/>
    <col min="15363" max="15364" width="10.42578125" style="1173" bestFit="1" customWidth="1"/>
    <col min="15365" max="15365" width="9.42578125" style="1173" bestFit="1" customWidth="1"/>
    <col min="15366" max="15367" width="10.42578125" style="1173" bestFit="1" customWidth="1"/>
    <col min="15368" max="15368" width="0" style="1173" hidden="1" customWidth="1"/>
    <col min="15369" max="15369" width="9.140625" style="1173"/>
    <col min="15370" max="15370" width="4.140625" style="1173" customWidth="1"/>
    <col min="15371" max="15615" width="9.140625" style="1173"/>
    <col min="15616" max="15616" width="2.7109375" style="1173" bestFit="1" customWidth="1"/>
    <col min="15617" max="15617" width="41.140625" style="1173" customWidth="1"/>
    <col min="15618" max="15618" width="12.85546875" style="1173" customWidth="1"/>
    <col min="15619" max="15620" width="10.42578125" style="1173" bestFit="1" customWidth="1"/>
    <col min="15621" max="15621" width="9.42578125" style="1173" bestFit="1" customWidth="1"/>
    <col min="15622" max="15623" width="10.42578125" style="1173" bestFit="1" customWidth="1"/>
    <col min="15624" max="15624" width="0" style="1173" hidden="1" customWidth="1"/>
    <col min="15625" max="15625" width="9.140625" style="1173"/>
    <col min="15626" max="15626" width="4.140625" style="1173" customWidth="1"/>
    <col min="15627" max="15871" width="9.140625" style="1173"/>
    <col min="15872" max="15872" width="2.7109375" style="1173" bestFit="1" customWidth="1"/>
    <col min="15873" max="15873" width="41.140625" style="1173" customWidth="1"/>
    <col min="15874" max="15874" width="12.85546875" style="1173" customWidth="1"/>
    <col min="15875" max="15876" width="10.42578125" style="1173" bestFit="1" customWidth="1"/>
    <col min="15877" max="15877" width="9.42578125" style="1173" bestFit="1" customWidth="1"/>
    <col min="15878" max="15879" width="10.42578125" style="1173" bestFit="1" customWidth="1"/>
    <col min="15880" max="15880" width="0" style="1173" hidden="1" customWidth="1"/>
    <col min="15881" max="15881" width="9.140625" style="1173"/>
    <col min="15882" max="15882" width="4.140625" style="1173" customWidth="1"/>
    <col min="15883" max="16127" width="9.140625" style="1173"/>
    <col min="16128" max="16128" width="2.7109375" style="1173" bestFit="1" customWidth="1"/>
    <col min="16129" max="16129" width="41.140625" style="1173" customWidth="1"/>
    <col min="16130" max="16130" width="12.85546875" style="1173" customWidth="1"/>
    <col min="16131" max="16132" width="10.42578125" style="1173" bestFit="1" customWidth="1"/>
    <col min="16133" max="16133" width="9.42578125" style="1173" bestFit="1" customWidth="1"/>
    <col min="16134" max="16135" width="10.42578125" style="1173" bestFit="1" customWidth="1"/>
    <col min="16136" max="16136" width="0" style="1173" hidden="1" customWidth="1"/>
    <col min="16137" max="16137" width="9.140625" style="1173"/>
    <col min="16138" max="16138" width="4.140625" style="1173" customWidth="1"/>
    <col min="16139" max="16384" width="9.140625" style="1173"/>
  </cols>
  <sheetData>
    <row r="1" spans="1:9" s="988" customFormat="1" ht="36" customHeight="1" thickBot="1">
      <c r="A1" s="3269" t="s">
        <v>717</v>
      </c>
      <c r="B1" s="3269"/>
      <c r="C1" s="3269"/>
      <c r="D1" s="3269"/>
      <c r="E1" s="3269"/>
      <c r="F1" s="3269"/>
      <c r="G1" s="3269"/>
    </row>
    <row r="2" spans="1:9" s="988" customFormat="1" ht="15.75">
      <c r="A2" s="1131"/>
      <c r="B2" s="1132"/>
      <c r="C2" s="1133"/>
      <c r="D2" s="3270" t="s">
        <v>697</v>
      </c>
      <c r="E2" s="3271"/>
      <c r="F2" s="3270" t="s">
        <v>697</v>
      </c>
      <c r="G2" s="3271"/>
    </row>
    <row r="3" spans="1:9" s="988" customFormat="1" ht="19.5" thickBot="1">
      <c r="A3" s="1134"/>
      <c r="B3" s="1135"/>
      <c r="C3" s="1136"/>
      <c r="D3" s="3265" t="s">
        <v>718</v>
      </c>
      <c r="E3" s="3266"/>
      <c r="F3" s="3265" t="s">
        <v>719</v>
      </c>
      <c r="G3" s="3266"/>
    </row>
    <row r="4" spans="1:9" s="988" customFormat="1" ht="16.5" customHeight="1">
      <c r="A4" s="1137">
        <v>1</v>
      </c>
      <c r="B4" s="3257" t="s">
        <v>720</v>
      </c>
      <c r="C4" s="3258"/>
      <c r="D4" s="3284">
        <v>1400</v>
      </c>
      <c r="E4" s="3285"/>
      <c r="F4" s="3286" t="s">
        <v>721</v>
      </c>
      <c r="G4" s="3287"/>
    </row>
    <row r="5" spans="1:9" s="988" customFormat="1" ht="16.5" customHeight="1">
      <c r="A5" s="1137">
        <v>2</v>
      </c>
      <c r="B5" s="3257" t="s">
        <v>722</v>
      </c>
      <c r="C5" s="3258"/>
      <c r="D5" s="3282">
        <v>2418.1999999999998</v>
      </c>
      <c r="E5" s="3283"/>
      <c r="F5" s="3282">
        <v>4814</v>
      </c>
      <c r="G5" s="3283"/>
    </row>
    <row r="6" spans="1:9" s="988" customFormat="1" ht="16.5" customHeight="1">
      <c r="A6" s="1137">
        <v>3</v>
      </c>
      <c r="B6" s="3257" t="s">
        <v>723</v>
      </c>
      <c r="C6" s="3258"/>
      <c r="D6" s="3282">
        <v>1400</v>
      </c>
      <c r="E6" s="3283"/>
      <c r="F6" s="3282">
        <v>1800</v>
      </c>
      <c r="G6" s="3283"/>
    </row>
    <row r="7" spans="1:9" s="988" customFormat="1" ht="16.5" customHeight="1">
      <c r="A7" s="1137">
        <v>4</v>
      </c>
      <c r="B7" s="3257" t="s">
        <v>724</v>
      </c>
      <c r="C7" s="3258"/>
      <c r="D7" s="3259">
        <v>6.8</v>
      </c>
      <c r="E7" s="3260"/>
      <c r="F7" s="3259">
        <v>6.75</v>
      </c>
      <c r="G7" s="3260"/>
    </row>
    <row r="8" spans="1:9" s="988" customFormat="1" ht="16.5" customHeight="1">
      <c r="A8" s="1137">
        <v>5</v>
      </c>
      <c r="B8" s="3257" t="s">
        <v>725</v>
      </c>
      <c r="C8" s="3258"/>
      <c r="D8" s="3259">
        <v>7.2</v>
      </c>
      <c r="E8" s="3260"/>
      <c r="F8" s="3259">
        <v>7</v>
      </c>
      <c r="G8" s="3260"/>
    </row>
    <row r="9" spans="1:9" s="988" customFormat="1" ht="16.5" customHeight="1">
      <c r="A9" s="1137">
        <v>6</v>
      </c>
      <c r="B9" s="3257" t="s">
        <v>726</v>
      </c>
      <c r="C9" s="3258"/>
      <c r="D9" s="3259">
        <v>7.07</v>
      </c>
      <c r="E9" s="3260"/>
      <c r="F9" s="3259">
        <v>6.91</v>
      </c>
      <c r="G9" s="3260"/>
    </row>
    <row r="10" spans="1:9" s="988" customFormat="1" ht="16.5" customHeight="1">
      <c r="A10" s="1137">
        <v>7</v>
      </c>
      <c r="B10" s="3257" t="s">
        <v>727</v>
      </c>
      <c r="C10" s="3258"/>
      <c r="D10" s="3267">
        <v>98.087000000000003</v>
      </c>
      <c r="E10" s="3268"/>
      <c r="F10" s="3267">
        <v>98.858000000000004</v>
      </c>
      <c r="G10" s="3268"/>
    </row>
    <row r="11" spans="1:9" s="988" customFormat="1" ht="16.5" thickBot="1">
      <c r="A11" s="1138"/>
      <c r="B11" s="1139"/>
      <c r="C11" s="1136"/>
      <c r="D11" s="3255"/>
      <c r="E11" s="3256"/>
      <c r="F11" s="1140"/>
      <c r="G11" s="1141"/>
    </row>
    <row r="12" spans="1:9" s="1144" customFormat="1" ht="18.75">
      <c r="A12" s="1064"/>
      <c r="B12" s="1142" t="s">
        <v>728</v>
      </c>
      <c r="C12" s="1142"/>
      <c r="D12" s="1142" t="s">
        <v>729</v>
      </c>
      <c r="E12" s="1142"/>
      <c r="F12" s="1142"/>
      <c r="G12" s="1142"/>
      <c r="H12" s="1143"/>
      <c r="I12" s="1143"/>
    </row>
    <row r="13" spans="1:9" s="988" customFormat="1" ht="12.75" customHeight="1">
      <c r="A13" s="1064"/>
      <c r="B13" s="1064"/>
      <c r="C13" s="1142"/>
      <c r="D13" s="1142" t="s">
        <v>730</v>
      </c>
      <c r="E13" s="1142"/>
      <c r="F13" s="1142"/>
      <c r="G13" s="1142"/>
      <c r="H13" s="1145"/>
      <c r="I13" s="1145"/>
    </row>
    <row r="14" spans="1:9" s="1024" customFormat="1" ht="12.75" customHeight="1">
      <c r="A14" s="1063" t="s">
        <v>680</v>
      </c>
      <c r="B14" s="1063"/>
      <c r="C14" s="1063"/>
      <c r="D14" s="1146" t="s">
        <v>731</v>
      </c>
      <c r="E14" s="1142"/>
      <c r="F14" s="1142"/>
      <c r="G14" s="1142"/>
      <c r="H14" s="1145"/>
      <c r="I14" s="1145"/>
    </row>
    <row r="15" spans="1:9" s="988" customFormat="1" ht="20.25" hidden="1" customHeight="1">
      <c r="A15" s="3275" t="s">
        <v>732</v>
      </c>
      <c r="B15" s="3275"/>
      <c r="C15" s="3275"/>
      <c r="D15" s="3275"/>
      <c r="E15" s="3275"/>
      <c r="F15" s="3275"/>
      <c r="G15" s="3275"/>
    </row>
    <row r="16" spans="1:9" s="988" customFormat="1" ht="3.75" hidden="1" customHeight="1">
      <c r="A16" s="1147"/>
      <c r="B16" s="1147"/>
      <c r="C16" s="1147"/>
      <c r="D16" s="1147"/>
      <c r="E16" s="1147"/>
      <c r="F16" s="1065"/>
      <c r="G16" s="1064"/>
    </row>
    <row r="17" spans="1:15" s="988" customFormat="1" ht="26.25" hidden="1" customHeight="1">
      <c r="A17" s="3276" t="s">
        <v>733</v>
      </c>
      <c r="B17" s="3277"/>
      <c r="C17" s="3280" t="s">
        <v>734</v>
      </c>
      <c r="D17" s="3280"/>
      <c r="E17" s="3281"/>
      <c r="F17" s="3280" t="s">
        <v>735</v>
      </c>
      <c r="G17" s="3280"/>
    </row>
    <row r="18" spans="1:15" s="988" customFormat="1" ht="23.25" hidden="1" customHeight="1">
      <c r="A18" s="3278"/>
      <c r="B18" s="3279"/>
      <c r="C18" s="1148" t="s">
        <v>736</v>
      </c>
      <c r="D18" s="1149" t="s">
        <v>737</v>
      </c>
      <c r="E18" s="1149" t="s">
        <v>738</v>
      </c>
      <c r="F18" s="1148" t="s">
        <v>736</v>
      </c>
      <c r="G18" s="1149" t="s">
        <v>737</v>
      </c>
    </row>
    <row r="19" spans="1:15" s="988" customFormat="1" ht="21.75" hidden="1" customHeight="1">
      <c r="A19" s="1150">
        <v>1</v>
      </c>
      <c r="B19" s="1151" t="s">
        <v>686</v>
      </c>
      <c r="C19" s="1152">
        <v>545.70000000000005</v>
      </c>
      <c r="D19" s="1153">
        <v>497.7</v>
      </c>
      <c r="E19" s="1154">
        <v>419</v>
      </c>
      <c r="F19" s="1152">
        <v>623.79999999999995</v>
      </c>
      <c r="G19" s="1153">
        <v>421.1</v>
      </c>
    </row>
    <row r="20" spans="1:15" s="988" customFormat="1" ht="21.75" hidden="1" customHeight="1">
      <c r="A20" s="1150">
        <v>2</v>
      </c>
      <c r="B20" s="1151" t="s">
        <v>687</v>
      </c>
      <c r="C20" s="1155">
        <v>345.7</v>
      </c>
      <c r="D20" s="1156">
        <v>340.3</v>
      </c>
      <c r="E20" s="1154">
        <v>314</v>
      </c>
      <c r="F20" s="1155">
        <v>438.6</v>
      </c>
      <c r="G20" s="1156">
        <v>296.10000000000002</v>
      </c>
    </row>
    <row r="21" spans="1:15" s="988" customFormat="1" ht="21.75" hidden="1" customHeight="1">
      <c r="A21" s="1150">
        <v>3</v>
      </c>
      <c r="B21" s="1157" t="s">
        <v>688</v>
      </c>
      <c r="C21" s="1158">
        <v>7.5</v>
      </c>
      <c r="D21" s="1158">
        <v>7.65</v>
      </c>
      <c r="E21" s="1158">
        <v>7.8</v>
      </c>
      <c r="F21" s="1158">
        <v>7.5</v>
      </c>
      <c r="G21" s="1158">
        <v>7.65</v>
      </c>
    </row>
    <row r="22" spans="1:15" s="988" customFormat="1" ht="21.75" hidden="1" customHeight="1">
      <c r="A22" s="1150">
        <v>4</v>
      </c>
      <c r="B22" s="1151" t="s">
        <v>689</v>
      </c>
      <c r="C22" s="1159">
        <v>9.6</v>
      </c>
      <c r="D22" s="1160">
        <v>10.6</v>
      </c>
      <c r="E22" s="1161">
        <v>10.9</v>
      </c>
      <c r="F22" s="1159">
        <v>9.8000000000000007</v>
      </c>
      <c r="G22" s="1160">
        <v>10.8</v>
      </c>
    </row>
    <row r="23" spans="1:15" s="988" customFormat="1" ht="21.75" hidden="1" customHeight="1">
      <c r="A23" s="1150">
        <v>5</v>
      </c>
      <c r="B23" s="1151" t="s">
        <v>690</v>
      </c>
      <c r="C23" s="1159">
        <v>9.24</v>
      </c>
      <c r="D23" s="1160">
        <v>10.15</v>
      </c>
      <c r="E23" s="1161">
        <v>10.38</v>
      </c>
      <c r="F23" s="1159">
        <v>9.44</v>
      </c>
      <c r="G23" s="1160">
        <v>10.37</v>
      </c>
    </row>
    <row r="24" spans="1:15" s="988" customFormat="1" ht="21.75" hidden="1" customHeight="1">
      <c r="A24" s="1150">
        <v>6</v>
      </c>
      <c r="B24" s="1151" t="s">
        <v>739</v>
      </c>
      <c r="C24" s="1162">
        <v>91.174999999999997</v>
      </c>
      <c r="D24" s="1163">
        <v>82.168999999999997</v>
      </c>
      <c r="E24" s="1164">
        <v>78.429000000000002</v>
      </c>
      <c r="F24" s="1162">
        <v>90.224000000000004</v>
      </c>
      <c r="G24" s="1163">
        <v>80.816999999999993</v>
      </c>
    </row>
    <row r="25" spans="1:15" s="988" customFormat="1" ht="8.25" hidden="1" customHeight="1">
      <c r="A25" s="1165"/>
      <c r="B25" s="1166"/>
      <c r="C25" s="1167"/>
      <c r="D25" s="1168"/>
      <c r="E25" s="1169"/>
      <c r="F25" s="1167"/>
      <c r="G25" s="1168"/>
    </row>
    <row r="26" spans="1:15" s="999" customFormat="1" ht="4.5" hidden="1" customHeight="1">
      <c r="A26" s="1065"/>
      <c r="B26" s="1065"/>
      <c r="C26" s="1065"/>
      <c r="D26" s="1065"/>
      <c r="E26" s="1065"/>
      <c r="F26" s="1065"/>
      <c r="G26" s="1065"/>
    </row>
    <row r="27" spans="1:15" s="1170" customFormat="1" ht="12.75" hidden="1" customHeight="1">
      <c r="A27" s="3273" t="s">
        <v>740</v>
      </c>
      <c r="B27" s="3274"/>
      <c r="C27" s="3274"/>
      <c r="D27" s="3273" t="s">
        <v>741</v>
      </c>
      <c r="E27" s="3273"/>
      <c r="F27" s="3273"/>
      <c r="G27" s="3273"/>
    </row>
    <row r="28" spans="1:15" s="1170" customFormat="1" ht="13.5" hidden="1" customHeight="1">
      <c r="A28" s="3272" t="s">
        <v>742</v>
      </c>
      <c r="B28" s="3272"/>
      <c r="C28" s="3272"/>
      <c r="D28" s="3272" t="s">
        <v>743</v>
      </c>
      <c r="E28" s="3272"/>
      <c r="F28" s="3272"/>
      <c r="G28" s="3272"/>
    </row>
    <row r="29" spans="1:15" s="1170" customFormat="1" ht="13.5" hidden="1" customHeight="1">
      <c r="A29" s="3272" t="s">
        <v>744</v>
      </c>
      <c r="B29" s="3272"/>
      <c r="C29" s="3272"/>
      <c r="D29" s="3272" t="s">
        <v>745</v>
      </c>
      <c r="E29" s="3272"/>
      <c r="F29" s="3272"/>
      <c r="G29" s="3272"/>
    </row>
    <row r="30" spans="1:15" s="1170" customFormat="1" ht="13.5" hidden="1" customHeight="1">
      <c r="A30" s="3272" t="s">
        <v>746</v>
      </c>
      <c r="B30" s="3272"/>
      <c r="C30" s="3272"/>
      <c r="D30" s="3272" t="s">
        <v>747</v>
      </c>
      <c r="E30" s="3272"/>
      <c r="F30" s="3272"/>
      <c r="G30" s="3272"/>
    </row>
    <row r="31" spans="1:15" s="1172" customFormat="1" ht="15.75" hidden="1">
      <c r="A31" s="1063" t="s">
        <v>680</v>
      </c>
      <c r="B31" s="1064"/>
      <c r="C31" s="1064"/>
      <c r="D31" s="1171"/>
      <c r="E31" s="1171"/>
      <c r="F31" s="1171"/>
      <c r="G31" s="1171"/>
      <c r="H31" s="993"/>
      <c r="I31" s="988"/>
      <c r="J31" s="988"/>
      <c r="K31" s="988"/>
      <c r="L31" s="988"/>
      <c r="M31" s="988"/>
      <c r="N31" s="988"/>
      <c r="O31" s="988"/>
    </row>
    <row r="32" spans="1:15" s="1172" customFormat="1" ht="15.75">
      <c r="A32" s="1063"/>
      <c r="B32" s="1064"/>
      <c r="C32" s="1064"/>
      <c r="D32" s="1171"/>
      <c r="E32" s="1171"/>
      <c r="F32" s="1171"/>
      <c r="G32" s="1171"/>
      <c r="H32" s="993"/>
      <c r="I32" s="988"/>
      <c r="J32" s="988"/>
      <c r="K32" s="988"/>
      <c r="L32" s="988"/>
      <c r="M32" s="988"/>
      <c r="N32" s="988"/>
      <c r="O32" s="988"/>
    </row>
    <row r="33" spans="1:7" ht="41.25" customHeight="1" thickBot="1">
      <c r="A33" s="3269" t="s">
        <v>748</v>
      </c>
      <c r="B33" s="3269"/>
      <c r="C33" s="3269"/>
      <c r="D33" s="3269"/>
      <c r="E33" s="3269"/>
      <c r="F33" s="3269"/>
      <c r="G33" s="3269"/>
    </row>
    <row r="34" spans="1:7" ht="15.75">
      <c r="A34" s="1131"/>
      <c r="B34" s="1132"/>
      <c r="C34" s="1133"/>
      <c r="D34" s="3270" t="s">
        <v>697</v>
      </c>
      <c r="E34" s="3271"/>
      <c r="F34" s="3270" t="s">
        <v>697</v>
      </c>
      <c r="G34" s="3271"/>
    </row>
    <row r="35" spans="1:7" ht="19.5" thickBot="1">
      <c r="A35" s="1134"/>
      <c r="B35" s="1135"/>
      <c r="C35" s="1136"/>
      <c r="D35" s="3265" t="s">
        <v>749</v>
      </c>
      <c r="E35" s="3266"/>
      <c r="F35" s="3265" t="s">
        <v>750</v>
      </c>
      <c r="G35" s="3266"/>
    </row>
    <row r="36" spans="1:7" ht="18" customHeight="1">
      <c r="A36" s="1137">
        <v>1</v>
      </c>
      <c r="B36" s="3257" t="s">
        <v>720</v>
      </c>
      <c r="C36" s="3258"/>
      <c r="D36" s="3261">
        <v>1200</v>
      </c>
      <c r="E36" s="3262"/>
      <c r="F36" s="3261">
        <v>1400</v>
      </c>
      <c r="G36" s="3262"/>
    </row>
    <row r="37" spans="1:7" ht="18" customHeight="1">
      <c r="A37" s="1137">
        <v>2</v>
      </c>
      <c r="B37" s="3257" t="s">
        <v>722</v>
      </c>
      <c r="C37" s="3258"/>
      <c r="D37" s="3261">
        <v>3376.8</v>
      </c>
      <c r="E37" s="3262"/>
      <c r="F37" s="3261">
        <v>3296</v>
      </c>
      <c r="G37" s="3262"/>
    </row>
    <row r="38" spans="1:7" ht="18" customHeight="1">
      <c r="A38" s="1137">
        <v>3</v>
      </c>
      <c r="B38" s="3257" t="s">
        <v>723</v>
      </c>
      <c r="C38" s="3258"/>
      <c r="D38" s="3261">
        <v>1208.5</v>
      </c>
      <c r="E38" s="3262"/>
      <c r="F38" s="3261">
        <v>1400</v>
      </c>
      <c r="G38" s="3262"/>
    </row>
    <row r="39" spans="1:7" ht="18" customHeight="1">
      <c r="A39" s="1137">
        <v>4</v>
      </c>
      <c r="B39" s="3257" t="s">
        <v>724</v>
      </c>
      <c r="C39" s="3258"/>
      <c r="D39" s="3259">
        <v>6.75</v>
      </c>
      <c r="E39" s="3260"/>
      <c r="F39" s="3259">
        <v>6.95</v>
      </c>
      <c r="G39" s="3260"/>
    </row>
    <row r="40" spans="1:7" ht="18" customHeight="1">
      <c r="A40" s="1137">
        <v>5</v>
      </c>
      <c r="B40" s="3257" t="s">
        <v>725</v>
      </c>
      <c r="C40" s="3258"/>
      <c r="D40" s="3259">
        <v>7.1</v>
      </c>
      <c r="E40" s="3260"/>
      <c r="F40" s="3259">
        <v>7.9</v>
      </c>
      <c r="G40" s="3260"/>
    </row>
    <row r="41" spans="1:7" ht="18" customHeight="1">
      <c r="A41" s="1137">
        <v>6</v>
      </c>
      <c r="B41" s="3257" t="s">
        <v>726</v>
      </c>
      <c r="C41" s="3258"/>
      <c r="D41" s="3259">
        <v>6.96</v>
      </c>
      <c r="E41" s="3260"/>
      <c r="F41" s="3259">
        <v>7.6</v>
      </c>
      <c r="G41" s="3260"/>
    </row>
    <row r="42" spans="1:7" ht="18" customHeight="1">
      <c r="A42" s="1137">
        <v>7</v>
      </c>
      <c r="B42" s="3257" t="s">
        <v>727</v>
      </c>
      <c r="C42" s="3258"/>
      <c r="D42" s="3267">
        <v>98.063999999999993</v>
      </c>
      <c r="E42" s="3268"/>
      <c r="F42" s="3267">
        <v>94.241</v>
      </c>
      <c r="G42" s="3268"/>
    </row>
    <row r="43" spans="1:7" ht="16.5" thickBot="1">
      <c r="A43" s="1138"/>
      <c r="B43" s="1139"/>
      <c r="C43" s="1136"/>
      <c r="D43" s="3255"/>
      <c r="E43" s="3256"/>
      <c r="F43" s="3255"/>
      <c r="G43" s="3256"/>
    </row>
    <row r="44" spans="1:7" s="1175" customFormat="1" ht="18.75">
      <c r="A44" s="1064"/>
      <c r="B44" s="1063" t="s">
        <v>751</v>
      </c>
      <c r="C44" s="1142"/>
      <c r="D44" s="1063" t="s">
        <v>752</v>
      </c>
      <c r="E44" s="1142"/>
      <c r="F44" s="1142"/>
      <c r="G44" s="1174"/>
    </row>
    <row r="45" spans="1:7" ht="15.75">
      <c r="A45" s="1063" t="s">
        <v>680</v>
      </c>
      <c r="B45" s="1063"/>
      <c r="C45" s="1063"/>
      <c r="D45" s="1063"/>
      <c r="E45" s="1063"/>
      <c r="F45" s="1063"/>
      <c r="G45" s="1063"/>
    </row>
    <row r="46" spans="1:7" ht="15.75">
      <c r="A46" s="1176"/>
      <c r="B46" s="1176"/>
      <c r="C46" s="1176"/>
      <c r="D46" s="1176"/>
      <c r="E46" s="1176"/>
      <c r="F46" s="1176"/>
      <c r="G46" s="1176"/>
    </row>
    <row r="47" spans="1:7" ht="48" customHeight="1" thickBot="1">
      <c r="A47" s="3269" t="s">
        <v>753</v>
      </c>
      <c r="B47" s="3269"/>
      <c r="C47" s="3269"/>
      <c r="D47" s="3269"/>
      <c r="E47" s="3269"/>
      <c r="F47" s="3269"/>
      <c r="G47" s="3269"/>
    </row>
    <row r="48" spans="1:7" ht="15.75">
      <c r="A48" s="1131"/>
      <c r="B48" s="1132"/>
      <c r="C48" s="1133"/>
      <c r="D48" s="3270" t="s">
        <v>697</v>
      </c>
      <c r="E48" s="3271"/>
      <c r="F48" s="3270" t="s">
        <v>697</v>
      </c>
      <c r="G48" s="3271"/>
    </row>
    <row r="49" spans="1:7" ht="19.5" thickBot="1">
      <c r="A49" s="1134"/>
      <c r="B49" s="1135"/>
      <c r="C49" s="1136"/>
      <c r="D49" s="3265" t="s">
        <v>754</v>
      </c>
      <c r="E49" s="3266"/>
      <c r="F49" s="3265" t="s">
        <v>755</v>
      </c>
      <c r="G49" s="3266"/>
    </row>
    <row r="50" spans="1:7" ht="18" customHeight="1">
      <c r="A50" s="1137">
        <v>1</v>
      </c>
      <c r="B50" s="3263" t="s">
        <v>720</v>
      </c>
      <c r="C50" s="3264"/>
      <c r="D50" s="3261">
        <v>1000</v>
      </c>
      <c r="E50" s="3262"/>
      <c r="F50" s="3261">
        <v>1000</v>
      </c>
      <c r="G50" s="3262"/>
    </row>
    <row r="51" spans="1:7" ht="18" customHeight="1">
      <c r="A51" s="1137">
        <v>2</v>
      </c>
      <c r="B51" s="3257" t="s">
        <v>722</v>
      </c>
      <c r="C51" s="3258"/>
      <c r="D51" s="3261">
        <v>2553.4</v>
      </c>
      <c r="E51" s="3262"/>
      <c r="F51" s="3261">
        <v>2209</v>
      </c>
      <c r="G51" s="3262"/>
    </row>
    <row r="52" spans="1:7" ht="18" customHeight="1">
      <c r="A52" s="1137">
        <v>3</v>
      </c>
      <c r="B52" s="3257" t="s">
        <v>723</v>
      </c>
      <c r="C52" s="3258"/>
      <c r="D52" s="3261">
        <v>1000</v>
      </c>
      <c r="E52" s="3262"/>
      <c r="F52" s="3261">
        <v>1000</v>
      </c>
      <c r="G52" s="3262"/>
    </row>
    <row r="53" spans="1:7" ht="18" customHeight="1">
      <c r="A53" s="1137">
        <v>4</v>
      </c>
      <c r="B53" s="3257" t="s">
        <v>756</v>
      </c>
      <c r="C53" s="3258"/>
      <c r="D53" s="3259">
        <v>4.25</v>
      </c>
      <c r="E53" s="3260"/>
      <c r="F53" s="3259">
        <v>3.5</v>
      </c>
      <c r="G53" s="3260"/>
    </row>
    <row r="54" spans="1:7" ht="18" customHeight="1">
      <c r="A54" s="1137">
        <v>5</v>
      </c>
      <c r="B54" s="3257" t="s">
        <v>757</v>
      </c>
      <c r="C54" s="3258"/>
      <c r="D54" s="3259">
        <v>1.75</v>
      </c>
      <c r="E54" s="3260"/>
      <c r="F54" s="3259">
        <v>2</v>
      </c>
      <c r="G54" s="3260"/>
    </row>
    <row r="55" spans="1:7" ht="18" customHeight="1">
      <c r="A55" s="1137">
        <v>6</v>
      </c>
      <c r="B55" s="3257" t="s">
        <v>758</v>
      </c>
      <c r="C55" s="3258"/>
      <c r="D55" s="3259">
        <v>2.39</v>
      </c>
      <c r="E55" s="3260"/>
      <c r="F55" s="3259">
        <v>2.2999999999999998</v>
      </c>
      <c r="G55" s="3260"/>
    </row>
    <row r="56" spans="1:7" ht="16.5" thickBot="1">
      <c r="A56" s="1138"/>
      <c r="B56" s="1139"/>
      <c r="C56" s="1136"/>
      <c r="D56" s="3255"/>
      <c r="E56" s="3256"/>
      <c r="F56" s="3255"/>
      <c r="G56" s="3256"/>
    </row>
    <row r="57" spans="1:7" s="1175" customFormat="1" ht="18.75">
      <c r="A57" s="1064"/>
      <c r="B57" s="1142" t="s">
        <v>759</v>
      </c>
      <c r="C57" s="1142"/>
      <c r="D57" s="1142" t="s">
        <v>760</v>
      </c>
      <c r="E57" s="1064"/>
      <c r="F57" s="1142"/>
      <c r="G57" s="1174"/>
    </row>
    <row r="58" spans="1:7" ht="15.75">
      <c r="A58" s="1063" t="s">
        <v>680</v>
      </c>
      <c r="B58" s="1063"/>
      <c r="C58" s="1063"/>
      <c r="D58" s="1063"/>
      <c r="E58" s="1063"/>
      <c r="F58" s="1063"/>
      <c r="G58" s="1063"/>
    </row>
    <row r="59" spans="1:7" ht="15.75">
      <c r="A59" s="1176"/>
      <c r="B59" s="1176"/>
      <c r="C59" s="1176"/>
      <c r="D59" s="1176"/>
      <c r="E59" s="1176"/>
      <c r="F59" s="1176"/>
      <c r="G59" s="1176"/>
    </row>
  </sheetData>
  <mergeCells count="92">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A27:C27"/>
    <mergeCell ref="D27:G27"/>
    <mergeCell ref="B9:C9"/>
    <mergeCell ref="D9:E9"/>
    <mergeCell ref="F9:G9"/>
    <mergeCell ref="B10:C10"/>
    <mergeCell ref="D10:E10"/>
    <mergeCell ref="F10:G10"/>
    <mergeCell ref="D11:E11"/>
    <mergeCell ref="A15:G15"/>
    <mergeCell ref="A17:B18"/>
    <mergeCell ref="C17:E17"/>
    <mergeCell ref="F17:G17"/>
    <mergeCell ref="B36:C36"/>
    <mergeCell ref="D36:E36"/>
    <mergeCell ref="F36:G36"/>
    <mergeCell ref="A28:C28"/>
    <mergeCell ref="D28:G28"/>
    <mergeCell ref="A29:C29"/>
    <mergeCell ref="D29:G29"/>
    <mergeCell ref="A30:C30"/>
    <mergeCell ref="D30:G30"/>
    <mergeCell ref="A33:G33"/>
    <mergeCell ref="D34:E34"/>
    <mergeCell ref="F34:G34"/>
    <mergeCell ref="D35:E35"/>
    <mergeCell ref="F35:G35"/>
    <mergeCell ref="B37:C37"/>
    <mergeCell ref="D37:E37"/>
    <mergeCell ref="F37:G37"/>
    <mergeCell ref="B38:C38"/>
    <mergeCell ref="D38:E38"/>
    <mergeCell ref="F38:G38"/>
    <mergeCell ref="B39:C39"/>
    <mergeCell ref="D39:E39"/>
    <mergeCell ref="F39:G39"/>
    <mergeCell ref="B40:C40"/>
    <mergeCell ref="D40:E40"/>
    <mergeCell ref="F40:G40"/>
    <mergeCell ref="D49:E49"/>
    <mergeCell ref="F49:G49"/>
    <mergeCell ref="B41:C41"/>
    <mergeCell ref="D41:E41"/>
    <mergeCell ref="F41:G41"/>
    <mergeCell ref="B42:C42"/>
    <mergeCell ref="D42:E42"/>
    <mergeCell ref="F42:G42"/>
    <mergeCell ref="D43:E43"/>
    <mergeCell ref="F43:G43"/>
    <mergeCell ref="A47:G47"/>
    <mergeCell ref="D48:E48"/>
    <mergeCell ref="F48:G48"/>
    <mergeCell ref="B50:C50"/>
    <mergeCell ref="D50:E50"/>
    <mergeCell ref="F50:G50"/>
    <mergeCell ref="B51:C51"/>
    <mergeCell ref="D51:E51"/>
    <mergeCell ref="F51:G51"/>
    <mergeCell ref="B52:C52"/>
    <mergeCell ref="D52:E52"/>
    <mergeCell ref="F52:G52"/>
    <mergeCell ref="B53:C53"/>
    <mergeCell ref="D53:E53"/>
    <mergeCell ref="F53:G53"/>
    <mergeCell ref="D56:E56"/>
    <mergeCell ref="F56:G56"/>
    <mergeCell ref="B54:C54"/>
    <mergeCell ref="D54:E54"/>
    <mergeCell ref="F54:G54"/>
    <mergeCell ref="B55:C55"/>
    <mergeCell ref="D55:E55"/>
    <mergeCell ref="F55:G55"/>
  </mergeCells>
  <printOptions horizontalCentered="1"/>
  <pageMargins left="0" right="0" top="0.74803149606299213" bottom="0" header="0.27559055118110237" footer="0"/>
  <pageSetup paperSize="9" scale="91"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0"/>
  <sheetViews>
    <sheetView showGridLines="0" zoomScaleNormal="100" workbookViewId="0">
      <selection activeCell="F43" sqref="F43"/>
    </sheetView>
  </sheetViews>
  <sheetFormatPr defaultRowHeight="15"/>
  <cols>
    <col min="1" max="1" width="36.140625" style="1196" customWidth="1"/>
    <col min="2" max="2" width="13.85546875" style="1196" customWidth="1"/>
    <col min="3" max="3" width="11" style="1196" customWidth="1"/>
    <col min="4" max="4" width="11.28515625" style="1196" customWidth="1"/>
    <col min="5" max="5" width="14.85546875" style="1196" customWidth="1"/>
    <col min="6" max="6" width="10.7109375" style="1196" customWidth="1"/>
    <col min="7" max="7" width="10.85546875" style="1196" customWidth="1"/>
    <col min="8" max="8" width="10.5703125" style="1196" customWidth="1"/>
    <col min="9" max="9" width="16" style="1196" customWidth="1"/>
    <col min="10" max="10" width="10.140625" style="1196" customWidth="1"/>
    <col min="11" max="11" width="11" style="1196" customWidth="1"/>
    <col min="12" max="12" width="11.5703125" style="1196" customWidth="1"/>
    <col min="13" max="13" width="11.28515625" style="1196" customWidth="1"/>
    <col min="14" max="14" width="11.140625" style="1196" customWidth="1"/>
    <col min="15" max="15" width="13.7109375" style="1196" bestFit="1" customWidth="1"/>
    <col min="16" max="255" width="9.140625" style="1196"/>
    <col min="256" max="256" width="8.7109375" style="1196" customWidth="1"/>
    <col min="257" max="257" width="9.140625" style="1196"/>
    <col min="258" max="258" width="43.140625" style="1196" customWidth="1"/>
    <col min="259" max="259" width="9.140625" style="1196"/>
    <col min="260" max="260" width="10.42578125" style="1196" customWidth="1"/>
    <col min="261" max="261" width="12" style="1196" customWidth="1"/>
    <col min="262" max="263" width="9.140625" style="1196"/>
    <col min="264" max="264" width="9.85546875" style="1196" customWidth="1"/>
    <col min="265" max="265" width="12.28515625" style="1196" customWidth="1"/>
    <col min="266" max="266" width="9.28515625" style="1196" customWidth="1"/>
    <col min="267" max="267" width="9.140625" style="1196"/>
    <col min="268" max="268" width="11.5703125" style="1196" customWidth="1"/>
    <col min="269" max="270" width="9.140625" style="1196"/>
    <col min="271" max="271" width="9.42578125" style="1196" customWidth="1"/>
    <col min="272" max="511" width="9.140625" style="1196"/>
    <col min="512" max="512" width="8.7109375" style="1196" customWidth="1"/>
    <col min="513" max="513" width="9.140625" style="1196"/>
    <col min="514" max="514" width="43.140625" style="1196" customWidth="1"/>
    <col min="515" max="515" width="9.140625" style="1196"/>
    <col min="516" max="516" width="10.42578125" style="1196" customWidth="1"/>
    <col min="517" max="517" width="12" style="1196" customWidth="1"/>
    <col min="518" max="519" width="9.140625" style="1196"/>
    <col min="520" max="520" width="9.85546875" style="1196" customWidth="1"/>
    <col min="521" max="521" width="12.28515625" style="1196" customWidth="1"/>
    <col min="522" max="522" width="9.28515625" style="1196" customWidth="1"/>
    <col min="523" max="523" width="9.140625" style="1196"/>
    <col min="524" max="524" width="11.5703125" style="1196" customWidth="1"/>
    <col min="525" max="526" width="9.140625" style="1196"/>
    <col min="527" max="527" width="9.42578125" style="1196" customWidth="1"/>
    <col min="528" max="767" width="9.140625" style="1196"/>
    <col min="768" max="768" width="8.7109375" style="1196" customWidth="1"/>
    <col min="769" max="769" width="9.140625" style="1196"/>
    <col min="770" max="770" width="43.140625" style="1196" customWidth="1"/>
    <col min="771" max="771" width="9.140625" style="1196"/>
    <col min="772" max="772" width="10.42578125" style="1196" customWidth="1"/>
    <col min="773" max="773" width="12" style="1196" customWidth="1"/>
    <col min="774" max="775" width="9.140625" style="1196"/>
    <col min="776" max="776" width="9.85546875" style="1196" customWidth="1"/>
    <col min="777" max="777" width="12.28515625" style="1196" customWidth="1"/>
    <col min="778" max="778" width="9.28515625" style="1196" customWidth="1"/>
    <col min="779" max="779" width="9.140625" style="1196"/>
    <col min="780" max="780" width="11.5703125" style="1196" customWidth="1"/>
    <col min="781" max="782" width="9.140625" style="1196"/>
    <col min="783" max="783" width="9.42578125" style="1196" customWidth="1"/>
    <col min="784" max="1023" width="9.140625" style="1196"/>
    <col min="1024" max="1024" width="8.7109375" style="1196" customWidth="1"/>
    <col min="1025" max="1025" width="9.140625" style="1196"/>
    <col min="1026" max="1026" width="43.140625" style="1196" customWidth="1"/>
    <col min="1027" max="1027" width="9.140625" style="1196"/>
    <col min="1028" max="1028" width="10.42578125" style="1196" customWidth="1"/>
    <col min="1029" max="1029" width="12" style="1196" customWidth="1"/>
    <col min="1030" max="1031" width="9.140625" style="1196"/>
    <col min="1032" max="1032" width="9.85546875" style="1196" customWidth="1"/>
    <col min="1033" max="1033" width="12.28515625" style="1196" customWidth="1"/>
    <col min="1034" max="1034" width="9.28515625" style="1196" customWidth="1"/>
    <col min="1035" max="1035" width="9.140625" style="1196"/>
    <col min="1036" max="1036" width="11.5703125" style="1196" customWidth="1"/>
    <col min="1037" max="1038" width="9.140625" style="1196"/>
    <col min="1039" max="1039" width="9.42578125" style="1196" customWidth="1"/>
    <col min="1040" max="1279" width="9.140625" style="1196"/>
    <col min="1280" max="1280" width="8.7109375" style="1196" customWidth="1"/>
    <col min="1281" max="1281" width="9.140625" style="1196"/>
    <col min="1282" max="1282" width="43.140625" style="1196" customWidth="1"/>
    <col min="1283" max="1283" width="9.140625" style="1196"/>
    <col min="1284" max="1284" width="10.42578125" style="1196" customWidth="1"/>
    <col min="1285" max="1285" width="12" style="1196" customWidth="1"/>
    <col min="1286" max="1287" width="9.140625" style="1196"/>
    <col min="1288" max="1288" width="9.85546875" style="1196" customWidth="1"/>
    <col min="1289" max="1289" width="12.28515625" style="1196" customWidth="1"/>
    <col min="1290" max="1290" width="9.28515625" style="1196" customWidth="1"/>
    <col min="1291" max="1291" width="9.140625" style="1196"/>
    <col min="1292" max="1292" width="11.5703125" style="1196" customWidth="1"/>
    <col min="1293" max="1294" width="9.140625" style="1196"/>
    <col min="1295" max="1295" width="9.42578125" style="1196" customWidth="1"/>
    <col min="1296" max="1535" width="9.140625" style="1196"/>
    <col min="1536" max="1536" width="8.7109375" style="1196" customWidth="1"/>
    <col min="1537" max="1537" width="9.140625" style="1196"/>
    <col min="1538" max="1538" width="43.140625" style="1196" customWidth="1"/>
    <col min="1539" max="1539" width="9.140625" style="1196"/>
    <col min="1540" max="1540" width="10.42578125" style="1196" customWidth="1"/>
    <col min="1541" max="1541" width="12" style="1196" customWidth="1"/>
    <col min="1542" max="1543" width="9.140625" style="1196"/>
    <col min="1544" max="1544" width="9.85546875" style="1196" customWidth="1"/>
    <col min="1545" max="1545" width="12.28515625" style="1196" customWidth="1"/>
    <col min="1546" max="1546" width="9.28515625" style="1196" customWidth="1"/>
    <col min="1547" max="1547" width="9.140625" style="1196"/>
    <col min="1548" max="1548" width="11.5703125" style="1196" customWidth="1"/>
    <col min="1549" max="1550" width="9.140625" style="1196"/>
    <col min="1551" max="1551" width="9.42578125" style="1196" customWidth="1"/>
    <col min="1552" max="1791" width="9.140625" style="1196"/>
    <col min="1792" max="1792" width="8.7109375" style="1196" customWidth="1"/>
    <col min="1793" max="1793" width="9.140625" style="1196"/>
    <col min="1794" max="1794" width="43.140625" style="1196" customWidth="1"/>
    <col min="1795" max="1795" width="9.140625" style="1196"/>
    <col min="1796" max="1796" width="10.42578125" style="1196" customWidth="1"/>
    <col min="1797" max="1797" width="12" style="1196" customWidth="1"/>
    <col min="1798" max="1799" width="9.140625" style="1196"/>
    <col min="1800" max="1800" width="9.85546875" style="1196" customWidth="1"/>
    <col min="1801" max="1801" width="12.28515625" style="1196" customWidth="1"/>
    <col min="1802" max="1802" width="9.28515625" style="1196" customWidth="1"/>
    <col min="1803" max="1803" width="9.140625" style="1196"/>
    <col min="1804" max="1804" width="11.5703125" style="1196" customWidth="1"/>
    <col min="1805" max="1806" width="9.140625" style="1196"/>
    <col min="1807" max="1807" width="9.42578125" style="1196" customWidth="1"/>
    <col min="1808" max="2047" width="9.140625" style="1196"/>
    <col min="2048" max="2048" width="8.7109375" style="1196" customWidth="1"/>
    <col min="2049" max="2049" width="9.140625" style="1196"/>
    <col min="2050" max="2050" width="43.140625" style="1196" customWidth="1"/>
    <col min="2051" max="2051" width="9.140625" style="1196"/>
    <col min="2052" max="2052" width="10.42578125" style="1196" customWidth="1"/>
    <col min="2053" max="2053" width="12" style="1196" customWidth="1"/>
    <col min="2054" max="2055" width="9.140625" style="1196"/>
    <col min="2056" max="2056" width="9.85546875" style="1196" customWidth="1"/>
    <col min="2057" max="2057" width="12.28515625" style="1196" customWidth="1"/>
    <col min="2058" max="2058" width="9.28515625" style="1196" customWidth="1"/>
    <col min="2059" max="2059" width="9.140625" style="1196"/>
    <col min="2060" max="2060" width="11.5703125" style="1196" customWidth="1"/>
    <col min="2061" max="2062" width="9.140625" style="1196"/>
    <col min="2063" max="2063" width="9.42578125" style="1196" customWidth="1"/>
    <col min="2064" max="2303" width="9.140625" style="1196"/>
    <col min="2304" max="2304" width="8.7109375" style="1196" customWidth="1"/>
    <col min="2305" max="2305" width="9.140625" style="1196"/>
    <col min="2306" max="2306" width="43.140625" style="1196" customWidth="1"/>
    <col min="2307" max="2307" width="9.140625" style="1196"/>
    <col min="2308" max="2308" width="10.42578125" style="1196" customWidth="1"/>
    <col min="2309" max="2309" width="12" style="1196" customWidth="1"/>
    <col min="2310" max="2311" width="9.140625" style="1196"/>
    <col min="2312" max="2312" width="9.85546875" style="1196" customWidth="1"/>
    <col min="2313" max="2313" width="12.28515625" style="1196" customWidth="1"/>
    <col min="2314" max="2314" width="9.28515625" style="1196" customWidth="1"/>
    <col min="2315" max="2315" width="9.140625" style="1196"/>
    <col min="2316" max="2316" width="11.5703125" style="1196" customWidth="1"/>
    <col min="2317" max="2318" width="9.140625" style="1196"/>
    <col min="2319" max="2319" width="9.42578125" style="1196" customWidth="1"/>
    <col min="2320" max="2559" width="9.140625" style="1196"/>
    <col min="2560" max="2560" width="8.7109375" style="1196" customWidth="1"/>
    <col min="2561" max="2561" width="9.140625" style="1196"/>
    <col min="2562" max="2562" width="43.140625" style="1196" customWidth="1"/>
    <col min="2563" max="2563" width="9.140625" style="1196"/>
    <col min="2564" max="2564" width="10.42578125" style="1196" customWidth="1"/>
    <col min="2565" max="2565" width="12" style="1196" customWidth="1"/>
    <col min="2566" max="2567" width="9.140625" style="1196"/>
    <col min="2568" max="2568" width="9.85546875" style="1196" customWidth="1"/>
    <col min="2569" max="2569" width="12.28515625" style="1196" customWidth="1"/>
    <col min="2570" max="2570" width="9.28515625" style="1196" customWidth="1"/>
    <col min="2571" max="2571" width="9.140625" style="1196"/>
    <col min="2572" max="2572" width="11.5703125" style="1196" customWidth="1"/>
    <col min="2573" max="2574" width="9.140625" style="1196"/>
    <col min="2575" max="2575" width="9.42578125" style="1196" customWidth="1"/>
    <col min="2576" max="2815" width="9.140625" style="1196"/>
    <col min="2816" max="2816" width="8.7109375" style="1196" customWidth="1"/>
    <col min="2817" max="2817" width="9.140625" style="1196"/>
    <col min="2818" max="2818" width="43.140625" style="1196" customWidth="1"/>
    <col min="2819" max="2819" width="9.140625" style="1196"/>
    <col min="2820" max="2820" width="10.42578125" style="1196" customWidth="1"/>
    <col min="2821" max="2821" width="12" style="1196" customWidth="1"/>
    <col min="2822" max="2823" width="9.140625" style="1196"/>
    <col min="2824" max="2824" width="9.85546875" style="1196" customWidth="1"/>
    <col min="2825" max="2825" width="12.28515625" style="1196" customWidth="1"/>
    <col min="2826" max="2826" width="9.28515625" style="1196" customWidth="1"/>
    <col min="2827" max="2827" width="9.140625" style="1196"/>
    <col min="2828" max="2828" width="11.5703125" style="1196" customWidth="1"/>
    <col min="2829" max="2830" width="9.140625" style="1196"/>
    <col min="2831" max="2831" width="9.42578125" style="1196" customWidth="1"/>
    <col min="2832" max="3071" width="9.140625" style="1196"/>
    <col min="3072" max="3072" width="8.7109375" style="1196" customWidth="1"/>
    <col min="3073" max="3073" width="9.140625" style="1196"/>
    <col min="3074" max="3074" width="43.140625" style="1196" customWidth="1"/>
    <col min="3075" max="3075" width="9.140625" style="1196"/>
    <col min="3076" max="3076" width="10.42578125" style="1196" customWidth="1"/>
    <col min="3077" max="3077" width="12" style="1196" customWidth="1"/>
    <col min="3078" max="3079" width="9.140625" style="1196"/>
    <col min="3080" max="3080" width="9.85546875" style="1196" customWidth="1"/>
    <col min="3081" max="3081" width="12.28515625" style="1196" customWidth="1"/>
    <col min="3082" max="3082" width="9.28515625" style="1196" customWidth="1"/>
    <col min="3083" max="3083" width="9.140625" style="1196"/>
    <col min="3084" max="3084" width="11.5703125" style="1196" customWidth="1"/>
    <col min="3085" max="3086" width="9.140625" style="1196"/>
    <col min="3087" max="3087" width="9.42578125" style="1196" customWidth="1"/>
    <col min="3088" max="3327" width="9.140625" style="1196"/>
    <col min="3328" max="3328" width="8.7109375" style="1196" customWidth="1"/>
    <col min="3329" max="3329" width="9.140625" style="1196"/>
    <col min="3330" max="3330" width="43.140625" style="1196" customWidth="1"/>
    <col min="3331" max="3331" width="9.140625" style="1196"/>
    <col min="3332" max="3332" width="10.42578125" style="1196" customWidth="1"/>
    <col min="3333" max="3333" width="12" style="1196" customWidth="1"/>
    <col min="3334" max="3335" width="9.140625" style="1196"/>
    <col min="3336" max="3336" width="9.85546875" style="1196" customWidth="1"/>
    <col min="3337" max="3337" width="12.28515625" style="1196" customWidth="1"/>
    <col min="3338" max="3338" width="9.28515625" style="1196" customWidth="1"/>
    <col min="3339" max="3339" width="9.140625" style="1196"/>
    <col min="3340" max="3340" width="11.5703125" style="1196" customWidth="1"/>
    <col min="3341" max="3342" width="9.140625" style="1196"/>
    <col min="3343" max="3343" width="9.42578125" style="1196" customWidth="1"/>
    <col min="3344" max="3583" width="9.140625" style="1196"/>
    <col min="3584" max="3584" width="8.7109375" style="1196" customWidth="1"/>
    <col min="3585" max="3585" width="9.140625" style="1196"/>
    <col min="3586" max="3586" width="43.140625" style="1196" customWidth="1"/>
    <col min="3587" max="3587" width="9.140625" style="1196"/>
    <col min="3588" max="3588" width="10.42578125" style="1196" customWidth="1"/>
    <col min="3589" max="3589" width="12" style="1196" customWidth="1"/>
    <col min="3590" max="3591" width="9.140625" style="1196"/>
    <col min="3592" max="3592" width="9.85546875" style="1196" customWidth="1"/>
    <col min="3593" max="3593" width="12.28515625" style="1196" customWidth="1"/>
    <col min="3594" max="3594" width="9.28515625" style="1196" customWidth="1"/>
    <col min="3595" max="3595" width="9.140625" style="1196"/>
    <col min="3596" max="3596" width="11.5703125" style="1196" customWidth="1"/>
    <col min="3597" max="3598" width="9.140625" style="1196"/>
    <col min="3599" max="3599" width="9.42578125" style="1196" customWidth="1"/>
    <col min="3600" max="3839" width="9.140625" style="1196"/>
    <col min="3840" max="3840" width="8.7109375" style="1196" customWidth="1"/>
    <col min="3841" max="3841" width="9.140625" style="1196"/>
    <col min="3842" max="3842" width="43.140625" style="1196" customWidth="1"/>
    <col min="3843" max="3843" width="9.140625" style="1196"/>
    <col min="3844" max="3844" width="10.42578125" style="1196" customWidth="1"/>
    <col min="3845" max="3845" width="12" style="1196" customWidth="1"/>
    <col min="3846" max="3847" width="9.140625" style="1196"/>
    <col min="3848" max="3848" width="9.85546875" style="1196" customWidth="1"/>
    <col min="3849" max="3849" width="12.28515625" style="1196" customWidth="1"/>
    <col min="3850" max="3850" width="9.28515625" style="1196" customWidth="1"/>
    <col min="3851" max="3851" width="9.140625" style="1196"/>
    <col min="3852" max="3852" width="11.5703125" style="1196" customWidth="1"/>
    <col min="3853" max="3854" width="9.140625" style="1196"/>
    <col min="3855" max="3855" width="9.42578125" style="1196" customWidth="1"/>
    <col min="3856" max="4095" width="9.140625" style="1196"/>
    <col min="4096" max="4096" width="8.7109375" style="1196" customWidth="1"/>
    <col min="4097" max="4097" width="9.140625" style="1196"/>
    <col min="4098" max="4098" width="43.140625" style="1196" customWidth="1"/>
    <col min="4099" max="4099" width="9.140625" style="1196"/>
    <col min="4100" max="4100" width="10.42578125" style="1196" customWidth="1"/>
    <col min="4101" max="4101" width="12" style="1196" customWidth="1"/>
    <col min="4102" max="4103" width="9.140625" style="1196"/>
    <col min="4104" max="4104" width="9.85546875" style="1196" customWidth="1"/>
    <col min="4105" max="4105" width="12.28515625" style="1196" customWidth="1"/>
    <col min="4106" max="4106" width="9.28515625" style="1196" customWidth="1"/>
    <col min="4107" max="4107" width="9.140625" style="1196"/>
    <col min="4108" max="4108" width="11.5703125" style="1196" customWidth="1"/>
    <col min="4109" max="4110" width="9.140625" style="1196"/>
    <col min="4111" max="4111" width="9.42578125" style="1196" customWidth="1"/>
    <col min="4112" max="4351" width="9.140625" style="1196"/>
    <col min="4352" max="4352" width="8.7109375" style="1196" customWidth="1"/>
    <col min="4353" max="4353" width="9.140625" style="1196"/>
    <col min="4354" max="4354" width="43.140625" style="1196" customWidth="1"/>
    <col min="4355" max="4355" width="9.140625" style="1196"/>
    <col min="4356" max="4356" width="10.42578125" style="1196" customWidth="1"/>
    <col min="4357" max="4357" width="12" style="1196" customWidth="1"/>
    <col min="4358" max="4359" width="9.140625" style="1196"/>
    <col min="4360" max="4360" width="9.85546875" style="1196" customWidth="1"/>
    <col min="4361" max="4361" width="12.28515625" style="1196" customWidth="1"/>
    <col min="4362" max="4362" width="9.28515625" style="1196" customWidth="1"/>
    <col min="4363" max="4363" width="9.140625" style="1196"/>
    <col min="4364" max="4364" width="11.5703125" style="1196" customWidth="1"/>
    <col min="4365" max="4366" width="9.140625" style="1196"/>
    <col min="4367" max="4367" width="9.42578125" style="1196" customWidth="1"/>
    <col min="4368" max="4607" width="9.140625" style="1196"/>
    <col min="4608" max="4608" width="8.7109375" style="1196" customWidth="1"/>
    <col min="4609" max="4609" width="9.140625" style="1196"/>
    <col min="4610" max="4610" width="43.140625" style="1196" customWidth="1"/>
    <col min="4611" max="4611" width="9.140625" style="1196"/>
    <col min="4612" max="4612" width="10.42578125" style="1196" customWidth="1"/>
    <col min="4613" max="4613" width="12" style="1196" customWidth="1"/>
    <col min="4614" max="4615" width="9.140625" style="1196"/>
    <col min="4616" max="4616" width="9.85546875" style="1196" customWidth="1"/>
    <col min="4617" max="4617" width="12.28515625" style="1196" customWidth="1"/>
    <col min="4618" max="4618" width="9.28515625" style="1196" customWidth="1"/>
    <col min="4619" max="4619" width="9.140625" style="1196"/>
    <col min="4620" max="4620" width="11.5703125" style="1196" customWidth="1"/>
    <col min="4621" max="4622" width="9.140625" style="1196"/>
    <col min="4623" max="4623" width="9.42578125" style="1196" customWidth="1"/>
    <col min="4624" max="4863" width="9.140625" style="1196"/>
    <col min="4864" max="4864" width="8.7109375" style="1196" customWidth="1"/>
    <col min="4865" max="4865" width="9.140625" style="1196"/>
    <col min="4866" max="4866" width="43.140625" style="1196" customWidth="1"/>
    <col min="4867" max="4867" width="9.140625" style="1196"/>
    <col min="4868" max="4868" width="10.42578125" style="1196" customWidth="1"/>
    <col min="4869" max="4869" width="12" style="1196" customWidth="1"/>
    <col min="4870" max="4871" width="9.140625" style="1196"/>
    <col min="4872" max="4872" width="9.85546875" style="1196" customWidth="1"/>
    <col min="4873" max="4873" width="12.28515625" style="1196" customWidth="1"/>
    <col min="4874" max="4874" width="9.28515625" style="1196" customWidth="1"/>
    <col min="4875" max="4875" width="9.140625" style="1196"/>
    <col min="4876" max="4876" width="11.5703125" style="1196" customWidth="1"/>
    <col min="4877" max="4878" width="9.140625" style="1196"/>
    <col min="4879" max="4879" width="9.42578125" style="1196" customWidth="1"/>
    <col min="4880" max="5119" width="9.140625" style="1196"/>
    <col min="5120" max="5120" width="8.7109375" style="1196" customWidth="1"/>
    <col min="5121" max="5121" width="9.140625" style="1196"/>
    <col min="5122" max="5122" width="43.140625" style="1196" customWidth="1"/>
    <col min="5123" max="5123" width="9.140625" style="1196"/>
    <col min="5124" max="5124" width="10.42578125" style="1196" customWidth="1"/>
    <col min="5125" max="5125" width="12" style="1196" customWidth="1"/>
    <col min="5126" max="5127" width="9.140625" style="1196"/>
    <col min="5128" max="5128" width="9.85546875" style="1196" customWidth="1"/>
    <col min="5129" max="5129" width="12.28515625" style="1196" customWidth="1"/>
    <col min="5130" max="5130" width="9.28515625" style="1196" customWidth="1"/>
    <col min="5131" max="5131" width="9.140625" style="1196"/>
    <col min="5132" max="5132" width="11.5703125" style="1196" customWidth="1"/>
    <col min="5133" max="5134" width="9.140625" style="1196"/>
    <col min="5135" max="5135" width="9.42578125" style="1196" customWidth="1"/>
    <col min="5136" max="5375" width="9.140625" style="1196"/>
    <col min="5376" max="5376" width="8.7109375" style="1196" customWidth="1"/>
    <col min="5377" max="5377" width="9.140625" style="1196"/>
    <col min="5378" max="5378" width="43.140625" style="1196" customWidth="1"/>
    <col min="5379" max="5379" width="9.140625" style="1196"/>
    <col min="5380" max="5380" width="10.42578125" style="1196" customWidth="1"/>
    <col min="5381" max="5381" width="12" style="1196" customWidth="1"/>
    <col min="5382" max="5383" width="9.140625" style="1196"/>
    <col min="5384" max="5384" width="9.85546875" style="1196" customWidth="1"/>
    <col min="5385" max="5385" width="12.28515625" style="1196" customWidth="1"/>
    <col min="5386" max="5386" width="9.28515625" style="1196" customWidth="1"/>
    <col min="5387" max="5387" width="9.140625" style="1196"/>
    <col min="5388" max="5388" width="11.5703125" style="1196" customWidth="1"/>
    <col min="5389" max="5390" width="9.140625" style="1196"/>
    <col min="5391" max="5391" width="9.42578125" style="1196" customWidth="1"/>
    <col min="5392" max="5631" width="9.140625" style="1196"/>
    <col min="5632" max="5632" width="8.7109375" style="1196" customWidth="1"/>
    <col min="5633" max="5633" width="9.140625" style="1196"/>
    <col min="5634" max="5634" width="43.140625" style="1196" customWidth="1"/>
    <col min="5635" max="5635" width="9.140625" style="1196"/>
    <col min="5636" max="5636" width="10.42578125" style="1196" customWidth="1"/>
    <col min="5637" max="5637" width="12" style="1196" customWidth="1"/>
    <col min="5638" max="5639" width="9.140625" style="1196"/>
    <col min="5640" max="5640" width="9.85546875" style="1196" customWidth="1"/>
    <col min="5641" max="5641" width="12.28515625" style="1196" customWidth="1"/>
    <col min="5642" max="5642" width="9.28515625" style="1196" customWidth="1"/>
    <col min="5643" max="5643" width="9.140625" style="1196"/>
    <col min="5644" max="5644" width="11.5703125" style="1196" customWidth="1"/>
    <col min="5645" max="5646" width="9.140625" style="1196"/>
    <col min="5647" max="5647" width="9.42578125" style="1196" customWidth="1"/>
    <col min="5648" max="5887" width="9.140625" style="1196"/>
    <col min="5888" max="5888" width="8.7109375" style="1196" customWidth="1"/>
    <col min="5889" max="5889" width="9.140625" style="1196"/>
    <col min="5890" max="5890" width="43.140625" style="1196" customWidth="1"/>
    <col min="5891" max="5891" width="9.140625" style="1196"/>
    <col min="5892" max="5892" width="10.42578125" style="1196" customWidth="1"/>
    <col min="5893" max="5893" width="12" style="1196" customWidth="1"/>
    <col min="5894" max="5895" width="9.140625" style="1196"/>
    <col min="5896" max="5896" width="9.85546875" style="1196" customWidth="1"/>
    <col min="5897" max="5897" width="12.28515625" style="1196" customWidth="1"/>
    <col min="5898" max="5898" width="9.28515625" style="1196" customWidth="1"/>
    <col min="5899" max="5899" width="9.140625" style="1196"/>
    <col min="5900" max="5900" width="11.5703125" style="1196" customWidth="1"/>
    <col min="5901" max="5902" width="9.140625" style="1196"/>
    <col min="5903" max="5903" width="9.42578125" style="1196" customWidth="1"/>
    <col min="5904" max="6143" width="9.140625" style="1196"/>
    <col min="6144" max="6144" width="8.7109375" style="1196" customWidth="1"/>
    <col min="6145" max="6145" width="9.140625" style="1196"/>
    <col min="6146" max="6146" width="43.140625" style="1196" customWidth="1"/>
    <col min="6147" max="6147" width="9.140625" style="1196"/>
    <col min="6148" max="6148" width="10.42578125" style="1196" customWidth="1"/>
    <col min="6149" max="6149" width="12" style="1196" customWidth="1"/>
    <col min="6150" max="6151" width="9.140625" style="1196"/>
    <col min="6152" max="6152" width="9.85546875" style="1196" customWidth="1"/>
    <col min="6153" max="6153" width="12.28515625" style="1196" customWidth="1"/>
    <col min="6154" max="6154" width="9.28515625" style="1196" customWidth="1"/>
    <col min="6155" max="6155" width="9.140625" style="1196"/>
    <col min="6156" max="6156" width="11.5703125" style="1196" customWidth="1"/>
    <col min="6157" max="6158" width="9.140625" style="1196"/>
    <col min="6159" max="6159" width="9.42578125" style="1196" customWidth="1"/>
    <col min="6160" max="6399" width="9.140625" style="1196"/>
    <col min="6400" max="6400" width="8.7109375" style="1196" customWidth="1"/>
    <col min="6401" max="6401" width="9.140625" style="1196"/>
    <col min="6402" max="6402" width="43.140625" style="1196" customWidth="1"/>
    <col min="6403" max="6403" width="9.140625" style="1196"/>
    <col min="6404" max="6404" width="10.42578125" style="1196" customWidth="1"/>
    <col min="6405" max="6405" width="12" style="1196" customWidth="1"/>
    <col min="6406" max="6407" width="9.140625" style="1196"/>
    <col min="6408" max="6408" width="9.85546875" style="1196" customWidth="1"/>
    <col min="6409" max="6409" width="12.28515625" style="1196" customWidth="1"/>
    <col min="6410" max="6410" width="9.28515625" style="1196" customWidth="1"/>
    <col min="6411" max="6411" width="9.140625" style="1196"/>
    <col min="6412" max="6412" width="11.5703125" style="1196" customWidth="1"/>
    <col min="6413" max="6414" width="9.140625" style="1196"/>
    <col min="6415" max="6415" width="9.42578125" style="1196" customWidth="1"/>
    <col min="6416" max="6655" width="9.140625" style="1196"/>
    <col min="6656" max="6656" width="8.7109375" style="1196" customWidth="1"/>
    <col min="6657" max="6657" width="9.140625" style="1196"/>
    <col min="6658" max="6658" width="43.140625" style="1196" customWidth="1"/>
    <col min="6659" max="6659" width="9.140625" style="1196"/>
    <col min="6660" max="6660" width="10.42578125" style="1196" customWidth="1"/>
    <col min="6661" max="6661" width="12" style="1196" customWidth="1"/>
    <col min="6662" max="6663" width="9.140625" style="1196"/>
    <col min="6664" max="6664" width="9.85546875" style="1196" customWidth="1"/>
    <col min="6665" max="6665" width="12.28515625" style="1196" customWidth="1"/>
    <col min="6666" max="6666" width="9.28515625" style="1196" customWidth="1"/>
    <col min="6667" max="6667" width="9.140625" style="1196"/>
    <col min="6668" max="6668" width="11.5703125" style="1196" customWidth="1"/>
    <col min="6669" max="6670" width="9.140625" style="1196"/>
    <col min="6671" max="6671" width="9.42578125" style="1196" customWidth="1"/>
    <col min="6672" max="6911" width="9.140625" style="1196"/>
    <col min="6912" max="6912" width="8.7109375" style="1196" customWidth="1"/>
    <col min="6913" max="6913" width="9.140625" style="1196"/>
    <col min="6914" max="6914" width="43.140625" style="1196" customWidth="1"/>
    <col min="6915" max="6915" width="9.140625" style="1196"/>
    <col min="6916" max="6916" width="10.42578125" style="1196" customWidth="1"/>
    <col min="6917" max="6917" width="12" style="1196" customWidth="1"/>
    <col min="6918" max="6919" width="9.140625" style="1196"/>
    <col min="6920" max="6920" width="9.85546875" style="1196" customWidth="1"/>
    <col min="6921" max="6921" width="12.28515625" style="1196" customWidth="1"/>
    <col min="6922" max="6922" width="9.28515625" style="1196" customWidth="1"/>
    <col min="6923" max="6923" width="9.140625" style="1196"/>
    <col min="6924" max="6924" width="11.5703125" style="1196" customWidth="1"/>
    <col min="6925" max="6926" width="9.140625" style="1196"/>
    <col min="6927" max="6927" width="9.42578125" style="1196" customWidth="1"/>
    <col min="6928" max="7167" width="9.140625" style="1196"/>
    <col min="7168" max="7168" width="8.7109375" style="1196" customWidth="1"/>
    <col min="7169" max="7169" width="9.140625" style="1196"/>
    <col min="7170" max="7170" width="43.140625" style="1196" customWidth="1"/>
    <col min="7171" max="7171" width="9.140625" style="1196"/>
    <col min="7172" max="7172" width="10.42578125" style="1196" customWidth="1"/>
    <col min="7173" max="7173" width="12" style="1196" customWidth="1"/>
    <col min="7174" max="7175" width="9.140625" style="1196"/>
    <col min="7176" max="7176" width="9.85546875" style="1196" customWidth="1"/>
    <col min="7177" max="7177" width="12.28515625" style="1196" customWidth="1"/>
    <col min="7178" max="7178" width="9.28515625" style="1196" customWidth="1"/>
    <col min="7179" max="7179" width="9.140625" style="1196"/>
    <col min="7180" max="7180" width="11.5703125" style="1196" customWidth="1"/>
    <col min="7181" max="7182" width="9.140625" style="1196"/>
    <col min="7183" max="7183" width="9.42578125" style="1196" customWidth="1"/>
    <col min="7184" max="7423" width="9.140625" style="1196"/>
    <col min="7424" max="7424" width="8.7109375" style="1196" customWidth="1"/>
    <col min="7425" max="7425" width="9.140625" style="1196"/>
    <col min="7426" max="7426" width="43.140625" style="1196" customWidth="1"/>
    <col min="7427" max="7427" width="9.140625" style="1196"/>
    <col min="7428" max="7428" width="10.42578125" style="1196" customWidth="1"/>
    <col min="7429" max="7429" width="12" style="1196" customWidth="1"/>
    <col min="7430" max="7431" width="9.140625" style="1196"/>
    <col min="7432" max="7432" width="9.85546875" style="1196" customWidth="1"/>
    <col min="7433" max="7433" width="12.28515625" style="1196" customWidth="1"/>
    <col min="7434" max="7434" width="9.28515625" style="1196" customWidth="1"/>
    <col min="7435" max="7435" width="9.140625" style="1196"/>
    <col min="7436" max="7436" width="11.5703125" style="1196" customWidth="1"/>
    <col min="7437" max="7438" width="9.140625" style="1196"/>
    <col min="7439" max="7439" width="9.42578125" style="1196" customWidth="1"/>
    <col min="7440" max="7679" width="9.140625" style="1196"/>
    <col min="7680" max="7680" width="8.7109375" style="1196" customWidth="1"/>
    <col min="7681" max="7681" width="9.140625" style="1196"/>
    <col min="7682" max="7682" width="43.140625" style="1196" customWidth="1"/>
    <col min="7683" max="7683" width="9.140625" style="1196"/>
    <col min="7684" max="7684" width="10.42578125" style="1196" customWidth="1"/>
    <col min="7685" max="7685" width="12" style="1196" customWidth="1"/>
    <col min="7686" max="7687" width="9.140625" style="1196"/>
    <col min="7688" max="7688" width="9.85546875" style="1196" customWidth="1"/>
    <col min="7689" max="7689" width="12.28515625" style="1196" customWidth="1"/>
    <col min="7690" max="7690" width="9.28515625" style="1196" customWidth="1"/>
    <col min="7691" max="7691" width="9.140625" style="1196"/>
    <col min="7692" max="7692" width="11.5703125" style="1196" customWidth="1"/>
    <col min="7693" max="7694" width="9.140625" style="1196"/>
    <col min="7695" max="7695" width="9.42578125" style="1196" customWidth="1"/>
    <col min="7696" max="7935" width="9.140625" style="1196"/>
    <col min="7936" max="7936" width="8.7109375" style="1196" customWidth="1"/>
    <col min="7937" max="7937" width="9.140625" style="1196"/>
    <col min="7938" max="7938" width="43.140625" style="1196" customWidth="1"/>
    <col min="7939" max="7939" width="9.140625" style="1196"/>
    <col min="7940" max="7940" width="10.42578125" style="1196" customWidth="1"/>
    <col min="7941" max="7941" width="12" style="1196" customWidth="1"/>
    <col min="7942" max="7943" width="9.140625" style="1196"/>
    <col min="7944" max="7944" width="9.85546875" style="1196" customWidth="1"/>
    <col min="7945" max="7945" width="12.28515625" style="1196" customWidth="1"/>
    <col min="7946" max="7946" width="9.28515625" style="1196" customWidth="1"/>
    <col min="7947" max="7947" width="9.140625" style="1196"/>
    <col min="7948" max="7948" width="11.5703125" style="1196" customWidth="1"/>
    <col min="7949" max="7950" width="9.140625" style="1196"/>
    <col min="7951" max="7951" width="9.42578125" style="1196" customWidth="1"/>
    <col min="7952" max="8191" width="9.140625" style="1196"/>
    <col min="8192" max="8192" width="8.7109375" style="1196" customWidth="1"/>
    <col min="8193" max="8193" width="9.140625" style="1196"/>
    <col min="8194" max="8194" width="43.140625" style="1196" customWidth="1"/>
    <col min="8195" max="8195" width="9.140625" style="1196"/>
    <col min="8196" max="8196" width="10.42578125" style="1196" customWidth="1"/>
    <col min="8197" max="8197" width="12" style="1196" customWidth="1"/>
    <col min="8198" max="8199" width="9.140625" style="1196"/>
    <col min="8200" max="8200" width="9.85546875" style="1196" customWidth="1"/>
    <col min="8201" max="8201" width="12.28515625" style="1196" customWidth="1"/>
    <col min="8202" max="8202" width="9.28515625" style="1196" customWidth="1"/>
    <col min="8203" max="8203" width="9.140625" style="1196"/>
    <col min="8204" max="8204" width="11.5703125" style="1196" customWidth="1"/>
    <col min="8205" max="8206" width="9.140625" style="1196"/>
    <col min="8207" max="8207" width="9.42578125" style="1196" customWidth="1"/>
    <col min="8208" max="8447" width="9.140625" style="1196"/>
    <col min="8448" max="8448" width="8.7109375" style="1196" customWidth="1"/>
    <col min="8449" max="8449" width="9.140625" style="1196"/>
    <col min="8450" max="8450" width="43.140625" style="1196" customWidth="1"/>
    <col min="8451" max="8451" width="9.140625" style="1196"/>
    <col min="8452" max="8452" width="10.42578125" style="1196" customWidth="1"/>
    <col min="8453" max="8453" width="12" style="1196" customWidth="1"/>
    <col min="8454" max="8455" width="9.140625" style="1196"/>
    <col min="8456" max="8456" width="9.85546875" style="1196" customWidth="1"/>
    <col min="8457" max="8457" width="12.28515625" style="1196" customWidth="1"/>
    <col min="8458" max="8458" width="9.28515625" style="1196" customWidth="1"/>
    <col min="8459" max="8459" width="9.140625" style="1196"/>
    <col min="8460" max="8460" width="11.5703125" style="1196" customWidth="1"/>
    <col min="8461" max="8462" width="9.140625" style="1196"/>
    <col min="8463" max="8463" width="9.42578125" style="1196" customWidth="1"/>
    <col min="8464" max="8703" width="9.140625" style="1196"/>
    <col min="8704" max="8704" width="8.7109375" style="1196" customWidth="1"/>
    <col min="8705" max="8705" width="9.140625" style="1196"/>
    <col min="8706" max="8706" width="43.140625" style="1196" customWidth="1"/>
    <col min="8707" max="8707" width="9.140625" style="1196"/>
    <col min="8708" max="8708" width="10.42578125" style="1196" customWidth="1"/>
    <col min="8709" max="8709" width="12" style="1196" customWidth="1"/>
    <col min="8710" max="8711" width="9.140625" style="1196"/>
    <col min="8712" max="8712" width="9.85546875" style="1196" customWidth="1"/>
    <col min="8713" max="8713" width="12.28515625" style="1196" customWidth="1"/>
    <col min="8714" max="8714" width="9.28515625" style="1196" customWidth="1"/>
    <col min="8715" max="8715" width="9.140625" style="1196"/>
    <col min="8716" max="8716" width="11.5703125" style="1196" customWidth="1"/>
    <col min="8717" max="8718" width="9.140625" style="1196"/>
    <col min="8719" max="8719" width="9.42578125" style="1196" customWidth="1"/>
    <col min="8720" max="8959" width="9.140625" style="1196"/>
    <col min="8960" max="8960" width="8.7109375" style="1196" customWidth="1"/>
    <col min="8961" max="8961" width="9.140625" style="1196"/>
    <col min="8962" max="8962" width="43.140625" style="1196" customWidth="1"/>
    <col min="8963" max="8963" width="9.140625" style="1196"/>
    <col min="8964" max="8964" width="10.42578125" style="1196" customWidth="1"/>
    <col min="8965" max="8965" width="12" style="1196" customWidth="1"/>
    <col min="8966" max="8967" width="9.140625" style="1196"/>
    <col min="8968" max="8968" width="9.85546875" style="1196" customWidth="1"/>
    <col min="8969" max="8969" width="12.28515625" style="1196" customWidth="1"/>
    <col min="8970" max="8970" width="9.28515625" style="1196" customWidth="1"/>
    <col min="8971" max="8971" width="9.140625" style="1196"/>
    <col min="8972" max="8972" width="11.5703125" style="1196" customWidth="1"/>
    <col min="8973" max="8974" width="9.140625" style="1196"/>
    <col min="8975" max="8975" width="9.42578125" style="1196" customWidth="1"/>
    <col min="8976" max="9215" width="9.140625" style="1196"/>
    <col min="9216" max="9216" width="8.7109375" style="1196" customWidth="1"/>
    <col min="9217" max="9217" width="9.140625" style="1196"/>
    <col min="9218" max="9218" width="43.140625" style="1196" customWidth="1"/>
    <col min="9219" max="9219" width="9.140625" style="1196"/>
    <col min="9220" max="9220" width="10.42578125" style="1196" customWidth="1"/>
    <col min="9221" max="9221" width="12" style="1196" customWidth="1"/>
    <col min="9222" max="9223" width="9.140625" style="1196"/>
    <col min="9224" max="9224" width="9.85546875" style="1196" customWidth="1"/>
    <col min="9225" max="9225" width="12.28515625" style="1196" customWidth="1"/>
    <col min="9226" max="9226" width="9.28515625" style="1196" customWidth="1"/>
    <col min="9227" max="9227" width="9.140625" style="1196"/>
    <col min="9228" max="9228" width="11.5703125" style="1196" customWidth="1"/>
    <col min="9229" max="9230" width="9.140625" style="1196"/>
    <col min="9231" max="9231" width="9.42578125" style="1196" customWidth="1"/>
    <col min="9232" max="9471" width="9.140625" style="1196"/>
    <col min="9472" max="9472" width="8.7109375" style="1196" customWidth="1"/>
    <col min="9473" max="9473" width="9.140625" style="1196"/>
    <col min="9474" max="9474" width="43.140625" style="1196" customWidth="1"/>
    <col min="9475" max="9475" width="9.140625" style="1196"/>
    <col min="9476" max="9476" width="10.42578125" style="1196" customWidth="1"/>
    <col min="9477" max="9477" width="12" style="1196" customWidth="1"/>
    <col min="9478" max="9479" width="9.140625" style="1196"/>
    <col min="9480" max="9480" width="9.85546875" style="1196" customWidth="1"/>
    <col min="9481" max="9481" width="12.28515625" style="1196" customWidth="1"/>
    <col min="9482" max="9482" width="9.28515625" style="1196" customWidth="1"/>
    <col min="9483" max="9483" width="9.140625" style="1196"/>
    <col min="9484" max="9484" width="11.5703125" style="1196" customWidth="1"/>
    <col min="9485" max="9486" width="9.140625" style="1196"/>
    <col min="9487" max="9487" width="9.42578125" style="1196" customWidth="1"/>
    <col min="9488" max="9727" width="9.140625" style="1196"/>
    <col min="9728" max="9728" width="8.7109375" style="1196" customWidth="1"/>
    <col min="9729" max="9729" width="9.140625" style="1196"/>
    <col min="9730" max="9730" width="43.140625" style="1196" customWidth="1"/>
    <col min="9731" max="9731" width="9.140625" style="1196"/>
    <col min="9732" max="9732" width="10.42578125" style="1196" customWidth="1"/>
    <col min="9733" max="9733" width="12" style="1196" customWidth="1"/>
    <col min="9734" max="9735" width="9.140625" style="1196"/>
    <col min="9736" max="9736" width="9.85546875" style="1196" customWidth="1"/>
    <col min="9737" max="9737" width="12.28515625" style="1196" customWidth="1"/>
    <col min="9738" max="9738" width="9.28515625" style="1196" customWidth="1"/>
    <col min="9739" max="9739" width="9.140625" style="1196"/>
    <col min="9740" max="9740" width="11.5703125" style="1196" customWidth="1"/>
    <col min="9741" max="9742" width="9.140625" style="1196"/>
    <col min="9743" max="9743" width="9.42578125" style="1196" customWidth="1"/>
    <col min="9744" max="9983" width="9.140625" style="1196"/>
    <col min="9984" max="9984" width="8.7109375" style="1196" customWidth="1"/>
    <col min="9985" max="9985" width="9.140625" style="1196"/>
    <col min="9986" max="9986" width="43.140625" style="1196" customWidth="1"/>
    <col min="9987" max="9987" width="9.140625" style="1196"/>
    <col min="9988" max="9988" width="10.42578125" style="1196" customWidth="1"/>
    <col min="9989" max="9989" width="12" style="1196" customWidth="1"/>
    <col min="9990" max="9991" width="9.140625" style="1196"/>
    <col min="9992" max="9992" width="9.85546875" style="1196" customWidth="1"/>
    <col min="9993" max="9993" width="12.28515625" style="1196" customWidth="1"/>
    <col min="9994" max="9994" width="9.28515625" style="1196" customWidth="1"/>
    <col min="9995" max="9995" width="9.140625" style="1196"/>
    <col min="9996" max="9996" width="11.5703125" style="1196" customWidth="1"/>
    <col min="9997" max="9998" width="9.140625" style="1196"/>
    <col min="9999" max="9999" width="9.42578125" style="1196" customWidth="1"/>
    <col min="10000" max="10239" width="9.140625" style="1196"/>
    <col min="10240" max="10240" width="8.7109375" style="1196" customWidth="1"/>
    <col min="10241" max="10241" width="9.140625" style="1196"/>
    <col min="10242" max="10242" width="43.140625" style="1196" customWidth="1"/>
    <col min="10243" max="10243" width="9.140625" style="1196"/>
    <col min="10244" max="10244" width="10.42578125" style="1196" customWidth="1"/>
    <col min="10245" max="10245" width="12" style="1196" customWidth="1"/>
    <col min="10246" max="10247" width="9.140625" style="1196"/>
    <col min="10248" max="10248" width="9.85546875" style="1196" customWidth="1"/>
    <col min="10249" max="10249" width="12.28515625" style="1196" customWidth="1"/>
    <col min="10250" max="10250" width="9.28515625" style="1196" customWidth="1"/>
    <col min="10251" max="10251" width="9.140625" style="1196"/>
    <col min="10252" max="10252" width="11.5703125" style="1196" customWidth="1"/>
    <col min="10253" max="10254" width="9.140625" style="1196"/>
    <col min="10255" max="10255" width="9.42578125" style="1196" customWidth="1"/>
    <col min="10256" max="10495" width="9.140625" style="1196"/>
    <col min="10496" max="10496" width="8.7109375" style="1196" customWidth="1"/>
    <col min="10497" max="10497" width="9.140625" style="1196"/>
    <col min="10498" max="10498" width="43.140625" style="1196" customWidth="1"/>
    <col min="10499" max="10499" width="9.140625" style="1196"/>
    <col min="10500" max="10500" width="10.42578125" style="1196" customWidth="1"/>
    <col min="10501" max="10501" width="12" style="1196" customWidth="1"/>
    <col min="10502" max="10503" width="9.140625" style="1196"/>
    <col min="10504" max="10504" width="9.85546875" style="1196" customWidth="1"/>
    <col min="10505" max="10505" width="12.28515625" style="1196" customWidth="1"/>
    <col min="10506" max="10506" width="9.28515625" style="1196" customWidth="1"/>
    <col min="10507" max="10507" width="9.140625" style="1196"/>
    <col min="10508" max="10508" width="11.5703125" style="1196" customWidth="1"/>
    <col min="10509" max="10510" width="9.140625" style="1196"/>
    <col min="10511" max="10511" width="9.42578125" style="1196" customWidth="1"/>
    <col min="10512" max="10751" width="9.140625" style="1196"/>
    <col min="10752" max="10752" width="8.7109375" style="1196" customWidth="1"/>
    <col min="10753" max="10753" width="9.140625" style="1196"/>
    <col min="10754" max="10754" width="43.140625" style="1196" customWidth="1"/>
    <col min="10755" max="10755" width="9.140625" style="1196"/>
    <col min="10756" max="10756" width="10.42578125" style="1196" customWidth="1"/>
    <col min="10757" max="10757" width="12" style="1196" customWidth="1"/>
    <col min="10758" max="10759" width="9.140625" style="1196"/>
    <col min="10760" max="10760" width="9.85546875" style="1196" customWidth="1"/>
    <col min="10761" max="10761" width="12.28515625" style="1196" customWidth="1"/>
    <col min="10762" max="10762" width="9.28515625" style="1196" customWidth="1"/>
    <col min="10763" max="10763" width="9.140625" style="1196"/>
    <col min="10764" max="10764" width="11.5703125" style="1196" customWidth="1"/>
    <col min="10765" max="10766" width="9.140625" style="1196"/>
    <col min="10767" max="10767" width="9.42578125" style="1196" customWidth="1"/>
    <col min="10768" max="11007" width="9.140625" style="1196"/>
    <col min="11008" max="11008" width="8.7109375" style="1196" customWidth="1"/>
    <col min="11009" max="11009" width="9.140625" style="1196"/>
    <col min="11010" max="11010" width="43.140625" style="1196" customWidth="1"/>
    <col min="11011" max="11011" width="9.140625" style="1196"/>
    <col min="11012" max="11012" width="10.42578125" style="1196" customWidth="1"/>
    <col min="11013" max="11013" width="12" style="1196" customWidth="1"/>
    <col min="11014" max="11015" width="9.140625" style="1196"/>
    <col min="11016" max="11016" width="9.85546875" style="1196" customWidth="1"/>
    <col min="11017" max="11017" width="12.28515625" style="1196" customWidth="1"/>
    <col min="11018" max="11018" width="9.28515625" style="1196" customWidth="1"/>
    <col min="11019" max="11019" width="9.140625" style="1196"/>
    <col min="11020" max="11020" width="11.5703125" style="1196" customWidth="1"/>
    <col min="11021" max="11022" width="9.140625" style="1196"/>
    <col min="11023" max="11023" width="9.42578125" style="1196" customWidth="1"/>
    <col min="11024" max="11263" width="9.140625" style="1196"/>
    <col min="11264" max="11264" width="8.7109375" style="1196" customWidth="1"/>
    <col min="11265" max="11265" width="9.140625" style="1196"/>
    <col min="11266" max="11266" width="43.140625" style="1196" customWidth="1"/>
    <col min="11267" max="11267" width="9.140625" style="1196"/>
    <col min="11268" max="11268" width="10.42578125" style="1196" customWidth="1"/>
    <col min="11269" max="11269" width="12" style="1196" customWidth="1"/>
    <col min="11270" max="11271" width="9.140625" style="1196"/>
    <col min="11272" max="11272" width="9.85546875" style="1196" customWidth="1"/>
    <col min="11273" max="11273" width="12.28515625" style="1196" customWidth="1"/>
    <col min="11274" max="11274" width="9.28515625" style="1196" customWidth="1"/>
    <col min="11275" max="11275" width="9.140625" style="1196"/>
    <col min="11276" max="11276" width="11.5703125" style="1196" customWidth="1"/>
    <col min="11277" max="11278" width="9.140625" style="1196"/>
    <col min="11279" max="11279" width="9.42578125" style="1196" customWidth="1"/>
    <col min="11280" max="11519" width="9.140625" style="1196"/>
    <col min="11520" max="11520" width="8.7109375" style="1196" customWidth="1"/>
    <col min="11521" max="11521" width="9.140625" style="1196"/>
    <col min="11522" max="11522" width="43.140625" style="1196" customWidth="1"/>
    <col min="11523" max="11523" width="9.140625" style="1196"/>
    <col min="11524" max="11524" width="10.42578125" style="1196" customWidth="1"/>
    <col min="11525" max="11525" width="12" style="1196" customWidth="1"/>
    <col min="11526" max="11527" width="9.140625" style="1196"/>
    <col min="11528" max="11528" width="9.85546875" style="1196" customWidth="1"/>
    <col min="11529" max="11529" width="12.28515625" style="1196" customWidth="1"/>
    <col min="11530" max="11530" width="9.28515625" style="1196" customWidth="1"/>
    <col min="11531" max="11531" width="9.140625" style="1196"/>
    <col min="11532" max="11532" width="11.5703125" style="1196" customWidth="1"/>
    <col min="11533" max="11534" width="9.140625" style="1196"/>
    <col min="11535" max="11535" width="9.42578125" style="1196" customWidth="1"/>
    <col min="11536" max="11775" width="9.140625" style="1196"/>
    <col min="11776" max="11776" width="8.7109375" style="1196" customWidth="1"/>
    <col min="11777" max="11777" width="9.140625" style="1196"/>
    <col min="11778" max="11778" width="43.140625" style="1196" customWidth="1"/>
    <col min="11779" max="11779" width="9.140625" style="1196"/>
    <col min="11780" max="11780" width="10.42578125" style="1196" customWidth="1"/>
    <col min="11781" max="11781" width="12" style="1196" customWidth="1"/>
    <col min="11782" max="11783" width="9.140625" style="1196"/>
    <col min="11784" max="11784" width="9.85546875" style="1196" customWidth="1"/>
    <col min="11785" max="11785" width="12.28515625" style="1196" customWidth="1"/>
    <col min="11786" max="11786" width="9.28515625" style="1196" customWidth="1"/>
    <col min="11787" max="11787" width="9.140625" style="1196"/>
    <col min="11788" max="11788" width="11.5703125" style="1196" customWidth="1"/>
    <col min="11789" max="11790" width="9.140625" style="1196"/>
    <col min="11791" max="11791" width="9.42578125" style="1196" customWidth="1"/>
    <col min="11792" max="12031" width="9.140625" style="1196"/>
    <col min="12032" max="12032" width="8.7109375" style="1196" customWidth="1"/>
    <col min="12033" max="12033" width="9.140625" style="1196"/>
    <col min="12034" max="12034" width="43.140625" style="1196" customWidth="1"/>
    <col min="12035" max="12035" width="9.140625" style="1196"/>
    <col min="12036" max="12036" width="10.42578125" style="1196" customWidth="1"/>
    <col min="12037" max="12037" width="12" style="1196" customWidth="1"/>
    <col min="12038" max="12039" width="9.140625" style="1196"/>
    <col min="12040" max="12040" width="9.85546875" style="1196" customWidth="1"/>
    <col min="12041" max="12041" width="12.28515625" style="1196" customWidth="1"/>
    <col min="12042" max="12042" width="9.28515625" style="1196" customWidth="1"/>
    <col min="12043" max="12043" width="9.140625" style="1196"/>
    <col min="12044" max="12044" width="11.5703125" style="1196" customWidth="1"/>
    <col min="12045" max="12046" width="9.140625" style="1196"/>
    <col min="12047" max="12047" width="9.42578125" style="1196" customWidth="1"/>
    <col min="12048" max="12287" width="9.140625" style="1196"/>
    <col min="12288" max="12288" width="8.7109375" style="1196" customWidth="1"/>
    <col min="12289" max="12289" width="9.140625" style="1196"/>
    <col min="12290" max="12290" width="43.140625" style="1196" customWidth="1"/>
    <col min="12291" max="12291" width="9.140625" style="1196"/>
    <col min="12292" max="12292" width="10.42578125" style="1196" customWidth="1"/>
    <col min="12293" max="12293" width="12" style="1196" customWidth="1"/>
    <col min="12294" max="12295" width="9.140625" style="1196"/>
    <col min="12296" max="12296" width="9.85546875" style="1196" customWidth="1"/>
    <col min="12297" max="12297" width="12.28515625" style="1196" customWidth="1"/>
    <col min="12298" max="12298" width="9.28515625" style="1196" customWidth="1"/>
    <col min="12299" max="12299" width="9.140625" style="1196"/>
    <col min="12300" max="12300" width="11.5703125" style="1196" customWidth="1"/>
    <col min="12301" max="12302" width="9.140625" style="1196"/>
    <col min="12303" max="12303" width="9.42578125" style="1196" customWidth="1"/>
    <col min="12304" max="12543" width="9.140625" style="1196"/>
    <col min="12544" max="12544" width="8.7109375" style="1196" customWidth="1"/>
    <col min="12545" max="12545" width="9.140625" style="1196"/>
    <col min="12546" max="12546" width="43.140625" style="1196" customWidth="1"/>
    <col min="12547" max="12547" width="9.140625" style="1196"/>
    <col min="12548" max="12548" width="10.42578125" style="1196" customWidth="1"/>
    <col min="12549" max="12549" width="12" style="1196" customWidth="1"/>
    <col min="12550" max="12551" width="9.140625" style="1196"/>
    <col min="12552" max="12552" width="9.85546875" style="1196" customWidth="1"/>
    <col min="12553" max="12553" width="12.28515625" style="1196" customWidth="1"/>
    <col min="12554" max="12554" width="9.28515625" style="1196" customWidth="1"/>
    <col min="12555" max="12555" width="9.140625" style="1196"/>
    <col min="12556" max="12556" width="11.5703125" style="1196" customWidth="1"/>
    <col min="12557" max="12558" width="9.140625" style="1196"/>
    <col min="12559" max="12559" width="9.42578125" style="1196" customWidth="1"/>
    <col min="12560" max="12799" width="9.140625" style="1196"/>
    <col min="12800" max="12800" width="8.7109375" style="1196" customWidth="1"/>
    <col min="12801" max="12801" width="9.140625" style="1196"/>
    <col min="12802" max="12802" width="43.140625" style="1196" customWidth="1"/>
    <col min="12803" max="12803" width="9.140625" style="1196"/>
    <col min="12804" max="12804" width="10.42578125" style="1196" customWidth="1"/>
    <col min="12805" max="12805" width="12" style="1196" customWidth="1"/>
    <col min="12806" max="12807" width="9.140625" style="1196"/>
    <col min="12808" max="12808" width="9.85546875" style="1196" customWidth="1"/>
    <col min="12809" max="12809" width="12.28515625" style="1196" customWidth="1"/>
    <col min="12810" max="12810" width="9.28515625" style="1196" customWidth="1"/>
    <col min="12811" max="12811" width="9.140625" style="1196"/>
    <col min="12812" max="12812" width="11.5703125" style="1196" customWidth="1"/>
    <col min="12813" max="12814" width="9.140625" style="1196"/>
    <col min="12815" max="12815" width="9.42578125" style="1196" customWidth="1"/>
    <col min="12816" max="13055" width="9.140625" style="1196"/>
    <col min="13056" max="13056" width="8.7109375" style="1196" customWidth="1"/>
    <col min="13057" max="13057" width="9.140625" style="1196"/>
    <col min="13058" max="13058" width="43.140625" style="1196" customWidth="1"/>
    <col min="13059" max="13059" width="9.140625" style="1196"/>
    <col min="13060" max="13060" width="10.42578125" style="1196" customWidth="1"/>
    <col min="13061" max="13061" width="12" style="1196" customWidth="1"/>
    <col min="13062" max="13063" width="9.140625" style="1196"/>
    <col min="13064" max="13064" width="9.85546875" style="1196" customWidth="1"/>
    <col min="13065" max="13065" width="12.28515625" style="1196" customWidth="1"/>
    <col min="13066" max="13066" width="9.28515625" style="1196" customWidth="1"/>
    <col min="13067" max="13067" width="9.140625" style="1196"/>
    <col min="13068" max="13068" width="11.5703125" style="1196" customWidth="1"/>
    <col min="13069" max="13070" width="9.140625" style="1196"/>
    <col min="13071" max="13071" width="9.42578125" style="1196" customWidth="1"/>
    <col min="13072" max="13311" width="9.140625" style="1196"/>
    <col min="13312" max="13312" width="8.7109375" style="1196" customWidth="1"/>
    <col min="13313" max="13313" width="9.140625" style="1196"/>
    <col min="13314" max="13314" width="43.140625" style="1196" customWidth="1"/>
    <col min="13315" max="13315" width="9.140625" style="1196"/>
    <col min="13316" max="13316" width="10.42578125" style="1196" customWidth="1"/>
    <col min="13317" max="13317" width="12" style="1196" customWidth="1"/>
    <col min="13318" max="13319" width="9.140625" style="1196"/>
    <col min="13320" max="13320" width="9.85546875" style="1196" customWidth="1"/>
    <col min="13321" max="13321" width="12.28515625" style="1196" customWidth="1"/>
    <col min="13322" max="13322" width="9.28515625" style="1196" customWidth="1"/>
    <col min="13323" max="13323" width="9.140625" style="1196"/>
    <col min="13324" max="13324" width="11.5703125" style="1196" customWidth="1"/>
    <col min="13325" max="13326" width="9.140625" style="1196"/>
    <col min="13327" max="13327" width="9.42578125" style="1196" customWidth="1"/>
    <col min="13328" max="13567" width="9.140625" style="1196"/>
    <col min="13568" max="13568" width="8.7109375" style="1196" customWidth="1"/>
    <col min="13569" max="13569" width="9.140625" style="1196"/>
    <col min="13570" max="13570" width="43.140625" style="1196" customWidth="1"/>
    <col min="13571" max="13571" width="9.140625" style="1196"/>
    <col min="13572" max="13572" width="10.42578125" style="1196" customWidth="1"/>
    <col min="13573" max="13573" width="12" style="1196" customWidth="1"/>
    <col min="13574" max="13575" width="9.140625" style="1196"/>
    <col min="13576" max="13576" width="9.85546875" style="1196" customWidth="1"/>
    <col min="13577" max="13577" width="12.28515625" style="1196" customWidth="1"/>
    <col min="13578" max="13578" width="9.28515625" style="1196" customWidth="1"/>
    <col min="13579" max="13579" width="9.140625" style="1196"/>
    <col min="13580" max="13580" width="11.5703125" style="1196" customWidth="1"/>
    <col min="13581" max="13582" width="9.140625" style="1196"/>
    <col min="13583" max="13583" width="9.42578125" style="1196" customWidth="1"/>
    <col min="13584" max="13823" width="9.140625" style="1196"/>
    <col min="13824" max="13824" width="8.7109375" style="1196" customWidth="1"/>
    <col min="13825" max="13825" width="9.140625" style="1196"/>
    <col min="13826" max="13826" width="43.140625" style="1196" customWidth="1"/>
    <col min="13827" max="13827" width="9.140625" style="1196"/>
    <col min="13828" max="13828" width="10.42578125" style="1196" customWidth="1"/>
    <col min="13829" max="13829" width="12" style="1196" customWidth="1"/>
    <col min="13830" max="13831" width="9.140625" style="1196"/>
    <col min="13832" max="13832" width="9.85546875" style="1196" customWidth="1"/>
    <col min="13833" max="13833" width="12.28515625" style="1196" customWidth="1"/>
    <col min="13834" max="13834" width="9.28515625" style="1196" customWidth="1"/>
    <col min="13835" max="13835" width="9.140625" style="1196"/>
    <col min="13836" max="13836" width="11.5703125" style="1196" customWidth="1"/>
    <col min="13837" max="13838" width="9.140625" style="1196"/>
    <col min="13839" max="13839" width="9.42578125" style="1196" customWidth="1"/>
    <col min="13840" max="14079" width="9.140625" style="1196"/>
    <col min="14080" max="14080" width="8.7109375" style="1196" customWidth="1"/>
    <col min="14081" max="14081" width="9.140625" style="1196"/>
    <col min="14082" max="14082" width="43.140625" style="1196" customWidth="1"/>
    <col min="14083" max="14083" width="9.140625" style="1196"/>
    <col min="14084" max="14084" width="10.42578125" style="1196" customWidth="1"/>
    <col min="14085" max="14085" width="12" style="1196" customWidth="1"/>
    <col min="14086" max="14087" width="9.140625" style="1196"/>
    <col min="14088" max="14088" width="9.85546875" style="1196" customWidth="1"/>
    <col min="14089" max="14089" width="12.28515625" style="1196" customWidth="1"/>
    <col min="14090" max="14090" width="9.28515625" style="1196" customWidth="1"/>
    <col min="14091" max="14091" width="9.140625" style="1196"/>
    <col min="14092" max="14092" width="11.5703125" style="1196" customWidth="1"/>
    <col min="14093" max="14094" width="9.140625" style="1196"/>
    <col min="14095" max="14095" width="9.42578125" style="1196" customWidth="1"/>
    <col min="14096" max="14335" width="9.140625" style="1196"/>
    <col min="14336" max="14336" width="8.7109375" style="1196" customWidth="1"/>
    <col min="14337" max="14337" width="9.140625" style="1196"/>
    <col min="14338" max="14338" width="43.140625" style="1196" customWidth="1"/>
    <col min="14339" max="14339" width="9.140625" style="1196"/>
    <col min="14340" max="14340" width="10.42578125" style="1196" customWidth="1"/>
    <col min="14341" max="14341" width="12" style="1196" customWidth="1"/>
    <col min="14342" max="14343" width="9.140625" style="1196"/>
    <col min="14344" max="14344" width="9.85546875" style="1196" customWidth="1"/>
    <col min="14345" max="14345" width="12.28515625" style="1196" customWidth="1"/>
    <col min="14346" max="14346" width="9.28515625" style="1196" customWidth="1"/>
    <col min="14347" max="14347" width="9.140625" style="1196"/>
    <col min="14348" max="14348" width="11.5703125" style="1196" customWidth="1"/>
    <col min="14349" max="14350" width="9.140625" style="1196"/>
    <col min="14351" max="14351" width="9.42578125" style="1196" customWidth="1"/>
    <col min="14352" max="14591" width="9.140625" style="1196"/>
    <col min="14592" max="14592" width="8.7109375" style="1196" customWidth="1"/>
    <col min="14593" max="14593" width="9.140625" style="1196"/>
    <col min="14594" max="14594" width="43.140625" style="1196" customWidth="1"/>
    <col min="14595" max="14595" width="9.140625" style="1196"/>
    <col min="14596" max="14596" width="10.42578125" style="1196" customWidth="1"/>
    <col min="14597" max="14597" width="12" style="1196" customWidth="1"/>
    <col min="14598" max="14599" width="9.140625" style="1196"/>
    <col min="14600" max="14600" width="9.85546875" style="1196" customWidth="1"/>
    <col min="14601" max="14601" width="12.28515625" style="1196" customWidth="1"/>
    <col min="14602" max="14602" width="9.28515625" style="1196" customWidth="1"/>
    <col min="14603" max="14603" width="9.140625" style="1196"/>
    <col min="14604" max="14604" width="11.5703125" style="1196" customWidth="1"/>
    <col min="14605" max="14606" width="9.140625" style="1196"/>
    <col min="14607" max="14607" width="9.42578125" style="1196" customWidth="1"/>
    <col min="14608" max="14847" width="9.140625" style="1196"/>
    <col min="14848" max="14848" width="8.7109375" style="1196" customWidth="1"/>
    <col min="14849" max="14849" width="9.140625" style="1196"/>
    <col min="14850" max="14850" width="43.140625" style="1196" customWidth="1"/>
    <col min="14851" max="14851" width="9.140625" style="1196"/>
    <col min="14852" max="14852" width="10.42578125" style="1196" customWidth="1"/>
    <col min="14853" max="14853" width="12" style="1196" customWidth="1"/>
    <col min="14854" max="14855" width="9.140625" style="1196"/>
    <col min="14856" max="14856" width="9.85546875" style="1196" customWidth="1"/>
    <col min="14857" max="14857" width="12.28515625" style="1196" customWidth="1"/>
    <col min="14858" max="14858" width="9.28515625" style="1196" customWidth="1"/>
    <col min="14859" max="14859" width="9.140625" style="1196"/>
    <col min="14860" max="14860" width="11.5703125" style="1196" customWidth="1"/>
    <col min="14861" max="14862" width="9.140625" style="1196"/>
    <col min="14863" max="14863" width="9.42578125" style="1196" customWidth="1"/>
    <col min="14864" max="15103" width="9.140625" style="1196"/>
    <col min="15104" max="15104" width="8.7109375" style="1196" customWidth="1"/>
    <col min="15105" max="15105" width="9.140625" style="1196"/>
    <col min="15106" max="15106" width="43.140625" style="1196" customWidth="1"/>
    <col min="15107" max="15107" width="9.140625" style="1196"/>
    <col min="15108" max="15108" width="10.42578125" style="1196" customWidth="1"/>
    <col min="15109" max="15109" width="12" style="1196" customWidth="1"/>
    <col min="15110" max="15111" width="9.140625" style="1196"/>
    <col min="15112" max="15112" width="9.85546875" style="1196" customWidth="1"/>
    <col min="15113" max="15113" width="12.28515625" style="1196" customWidth="1"/>
    <col min="15114" max="15114" width="9.28515625" style="1196" customWidth="1"/>
    <col min="15115" max="15115" width="9.140625" style="1196"/>
    <col min="15116" max="15116" width="11.5703125" style="1196" customWidth="1"/>
    <col min="15117" max="15118" width="9.140625" style="1196"/>
    <col min="15119" max="15119" width="9.42578125" style="1196" customWidth="1"/>
    <col min="15120" max="15359" width="9.140625" style="1196"/>
    <col min="15360" max="15360" width="8.7109375" style="1196" customWidth="1"/>
    <col min="15361" max="15361" width="9.140625" style="1196"/>
    <col min="15362" max="15362" width="43.140625" style="1196" customWidth="1"/>
    <col min="15363" max="15363" width="9.140625" style="1196"/>
    <col min="15364" max="15364" width="10.42578125" style="1196" customWidth="1"/>
    <col min="15365" max="15365" width="12" style="1196" customWidth="1"/>
    <col min="15366" max="15367" width="9.140625" style="1196"/>
    <col min="15368" max="15368" width="9.85546875" style="1196" customWidth="1"/>
    <col min="15369" max="15369" width="12.28515625" style="1196" customWidth="1"/>
    <col min="15370" max="15370" width="9.28515625" style="1196" customWidth="1"/>
    <col min="15371" max="15371" width="9.140625" style="1196"/>
    <col min="15372" max="15372" width="11.5703125" style="1196" customWidth="1"/>
    <col min="15373" max="15374" width="9.140625" style="1196"/>
    <col min="15375" max="15375" width="9.42578125" style="1196" customWidth="1"/>
    <col min="15376" max="15615" width="9.140625" style="1196"/>
    <col min="15616" max="15616" width="8.7109375" style="1196" customWidth="1"/>
    <col min="15617" max="15617" width="9.140625" style="1196"/>
    <col min="15618" max="15618" width="43.140625" style="1196" customWidth="1"/>
    <col min="15619" max="15619" width="9.140625" style="1196"/>
    <col min="15620" max="15620" width="10.42578125" style="1196" customWidth="1"/>
    <col min="15621" max="15621" width="12" style="1196" customWidth="1"/>
    <col min="15622" max="15623" width="9.140625" style="1196"/>
    <col min="15624" max="15624" width="9.85546875" style="1196" customWidth="1"/>
    <col min="15625" max="15625" width="12.28515625" style="1196" customWidth="1"/>
    <col min="15626" max="15626" width="9.28515625" style="1196" customWidth="1"/>
    <col min="15627" max="15627" width="9.140625" style="1196"/>
    <col min="15628" max="15628" width="11.5703125" style="1196" customWidth="1"/>
    <col min="15629" max="15630" width="9.140625" style="1196"/>
    <col min="15631" max="15631" width="9.42578125" style="1196" customWidth="1"/>
    <col min="15632" max="15871" width="9.140625" style="1196"/>
    <col min="15872" max="15872" width="8.7109375" style="1196" customWidth="1"/>
    <col min="15873" max="15873" width="9.140625" style="1196"/>
    <col min="15874" max="15874" width="43.140625" style="1196" customWidth="1"/>
    <col min="15875" max="15875" width="9.140625" style="1196"/>
    <col min="15876" max="15876" width="10.42578125" style="1196" customWidth="1"/>
    <col min="15877" max="15877" width="12" style="1196" customWidth="1"/>
    <col min="15878" max="15879" width="9.140625" style="1196"/>
    <col min="15880" max="15880" width="9.85546875" style="1196" customWidth="1"/>
    <col min="15881" max="15881" width="12.28515625" style="1196" customWidth="1"/>
    <col min="15882" max="15882" width="9.28515625" style="1196" customWidth="1"/>
    <col min="15883" max="15883" width="9.140625" style="1196"/>
    <col min="15884" max="15884" width="11.5703125" style="1196" customWidth="1"/>
    <col min="15885" max="15886" width="9.140625" style="1196"/>
    <col min="15887" max="15887" width="9.42578125" style="1196" customWidth="1"/>
    <col min="15888" max="16127" width="9.140625" style="1196"/>
    <col min="16128" max="16128" width="8.7109375" style="1196" customWidth="1"/>
    <col min="16129" max="16129" width="9.140625" style="1196"/>
    <col min="16130" max="16130" width="43.140625" style="1196" customWidth="1"/>
    <col min="16131" max="16131" width="9.140625" style="1196"/>
    <col min="16132" max="16132" width="10.42578125" style="1196" customWidth="1"/>
    <col min="16133" max="16133" width="12" style="1196" customWidth="1"/>
    <col min="16134" max="16135" width="9.140625" style="1196"/>
    <col min="16136" max="16136" width="9.85546875" style="1196" customWidth="1"/>
    <col min="16137" max="16137" width="12.28515625" style="1196" customWidth="1"/>
    <col min="16138" max="16138" width="9.28515625" style="1196" customWidth="1"/>
    <col min="16139" max="16139" width="9.140625" style="1196"/>
    <col min="16140" max="16140" width="11.5703125" style="1196" customWidth="1"/>
    <col min="16141" max="16142" width="9.140625" style="1196"/>
    <col min="16143" max="16143" width="9.42578125" style="1196" customWidth="1"/>
    <col min="16144" max="16384" width="9.140625" style="1196"/>
  </cols>
  <sheetData>
    <row r="1" spans="1:16" s="1178" customFormat="1" ht="15.75">
      <c r="A1" s="3297" t="s">
        <v>761</v>
      </c>
      <c r="B1" s="3297"/>
      <c r="C1" s="3297"/>
      <c r="D1" s="3297"/>
      <c r="E1" s="3297"/>
      <c r="F1" s="1177"/>
      <c r="G1" s="1177"/>
      <c r="H1" s="1177"/>
      <c r="I1" s="1177"/>
      <c r="J1" s="1177"/>
      <c r="K1" s="1177"/>
      <c r="L1" s="1177"/>
      <c r="M1" s="1177"/>
      <c r="N1" s="1177"/>
      <c r="O1" s="1177"/>
    </row>
    <row r="2" spans="1:16" s="1180" customFormat="1" ht="16.5" thickBot="1">
      <c r="A2" s="1179"/>
      <c r="B2" s="1177"/>
      <c r="C2" s="1177"/>
      <c r="D2" s="1177"/>
      <c r="E2" s="1177"/>
      <c r="F2" s="1179"/>
      <c r="G2" s="1179"/>
      <c r="H2" s="1179"/>
      <c r="I2" s="1179"/>
      <c r="J2" s="1179"/>
      <c r="K2" s="1179"/>
      <c r="L2" s="1179"/>
      <c r="M2" s="1179"/>
      <c r="N2" s="1179"/>
      <c r="O2" s="1179"/>
    </row>
    <row r="3" spans="1:16" s="1180" customFormat="1" ht="15.75">
      <c r="A3" s="3302" t="s">
        <v>762</v>
      </c>
      <c r="B3" s="3303"/>
      <c r="C3" s="1181" t="s">
        <v>763</v>
      </c>
      <c r="D3" s="1181" t="s">
        <v>212</v>
      </c>
      <c r="E3" s="1182" t="s">
        <v>764</v>
      </c>
      <c r="F3" s="1179"/>
      <c r="G3" s="1179"/>
      <c r="H3" s="1179"/>
      <c r="I3" s="1179"/>
      <c r="J3" s="1179"/>
      <c r="K3" s="1179"/>
      <c r="L3" s="1179"/>
      <c r="M3" s="1179"/>
      <c r="N3" s="1179"/>
      <c r="O3" s="1179"/>
    </row>
    <row r="4" spans="1:16" s="1180" customFormat="1" ht="16.5" thickBot="1">
      <c r="A4" s="3304"/>
      <c r="B4" s="3305"/>
      <c r="C4" s="1183" t="s">
        <v>765</v>
      </c>
      <c r="D4" s="1183" t="s">
        <v>766</v>
      </c>
      <c r="E4" s="1184" t="s">
        <v>767</v>
      </c>
      <c r="F4" s="1179"/>
      <c r="G4" s="1179"/>
      <c r="H4" s="1179"/>
      <c r="I4" s="1179"/>
      <c r="J4" s="1179"/>
      <c r="K4" s="1179"/>
      <c r="L4" s="1179"/>
      <c r="M4" s="1179"/>
      <c r="N4" s="1179"/>
      <c r="O4" s="1179"/>
    </row>
    <row r="5" spans="1:16" s="1180" customFormat="1" ht="15.75" hidden="1">
      <c r="A5" s="3306">
        <v>39412</v>
      </c>
      <c r="B5" s="3307"/>
      <c r="C5" s="1185">
        <v>550</v>
      </c>
      <c r="D5" s="1186">
        <v>14</v>
      </c>
      <c r="E5" s="1187">
        <v>8</v>
      </c>
      <c r="F5" s="1179"/>
      <c r="G5" s="1179"/>
      <c r="H5" s="1179"/>
      <c r="I5" s="1179"/>
      <c r="J5" s="1179"/>
      <c r="K5" s="1179"/>
      <c r="L5" s="1179"/>
      <c r="M5" s="1179"/>
      <c r="N5" s="1179"/>
      <c r="O5" s="1179"/>
    </row>
    <row r="6" spans="1:16" s="1180" customFormat="1" ht="15.75" hidden="1">
      <c r="A6" s="3308">
        <v>39499</v>
      </c>
      <c r="B6" s="3309"/>
      <c r="C6" s="1185">
        <v>1000</v>
      </c>
      <c r="D6" s="1186">
        <v>14</v>
      </c>
      <c r="E6" s="1188">
        <v>7.75</v>
      </c>
      <c r="F6" s="1179"/>
      <c r="G6" s="1179"/>
      <c r="H6" s="1179"/>
      <c r="I6" s="1179"/>
      <c r="J6" s="1179"/>
      <c r="K6" s="1179"/>
      <c r="L6" s="1179"/>
      <c r="M6" s="1179"/>
      <c r="N6" s="1179"/>
      <c r="O6" s="1179"/>
    </row>
    <row r="7" spans="1:16" s="1180" customFormat="1" ht="20.100000000000001" customHeight="1">
      <c r="A7" s="3293">
        <v>39510</v>
      </c>
      <c r="B7" s="3292"/>
      <c r="C7" s="1185">
        <v>2425</v>
      </c>
      <c r="D7" s="1186">
        <v>14</v>
      </c>
      <c r="E7" s="1188">
        <v>7.75</v>
      </c>
      <c r="F7" s="1179"/>
      <c r="G7" s="1179"/>
      <c r="H7" s="1179"/>
      <c r="I7" s="1179"/>
      <c r="J7" s="1179"/>
      <c r="K7" s="1179"/>
      <c r="L7" s="1179"/>
      <c r="M7" s="1179"/>
      <c r="N7" s="1179"/>
      <c r="O7" s="1179"/>
    </row>
    <row r="8" spans="1:16" s="1180" customFormat="1" ht="20.100000000000001" customHeight="1">
      <c r="A8" s="3291">
        <v>39524</v>
      </c>
      <c r="B8" s="3292"/>
      <c r="C8" s="1185">
        <v>2500</v>
      </c>
      <c r="D8" s="1186">
        <v>14</v>
      </c>
      <c r="E8" s="1188">
        <v>7.75</v>
      </c>
      <c r="F8" s="1179"/>
      <c r="G8" s="1179"/>
      <c r="H8" s="1179"/>
      <c r="I8" s="1179"/>
      <c r="J8" s="1179"/>
      <c r="K8" s="1179"/>
      <c r="L8" s="1179"/>
      <c r="M8" s="1179"/>
      <c r="N8" s="1179"/>
      <c r="O8" s="1179"/>
    </row>
    <row r="9" spans="1:16" s="1180" customFormat="1" ht="20.100000000000001" customHeight="1">
      <c r="A9" s="3291">
        <v>39532</v>
      </c>
      <c r="B9" s="3292"/>
      <c r="C9" s="1185">
        <v>2750</v>
      </c>
      <c r="D9" s="1186">
        <v>14</v>
      </c>
      <c r="E9" s="1188">
        <v>7.25</v>
      </c>
      <c r="F9" s="1179"/>
      <c r="G9" s="1179"/>
      <c r="H9" s="1179"/>
      <c r="I9" s="1179"/>
      <c r="J9" s="1179"/>
      <c r="K9" s="1179"/>
      <c r="L9" s="1179"/>
      <c r="M9" s="1179"/>
      <c r="N9" s="1179"/>
      <c r="O9" s="1179"/>
    </row>
    <row r="10" spans="1:16" s="1180" customFormat="1" ht="20.100000000000001" customHeight="1">
      <c r="A10" s="3293">
        <v>39546</v>
      </c>
      <c r="B10" s="3292"/>
      <c r="C10" s="1185">
        <v>2000</v>
      </c>
      <c r="D10" s="1186">
        <v>21</v>
      </c>
      <c r="E10" s="1189">
        <v>7.5</v>
      </c>
      <c r="F10" s="1179"/>
      <c r="G10" s="1179"/>
      <c r="H10" s="1179"/>
      <c r="I10" s="1179"/>
      <c r="J10" s="1179"/>
      <c r="K10" s="1179"/>
      <c r="L10" s="1179"/>
      <c r="M10" s="1179"/>
      <c r="N10" s="1179"/>
      <c r="O10" s="1179"/>
    </row>
    <row r="11" spans="1:16" s="1180" customFormat="1" ht="20.100000000000001" customHeight="1">
      <c r="A11" s="3293">
        <v>40078</v>
      </c>
      <c r="B11" s="3294"/>
      <c r="C11" s="1185">
        <v>1185</v>
      </c>
      <c r="D11" s="1186">
        <v>14</v>
      </c>
      <c r="E11" s="1189">
        <v>4.75</v>
      </c>
      <c r="F11" s="1179"/>
      <c r="G11" s="1179"/>
      <c r="H11" s="1179"/>
      <c r="I11" s="1179"/>
      <c r="J11" s="1179"/>
      <c r="K11" s="1179"/>
      <c r="L11" s="1179"/>
      <c r="M11" s="1179"/>
      <c r="N11" s="1179"/>
      <c r="O11" s="1179"/>
    </row>
    <row r="12" spans="1:16" s="1180" customFormat="1" ht="20.100000000000001" customHeight="1">
      <c r="A12" s="3291">
        <v>40168</v>
      </c>
      <c r="B12" s="3292"/>
      <c r="C12" s="1185">
        <v>1300</v>
      </c>
      <c r="D12" s="1186">
        <v>7</v>
      </c>
      <c r="E12" s="1189">
        <v>4.75</v>
      </c>
      <c r="F12" s="1179"/>
      <c r="G12" s="1179"/>
      <c r="H12" s="1179"/>
      <c r="I12" s="1179"/>
      <c r="J12" s="1179"/>
      <c r="K12" s="1179"/>
      <c r="L12" s="1179"/>
      <c r="M12" s="1179"/>
      <c r="N12" s="1179"/>
      <c r="O12" s="1179"/>
    </row>
    <row r="13" spans="1:16" s="1180" customFormat="1" ht="20.100000000000001" customHeight="1">
      <c r="A13" s="3291">
        <v>40262</v>
      </c>
      <c r="B13" s="3292"/>
      <c r="C13" s="1185">
        <v>3000</v>
      </c>
      <c r="D13" s="1186" t="s">
        <v>768</v>
      </c>
      <c r="E13" s="1189">
        <v>4.75</v>
      </c>
      <c r="F13" s="1179"/>
      <c r="G13" s="1179"/>
      <c r="H13" s="1179"/>
      <c r="I13" s="1179"/>
      <c r="J13" s="1179"/>
      <c r="K13" s="1179"/>
      <c r="L13" s="1179"/>
      <c r="M13" s="1179"/>
      <c r="N13" s="1179"/>
      <c r="O13" s="1179"/>
    </row>
    <row r="14" spans="1:16" s="1180" customFormat="1" ht="20.100000000000001" customHeight="1">
      <c r="A14" s="3291">
        <v>40283</v>
      </c>
      <c r="B14" s="3292"/>
      <c r="C14" s="1185">
        <v>1700</v>
      </c>
      <c r="D14" s="1190">
        <v>21</v>
      </c>
      <c r="E14" s="1189">
        <v>4.75</v>
      </c>
      <c r="F14" s="1179"/>
      <c r="G14" s="1179"/>
      <c r="H14" s="1179"/>
      <c r="I14" s="1179"/>
      <c r="J14" s="1179"/>
      <c r="K14" s="1179"/>
      <c r="L14" s="1179"/>
      <c r="M14" s="1179"/>
      <c r="N14" s="1179"/>
      <c r="O14" s="1179"/>
    </row>
    <row r="15" spans="1:16" s="1180" customFormat="1" ht="20.100000000000001" customHeight="1" thickBot="1">
      <c r="A15" s="3295">
        <v>40346</v>
      </c>
      <c r="B15" s="3296"/>
      <c r="C15" s="1191">
        <v>2000</v>
      </c>
      <c r="D15" s="1192">
        <v>21</v>
      </c>
      <c r="E15" s="1193">
        <v>4.75</v>
      </c>
      <c r="F15" s="1179"/>
      <c r="G15" s="1179"/>
      <c r="H15" s="1179"/>
      <c r="I15" s="1179"/>
      <c r="J15" s="1179"/>
      <c r="K15" s="1179"/>
      <c r="L15" s="1179"/>
      <c r="M15" s="1179"/>
      <c r="N15" s="1179"/>
      <c r="O15" s="1179"/>
    </row>
    <row r="16" spans="1:16" ht="15.75">
      <c r="A16" s="1194" t="s">
        <v>680</v>
      </c>
      <c r="B16" s="1177"/>
      <c r="C16" s="1179"/>
      <c r="D16" s="1195"/>
      <c r="E16" s="1195"/>
      <c r="F16" s="1195"/>
      <c r="G16" s="1195"/>
      <c r="H16" s="1195"/>
      <c r="I16" s="1195"/>
      <c r="J16" s="1177"/>
      <c r="K16" s="1177"/>
      <c r="L16" s="1177"/>
      <c r="M16" s="1177"/>
      <c r="N16" s="1177"/>
      <c r="O16" s="1177"/>
      <c r="P16" s="1178"/>
    </row>
    <row r="17" spans="1:15" s="1180" customFormat="1" ht="15.75">
      <c r="A17" s="1179"/>
      <c r="B17" s="1179"/>
      <c r="C17" s="1179"/>
      <c r="D17" s="1179"/>
      <c r="E17" s="1179"/>
      <c r="F17" s="1179"/>
      <c r="G17" s="1179"/>
      <c r="H17" s="1179"/>
      <c r="I17" s="1179"/>
      <c r="J17" s="1179"/>
      <c r="K17" s="1179"/>
      <c r="L17" s="1179"/>
      <c r="M17" s="1179"/>
      <c r="N17" s="1179"/>
      <c r="O17" s="1179"/>
    </row>
    <row r="18" spans="1:15" ht="15.75">
      <c r="A18" s="3297" t="s">
        <v>769</v>
      </c>
      <c r="B18" s="3297"/>
      <c r="C18" s="3297"/>
      <c r="D18" s="3297"/>
      <c r="E18" s="3297"/>
      <c r="F18" s="3297"/>
      <c r="G18" s="3297"/>
      <c r="H18" s="3297"/>
      <c r="I18" s="3297"/>
      <c r="J18" s="3297"/>
      <c r="K18" s="3297"/>
      <c r="L18" s="3297"/>
      <c r="M18" s="3297"/>
      <c r="N18" s="3297"/>
      <c r="O18" s="3297"/>
    </row>
    <row r="19" spans="1:15" ht="16.5" thickBot="1">
      <c r="A19" s="1197"/>
      <c r="B19" s="1197"/>
      <c r="C19" s="1197"/>
      <c r="D19" s="1197"/>
      <c r="E19" s="1197"/>
      <c r="F19" s="1197"/>
      <c r="G19" s="1197"/>
      <c r="H19" s="1197"/>
      <c r="I19" s="1197"/>
      <c r="J19" s="1197"/>
      <c r="K19" s="1197"/>
      <c r="L19" s="1197"/>
      <c r="M19" s="1197"/>
      <c r="N19" s="1197"/>
      <c r="O19" s="1197"/>
    </row>
    <row r="20" spans="1:15" ht="25.5" customHeight="1" thickTop="1" thickBot="1">
      <c r="A20" s="1198"/>
      <c r="B20" s="1199" t="s">
        <v>770</v>
      </c>
      <c r="C20" s="1199"/>
      <c r="D20" s="1199"/>
      <c r="E20" s="1199"/>
      <c r="F20" s="1199"/>
      <c r="G20" s="1199"/>
      <c r="H20" s="1200"/>
      <c r="I20" s="1199" t="s">
        <v>771</v>
      </c>
      <c r="J20" s="1199"/>
      <c r="K20" s="1199"/>
      <c r="L20" s="1199"/>
      <c r="M20" s="1199"/>
      <c r="N20" s="1199"/>
      <c r="O20" s="1201"/>
    </row>
    <row r="21" spans="1:15" ht="20.100000000000001" customHeight="1">
      <c r="A21" s="1202"/>
      <c r="B21" s="1203" t="s">
        <v>772</v>
      </c>
      <c r="C21" s="1204" t="s">
        <v>763</v>
      </c>
      <c r="D21" s="1204" t="s">
        <v>773</v>
      </c>
      <c r="E21" s="1204" t="s">
        <v>774</v>
      </c>
      <c r="F21" s="1204" t="s">
        <v>775</v>
      </c>
      <c r="G21" s="1204" t="s">
        <v>776</v>
      </c>
      <c r="H21" s="1205" t="s">
        <v>777</v>
      </c>
      <c r="I21" s="1206" t="s">
        <v>772</v>
      </c>
      <c r="J21" s="1204" t="s">
        <v>763</v>
      </c>
      <c r="K21" s="1204" t="s">
        <v>773</v>
      </c>
      <c r="L21" s="1204" t="s">
        <v>774</v>
      </c>
      <c r="M21" s="1204" t="s">
        <v>775</v>
      </c>
      <c r="N21" s="1204" t="s">
        <v>778</v>
      </c>
      <c r="O21" s="1207" t="s">
        <v>777</v>
      </c>
    </row>
    <row r="22" spans="1:15" ht="20.100000000000001" customHeight="1">
      <c r="A22" s="1202"/>
      <c r="B22" s="1208" t="s">
        <v>194</v>
      </c>
      <c r="C22" s="1209" t="s">
        <v>779</v>
      </c>
      <c r="D22" s="1209" t="s">
        <v>780</v>
      </c>
      <c r="E22" s="1209" t="s">
        <v>212</v>
      </c>
      <c r="F22" s="1209" t="s">
        <v>781</v>
      </c>
      <c r="G22" s="1209" t="s">
        <v>782</v>
      </c>
      <c r="H22" s="1210" t="s">
        <v>783</v>
      </c>
      <c r="I22" s="1211" t="s">
        <v>194</v>
      </c>
      <c r="J22" s="1209" t="s">
        <v>779</v>
      </c>
      <c r="K22" s="1209" t="s">
        <v>780</v>
      </c>
      <c r="L22" s="1209" t="s">
        <v>212</v>
      </c>
      <c r="M22" s="1209" t="s">
        <v>781</v>
      </c>
      <c r="N22" s="1209" t="s">
        <v>782</v>
      </c>
      <c r="O22" s="1212" t="s">
        <v>783</v>
      </c>
    </row>
    <row r="23" spans="1:15" ht="20.100000000000001" customHeight="1">
      <c r="A23" s="1202"/>
      <c r="B23" s="1208" t="s">
        <v>784</v>
      </c>
      <c r="C23" s="1209"/>
      <c r="D23" s="1209"/>
      <c r="E23" s="1209"/>
      <c r="F23" s="1209" t="s">
        <v>785</v>
      </c>
      <c r="G23" s="1209" t="s">
        <v>786</v>
      </c>
      <c r="H23" s="1210" t="s">
        <v>785</v>
      </c>
      <c r="I23" s="1211" t="s">
        <v>784</v>
      </c>
      <c r="J23" s="1209"/>
      <c r="K23" s="1209"/>
      <c r="L23" s="1209"/>
      <c r="M23" s="1209" t="s">
        <v>785</v>
      </c>
      <c r="N23" s="1209" t="s">
        <v>786</v>
      </c>
      <c r="O23" s="1212" t="s">
        <v>785</v>
      </c>
    </row>
    <row r="24" spans="1:15" ht="20.100000000000001" customHeight="1" thickBot="1">
      <c r="A24" s="1202"/>
      <c r="B24" s="1213"/>
      <c r="C24" s="1214"/>
      <c r="D24" s="1214"/>
      <c r="E24" s="1215"/>
      <c r="F24" s="1216" t="s">
        <v>779</v>
      </c>
      <c r="G24" s="1216"/>
      <c r="H24" s="1217" t="s">
        <v>786</v>
      </c>
      <c r="I24" s="1218"/>
      <c r="J24" s="1219"/>
      <c r="K24" s="1219"/>
      <c r="L24" s="1216"/>
      <c r="M24" s="1216" t="s">
        <v>779</v>
      </c>
      <c r="N24" s="1216"/>
      <c r="O24" s="1220" t="s">
        <v>786</v>
      </c>
    </row>
    <row r="25" spans="1:15" ht="20.100000000000001" customHeight="1" thickBot="1">
      <c r="A25" s="1221"/>
      <c r="B25" s="1222"/>
      <c r="C25" s="1223" t="s">
        <v>74</v>
      </c>
      <c r="D25" s="1223"/>
      <c r="E25" s="1224" t="s">
        <v>787</v>
      </c>
      <c r="F25" s="3298" t="s">
        <v>788</v>
      </c>
      <c r="G25" s="3299"/>
      <c r="H25" s="3300"/>
      <c r="I25" s="1225"/>
      <c r="J25" s="1223" t="s">
        <v>74</v>
      </c>
      <c r="K25" s="1223"/>
      <c r="L25" s="1224" t="s">
        <v>787</v>
      </c>
      <c r="M25" s="3298" t="s">
        <v>788</v>
      </c>
      <c r="N25" s="3299"/>
      <c r="O25" s="3301"/>
    </row>
    <row r="26" spans="1:15" ht="20.100000000000001" customHeight="1" thickTop="1" thickBot="1">
      <c r="A26" s="1226">
        <v>41640</v>
      </c>
      <c r="B26" s="1227" t="s">
        <v>661</v>
      </c>
      <c r="C26" s="1228" t="s">
        <v>661</v>
      </c>
      <c r="D26" s="1228" t="s">
        <v>661</v>
      </c>
      <c r="E26" s="1229" t="s">
        <v>661</v>
      </c>
      <c r="F26" s="1230" t="s">
        <v>661</v>
      </c>
      <c r="G26" s="1230" t="s">
        <v>661</v>
      </c>
      <c r="H26" s="1230" t="s">
        <v>661</v>
      </c>
      <c r="I26" s="1231">
        <v>1</v>
      </c>
      <c r="J26" s="1228">
        <v>4900</v>
      </c>
      <c r="K26" s="1228">
        <v>1000</v>
      </c>
      <c r="L26" s="1232">
        <v>21</v>
      </c>
      <c r="M26" s="1230">
        <v>3.4</v>
      </c>
      <c r="N26" s="1230">
        <v>3.4</v>
      </c>
      <c r="O26" s="1233">
        <v>3.4</v>
      </c>
    </row>
    <row r="27" spans="1:15" ht="16.5" thickTop="1">
      <c r="A27" s="1234" t="s">
        <v>789</v>
      </c>
      <c r="B27" s="1235"/>
      <c r="C27" s="1235"/>
      <c r="D27" s="1235"/>
      <c r="E27" s="1235"/>
      <c r="F27" s="1235"/>
      <c r="G27" s="1235"/>
      <c r="H27" s="1235"/>
      <c r="I27" s="1235"/>
      <c r="J27" s="1235"/>
      <c r="K27" s="1235"/>
      <c r="L27" s="1235"/>
      <c r="M27" s="1235"/>
      <c r="N27" s="1235"/>
      <c r="O27" s="1235"/>
    </row>
    <row r="28" spans="1:15" ht="15.75">
      <c r="A28" s="1234" t="s">
        <v>790</v>
      </c>
      <c r="B28" s="1235"/>
      <c r="C28" s="1235"/>
      <c r="D28" s="1235"/>
      <c r="E28" s="1235"/>
      <c r="F28" s="1235"/>
      <c r="G28" s="1235"/>
      <c r="H28" s="1235"/>
      <c r="I28" s="1235"/>
      <c r="J28" s="1235"/>
      <c r="K28" s="1235"/>
      <c r="L28" s="1235"/>
      <c r="M28" s="1235"/>
      <c r="N28" s="1235"/>
      <c r="O28" s="1235"/>
    </row>
    <row r="29" spans="1:15" ht="15.75">
      <c r="A29" s="1194" t="s">
        <v>680</v>
      </c>
      <c r="B29" s="1235"/>
      <c r="C29" s="1235"/>
      <c r="D29" s="1235"/>
      <c r="E29" s="1235"/>
      <c r="F29" s="1235"/>
      <c r="G29" s="1235"/>
      <c r="H29" s="1235"/>
      <c r="I29" s="1235"/>
      <c r="J29" s="1235"/>
      <c r="K29" s="1235"/>
      <c r="L29" s="1235"/>
      <c r="M29" s="1235"/>
      <c r="N29" s="1235"/>
      <c r="O29" s="1235"/>
    </row>
    <row r="30" spans="1:15" ht="15.75">
      <c r="A30" s="1236"/>
      <c r="B30" s="1236"/>
      <c r="C30" s="1236"/>
      <c r="D30" s="1236"/>
      <c r="E30" s="1236"/>
      <c r="F30" s="1236"/>
      <c r="G30" s="1236"/>
      <c r="H30" s="1236"/>
      <c r="I30" s="1236"/>
      <c r="J30" s="1236"/>
      <c r="K30" s="1236"/>
      <c r="L30" s="1236"/>
      <c r="M30" s="1236"/>
      <c r="N30" s="1236"/>
      <c r="O30" s="1236"/>
    </row>
    <row r="31" spans="1:15" ht="15.75">
      <c r="A31" s="3297" t="s">
        <v>791</v>
      </c>
      <c r="B31" s="3297"/>
      <c r="C31" s="3297"/>
      <c r="D31" s="3297"/>
      <c r="E31" s="3297"/>
      <c r="F31" s="3297"/>
      <c r="G31" s="3297"/>
      <c r="H31" s="3297"/>
      <c r="I31" s="3297"/>
      <c r="J31" s="3297"/>
      <c r="K31" s="3297"/>
      <c r="L31" s="3297"/>
      <c r="M31" s="3297"/>
      <c r="N31" s="3297"/>
      <c r="O31" s="3297"/>
    </row>
    <row r="32" spans="1:15" ht="16.5" thickBot="1">
      <c r="A32" s="1237"/>
      <c r="B32" s="1237"/>
      <c r="C32" s="1236"/>
      <c r="D32" s="1236"/>
      <c r="E32" s="1236"/>
      <c r="F32" s="1236"/>
      <c r="G32" s="1236"/>
      <c r="H32" s="1236"/>
      <c r="I32" s="1236"/>
      <c r="J32" s="1236"/>
      <c r="K32" s="1236"/>
      <c r="L32" s="1236"/>
      <c r="M32" s="1236"/>
      <c r="N32" s="1236"/>
      <c r="O32" s="1236"/>
    </row>
    <row r="33" spans="1:15" ht="21.75" customHeight="1" thickBot="1">
      <c r="A33" s="1238" t="s">
        <v>212</v>
      </c>
      <c r="B33" s="3288">
        <v>41760</v>
      </c>
      <c r="C33" s="3289"/>
      <c r="D33" s="3289"/>
      <c r="E33" s="3290"/>
      <c r="F33" s="3288">
        <v>41791</v>
      </c>
      <c r="G33" s="3289"/>
      <c r="H33" s="3289"/>
      <c r="I33" s="3290"/>
      <c r="J33" s="1236"/>
      <c r="K33" s="1236"/>
      <c r="L33" s="1236"/>
      <c r="M33" s="1236"/>
      <c r="N33" s="1236"/>
      <c r="O33" s="1236"/>
    </row>
    <row r="34" spans="1:15" ht="22.5" customHeight="1" thickBot="1">
      <c r="A34" s="1238" t="s">
        <v>792</v>
      </c>
      <c r="B34" s="1238" t="s">
        <v>793</v>
      </c>
      <c r="C34" s="1239" t="s">
        <v>794</v>
      </c>
      <c r="D34" s="1240" t="s">
        <v>795</v>
      </c>
      <c r="E34" s="1241" t="s">
        <v>796</v>
      </c>
      <c r="F34" s="1238" t="s">
        <v>793</v>
      </c>
      <c r="G34" s="1239" t="s">
        <v>794</v>
      </c>
      <c r="H34" s="1240" t="s">
        <v>795</v>
      </c>
      <c r="I34" s="1241" t="s">
        <v>796</v>
      </c>
      <c r="J34" s="1236"/>
      <c r="K34" s="1236"/>
      <c r="L34" s="1236"/>
      <c r="M34" s="1242"/>
      <c r="N34" s="1236"/>
      <c r="O34" s="1236"/>
    </row>
    <row r="35" spans="1:15" ht="20.100000000000001" customHeight="1">
      <c r="A35" s="1243" t="s">
        <v>797</v>
      </c>
      <c r="B35" s="1244" t="s">
        <v>661</v>
      </c>
      <c r="C35" s="1245">
        <v>313</v>
      </c>
      <c r="D35" s="1245">
        <v>750</v>
      </c>
      <c r="E35" s="1246">
        <v>1260</v>
      </c>
      <c r="F35" s="1247">
        <v>900</v>
      </c>
      <c r="G35" s="1248">
        <v>900</v>
      </c>
      <c r="H35" s="1245">
        <v>700</v>
      </c>
      <c r="I35" s="1246" t="s">
        <v>661</v>
      </c>
      <c r="J35" s="1236"/>
      <c r="K35" s="1236"/>
      <c r="L35" s="1236"/>
      <c r="M35" s="1236"/>
      <c r="N35" s="1236"/>
      <c r="O35" s="1236"/>
    </row>
    <row r="36" spans="1:15" ht="20.100000000000001" customHeight="1">
      <c r="A36" s="1243" t="s">
        <v>798</v>
      </c>
      <c r="B36" s="1249" t="s">
        <v>661</v>
      </c>
      <c r="C36" s="1250">
        <v>2.79</v>
      </c>
      <c r="D36" s="1250">
        <v>2.79</v>
      </c>
      <c r="E36" s="1251">
        <v>2.9</v>
      </c>
      <c r="F36" s="1252">
        <v>2.4300000000000002</v>
      </c>
      <c r="G36" s="1253">
        <v>2.3199999999999998</v>
      </c>
      <c r="H36" s="1250">
        <v>2.56</v>
      </c>
      <c r="I36" s="1254" t="s">
        <v>661</v>
      </c>
      <c r="J36" s="1236"/>
      <c r="K36" s="1236"/>
      <c r="L36" s="1236"/>
      <c r="M36" s="1236"/>
      <c r="N36" s="1236"/>
      <c r="O36" s="1236"/>
    </row>
    <row r="37" spans="1:15" ht="20.100000000000001" customHeight="1">
      <c r="A37" s="1243" t="s">
        <v>799</v>
      </c>
      <c r="B37" s="1249" t="s">
        <v>661</v>
      </c>
      <c r="C37" s="1255">
        <v>98.628</v>
      </c>
      <c r="D37" s="1255">
        <v>97.956000000000003</v>
      </c>
      <c r="E37" s="1256" t="s">
        <v>800</v>
      </c>
      <c r="F37" s="1257">
        <v>99.397999999999996</v>
      </c>
      <c r="G37" s="1258">
        <v>98.855999999999995</v>
      </c>
      <c r="H37" s="1255">
        <v>98.120999999999995</v>
      </c>
      <c r="I37" s="1254" t="s">
        <v>661</v>
      </c>
      <c r="J37" s="1236"/>
      <c r="K37" s="1236"/>
      <c r="L37" s="1236"/>
      <c r="M37" s="1236"/>
      <c r="N37" s="1236"/>
      <c r="O37" s="1236"/>
    </row>
    <row r="38" spans="1:15" ht="20.100000000000001" customHeight="1" thickBot="1">
      <c r="A38" s="1259"/>
      <c r="B38" s="1260"/>
      <c r="C38" s="1261"/>
      <c r="D38" s="1262"/>
      <c r="E38" s="1263"/>
      <c r="F38" s="1264"/>
      <c r="G38" s="1262"/>
      <c r="H38" s="1261"/>
      <c r="I38" s="1263"/>
      <c r="J38" s="1236"/>
      <c r="K38" s="1236"/>
      <c r="L38" s="1236"/>
      <c r="M38" s="1236"/>
      <c r="N38" s="1236"/>
      <c r="O38" s="1236"/>
    </row>
    <row r="39" spans="1:15" ht="15.75">
      <c r="A39" s="1194" t="s">
        <v>680</v>
      </c>
      <c r="B39" s="1194"/>
      <c r="C39" s="1236"/>
      <c r="D39" s="1236"/>
      <c r="E39" s="1236"/>
      <c r="F39" s="1236"/>
      <c r="G39" s="1236"/>
      <c r="H39" s="1236"/>
      <c r="I39" s="1236"/>
      <c r="J39" s="1236"/>
      <c r="K39" s="1236"/>
      <c r="L39" s="1236"/>
      <c r="M39" s="1236"/>
      <c r="N39" s="1236"/>
      <c r="O39" s="1236"/>
    </row>
    <row r="40" spans="1:15" ht="15.75">
      <c r="A40" s="1236"/>
      <c r="B40" s="1236"/>
      <c r="C40" s="1236"/>
      <c r="D40" s="1236"/>
      <c r="E40" s="1236"/>
      <c r="F40" s="1236"/>
      <c r="G40" s="1236"/>
      <c r="H40" s="1236"/>
      <c r="I40" s="1236"/>
      <c r="J40" s="1236"/>
      <c r="K40" s="1236"/>
      <c r="L40" s="1236"/>
      <c r="M40" s="1236"/>
      <c r="N40" s="1236"/>
      <c r="O40" s="1236"/>
    </row>
  </sheetData>
  <mergeCells count="19">
    <mergeCell ref="A8:B8"/>
    <mergeCell ref="A1:E1"/>
    <mergeCell ref="A3:B4"/>
    <mergeCell ref="A5:B5"/>
    <mergeCell ref="A6:B6"/>
    <mergeCell ref="A7:B7"/>
    <mergeCell ref="B33:E33"/>
    <mergeCell ref="F33:I33"/>
    <mergeCell ref="A9:B9"/>
    <mergeCell ref="A10:B10"/>
    <mergeCell ref="A11:B11"/>
    <mergeCell ref="A12:B12"/>
    <mergeCell ref="A13:B13"/>
    <mergeCell ref="A14:B14"/>
    <mergeCell ref="A15:B15"/>
    <mergeCell ref="A18:O18"/>
    <mergeCell ref="F25:H25"/>
    <mergeCell ref="M25:O25"/>
    <mergeCell ref="A31:O31"/>
  </mergeCells>
  <pageMargins left="0.51181102362204722" right="0.11811023622047245" top="0.74803149606299213" bottom="0.74803149606299213" header="0.31496062992125984" footer="0.31496062992125984"/>
  <pageSetup paperSize="9" scale="6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Normal="100" workbookViewId="0">
      <selection activeCell="I19" sqref="I19"/>
    </sheetView>
  </sheetViews>
  <sheetFormatPr defaultRowHeight="15"/>
  <cols>
    <col min="1" max="1" width="9.140625" style="1269"/>
    <col min="2" max="2" width="40.28515625" style="1269" customWidth="1"/>
    <col min="3" max="3" width="14.42578125" style="1269" customWidth="1"/>
    <col min="4" max="4" width="16" style="1269" customWidth="1"/>
    <col min="5" max="5" width="14.42578125" style="1269" customWidth="1"/>
    <col min="6" max="6" width="18.42578125" style="1269" customWidth="1"/>
    <col min="7" max="7" width="3.42578125" style="1269" customWidth="1"/>
    <col min="8" max="257" width="9.140625" style="1269"/>
    <col min="258" max="258" width="40.28515625" style="1269" customWidth="1"/>
    <col min="259" max="259" width="14.42578125" style="1269" customWidth="1"/>
    <col min="260" max="260" width="16" style="1269" customWidth="1"/>
    <col min="261" max="261" width="14.42578125" style="1269" customWidth="1"/>
    <col min="262" max="262" width="16" style="1269" customWidth="1"/>
    <col min="263" max="263" width="3.42578125" style="1269" customWidth="1"/>
    <col min="264" max="513" width="9.140625" style="1269"/>
    <col min="514" max="514" width="40.28515625" style="1269" customWidth="1"/>
    <col min="515" max="515" width="14.42578125" style="1269" customWidth="1"/>
    <col min="516" max="516" width="16" style="1269" customWidth="1"/>
    <col min="517" max="517" width="14.42578125" style="1269" customWidth="1"/>
    <col min="518" max="518" width="16" style="1269" customWidth="1"/>
    <col min="519" max="519" width="3.42578125" style="1269" customWidth="1"/>
    <col min="520" max="769" width="9.140625" style="1269"/>
    <col min="770" max="770" width="40.28515625" style="1269" customWidth="1"/>
    <col min="771" max="771" width="14.42578125" style="1269" customWidth="1"/>
    <col min="772" max="772" width="16" style="1269" customWidth="1"/>
    <col min="773" max="773" width="14.42578125" style="1269" customWidth="1"/>
    <col min="774" max="774" width="16" style="1269" customWidth="1"/>
    <col min="775" max="775" width="3.42578125" style="1269" customWidth="1"/>
    <col min="776" max="1025" width="9.140625" style="1269"/>
    <col min="1026" max="1026" width="40.28515625" style="1269" customWidth="1"/>
    <col min="1027" max="1027" width="14.42578125" style="1269" customWidth="1"/>
    <col min="1028" max="1028" width="16" style="1269" customWidth="1"/>
    <col min="1029" max="1029" width="14.42578125" style="1269" customWidth="1"/>
    <col min="1030" max="1030" width="16" style="1269" customWidth="1"/>
    <col min="1031" max="1031" width="3.42578125" style="1269" customWidth="1"/>
    <col min="1032" max="1281" width="9.140625" style="1269"/>
    <col min="1282" max="1282" width="40.28515625" style="1269" customWidth="1"/>
    <col min="1283" max="1283" width="14.42578125" style="1269" customWidth="1"/>
    <col min="1284" max="1284" width="16" style="1269" customWidth="1"/>
    <col min="1285" max="1285" width="14.42578125" style="1269" customWidth="1"/>
    <col min="1286" max="1286" width="16" style="1269" customWidth="1"/>
    <col min="1287" max="1287" width="3.42578125" style="1269" customWidth="1"/>
    <col min="1288" max="1537" width="9.140625" style="1269"/>
    <col min="1538" max="1538" width="40.28515625" style="1269" customWidth="1"/>
    <col min="1539" max="1539" width="14.42578125" style="1269" customWidth="1"/>
    <col min="1540" max="1540" width="16" style="1269" customWidth="1"/>
    <col min="1541" max="1541" width="14.42578125" style="1269" customWidth="1"/>
    <col min="1542" max="1542" width="16" style="1269" customWidth="1"/>
    <col min="1543" max="1543" width="3.42578125" style="1269" customWidth="1"/>
    <col min="1544" max="1793" width="9.140625" style="1269"/>
    <col min="1794" max="1794" width="40.28515625" style="1269" customWidth="1"/>
    <col min="1795" max="1795" width="14.42578125" style="1269" customWidth="1"/>
    <col min="1796" max="1796" width="16" style="1269" customWidth="1"/>
    <col min="1797" max="1797" width="14.42578125" style="1269" customWidth="1"/>
    <col min="1798" max="1798" width="16" style="1269" customWidth="1"/>
    <col min="1799" max="1799" width="3.42578125" style="1269" customWidth="1"/>
    <col min="1800" max="2049" width="9.140625" style="1269"/>
    <col min="2050" max="2050" width="40.28515625" style="1269" customWidth="1"/>
    <col min="2051" max="2051" width="14.42578125" style="1269" customWidth="1"/>
    <col min="2052" max="2052" width="16" style="1269" customWidth="1"/>
    <col min="2053" max="2053" width="14.42578125" style="1269" customWidth="1"/>
    <col min="2054" max="2054" width="16" style="1269" customWidth="1"/>
    <col min="2055" max="2055" width="3.42578125" style="1269" customWidth="1"/>
    <col min="2056" max="2305" width="9.140625" style="1269"/>
    <col min="2306" max="2306" width="40.28515625" style="1269" customWidth="1"/>
    <col min="2307" max="2307" width="14.42578125" style="1269" customWidth="1"/>
    <col min="2308" max="2308" width="16" style="1269" customWidth="1"/>
    <col min="2309" max="2309" width="14.42578125" style="1269" customWidth="1"/>
    <col min="2310" max="2310" width="16" style="1269" customWidth="1"/>
    <col min="2311" max="2311" width="3.42578125" style="1269" customWidth="1"/>
    <col min="2312" max="2561" width="9.140625" style="1269"/>
    <col min="2562" max="2562" width="40.28515625" style="1269" customWidth="1"/>
    <col min="2563" max="2563" width="14.42578125" style="1269" customWidth="1"/>
    <col min="2564" max="2564" width="16" style="1269" customWidth="1"/>
    <col min="2565" max="2565" width="14.42578125" style="1269" customWidth="1"/>
    <col min="2566" max="2566" width="16" style="1269" customWidth="1"/>
    <col min="2567" max="2567" width="3.42578125" style="1269" customWidth="1"/>
    <col min="2568" max="2817" width="9.140625" style="1269"/>
    <col min="2818" max="2818" width="40.28515625" style="1269" customWidth="1"/>
    <col min="2819" max="2819" width="14.42578125" style="1269" customWidth="1"/>
    <col min="2820" max="2820" width="16" style="1269" customWidth="1"/>
    <col min="2821" max="2821" width="14.42578125" style="1269" customWidth="1"/>
    <col min="2822" max="2822" width="16" style="1269" customWidth="1"/>
    <col min="2823" max="2823" width="3.42578125" style="1269" customWidth="1"/>
    <col min="2824" max="3073" width="9.140625" style="1269"/>
    <col min="3074" max="3074" width="40.28515625" style="1269" customWidth="1"/>
    <col min="3075" max="3075" width="14.42578125" style="1269" customWidth="1"/>
    <col min="3076" max="3076" width="16" style="1269" customWidth="1"/>
    <col min="3077" max="3077" width="14.42578125" style="1269" customWidth="1"/>
    <col min="3078" max="3078" width="16" style="1269" customWidth="1"/>
    <col min="3079" max="3079" width="3.42578125" style="1269" customWidth="1"/>
    <col min="3080" max="3329" width="9.140625" style="1269"/>
    <col min="3330" max="3330" width="40.28515625" style="1269" customWidth="1"/>
    <col min="3331" max="3331" width="14.42578125" style="1269" customWidth="1"/>
    <col min="3332" max="3332" width="16" style="1269" customWidth="1"/>
    <col min="3333" max="3333" width="14.42578125" style="1269" customWidth="1"/>
    <col min="3334" max="3334" width="16" style="1269" customWidth="1"/>
    <col min="3335" max="3335" width="3.42578125" style="1269" customWidth="1"/>
    <col min="3336" max="3585" width="9.140625" style="1269"/>
    <col min="3586" max="3586" width="40.28515625" style="1269" customWidth="1"/>
    <col min="3587" max="3587" width="14.42578125" style="1269" customWidth="1"/>
    <col min="3588" max="3588" width="16" style="1269" customWidth="1"/>
    <col min="3589" max="3589" width="14.42578125" style="1269" customWidth="1"/>
    <col min="3590" max="3590" width="16" style="1269" customWidth="1"/>
    <col min="3591" max="3591" width="3.42578125" style="1269" customWidth="1"/>
    <col min="3592" max="3841" width="9.140625" style="1269"/>
    <col min="3842" max="3842" width="40.28515625" style="1269" customWidth="1"/>
    <col min="3843" max="3843" width="14.42578125" style="1269" customWidth="1"/>
    <col min="3844" max="3844" width="16" style="1269" customWidth="1"/>
    <col min="3845" max="3845" width="14.42578125" style="1269" customWidth="1"/>
    <col min="3846" max="3846" width="16" style="1269" customWidth="1"/>
    <col min="3847" max="3847" width="3.42578125" style="1269" customWidth="1"/>
    <col min="3848" max="4097" width="9.140625" style="1269"/>
    <col min="4098" max="4098" width="40.28515625" style="1269" customWidth="1"/>
    <col min="4099" max="4099" width="14.42578125" style="1269" customWidth="1"/>
    <col min="4100" max="4100" width="16" style="1269" customWidth="1"/>
    <col min="4101" max="4101" width="14.42578125" style="1269" customWidth="1"/>
    <col min="4102" max="4102" width="16" style="1269" customWidth="1"/>
    <col min="4103" max="4103" width="3.42578125" style="1269" customWidth="1"/>
    <col min="4104" max="4353" width="9.140625" style="1269"/>
    <col min="4354" max="4354" width="40.28515625" style="1269" customWidth="1"/>
    <col min="4355" max="4355" width="14.42578125" style="1269" customWidth="1"/>
    <col min="4356" max="4356" width="16" style="1269" customWidth="1"/>
    <col min="4357" max="4357" width="14.42578125" style="1269" customWidth="1"/>
    <col min="4358" max="4358" width="16" style="1269" customWidth="1"/>
    <col min="4359" max="4359" width="3.42578125" style="1269" customWidth="1"/>
    <col min="4360" max="4609" width="9.140625" style="1269"/>
    <col min="4610" max="4610" width="40.28515625" style="1269" customWidth="1"/>
    <col min="4611" max="4611" width="14.42578125" style="1269" customWidth="1"/>
    <col min="4612" max="4612" width="16" style="1269" customWidth="1"/>
    <col min="4613" max="4613" width="14.42578125" style="1269" customWidth="1"/>
    <col min="4614" max="4614" width="16" style="1269" customWidth="1"/>
    <col min="4615" max="4615" width="3.42578125" style="1269" customWidth="1"/>
    <col min="4616" max="4865" width="9.140625" style="1269"/>
    <col min="4866" max="4866" width="40.28515625" style="1269" customWidth="1"/>
    <col min="4867" max="4867" width="14.42578125" style="1269" customWidth="1"/>
    <col min="4868" max="4868" width="16" style="1269" customWidth="1"/>
    <col min="4869" max="4869" width="14.42578125" style="1269" customWidth="1"/>
    <col min="4870" max="4870" width="16" style="1269" customWidth="1"/>
    <col min="4871" max="4871" width="3.42578125" style="1269" customWidth="1"/>
    <col min="4872" max="5121" width="9.140625" style="1269"/>
    <col min="5122" max="5122" width="40.28515625" style="1269" customWidth="1"/>
    <col min="5123" max="5123" width="14.42578125" style="1269" customWidth="1"/>
    <col min="5124" max="5124" width="16" style="1269" customWidth="1"/>
    <col min="5125" max="5125" width="14.42578125" style="1269" customWidth="1"/>
    <col min="5126" max="5126" width="16" style="1269" customWidth="1"/>
    <col min="5127" max="5127" width="3.42578125" style="1269" customWidth="1"/>
    <col min="5128" max="5377" width="9.140625" style="1269"/>
    <col min="5378" max="5378" width="40.28515625" style="1269" customWidth="1"/>
    <col min="5379" max="5379" width="14.42578125" style="1269" customWidth="1"/>
    <col min="5380" max="5380" width="16" style="1269" customWidth="1"/>
    <col min="5381" max="5381" width="14.42578125" style="1269" customWidth="1"/>
    <col min="5382" max="5382" width="16" style="1269" customWidth="1"/>
    <col min="5383" max="5383" width="3.42578125" style="1269" customWidth="1"/>
    <col min="5384" max="5633" width="9.140625" style="1269"/>
    <col min="5634" max="5634" width="40.28515625" style="1269" customWidth="1"/>
    <col min="5635" max="5635" width="14.42578125" style="1269" customWidth="1"/>
    <col min="5636" max="5636" width="16" style="1269" customWidth="1"/>
    <col min="5637" max="5637" width="14.42578125" style="1269" customWidth="1"/>
    <col min="5638" max="5638" width="16" style="1269" customWidth="1"/>
    <col min="5639" max="5639" width="3.42578125" style="1269" customWidth="1"/>
    <col min="5640" max="5889" width="9.140625" style="1269"/>
    <col min="5890" max="5890" width="40.28515625" style="1269" customWidth="1"/>
    <col min="5891" max="5891" width="14.42578125" style="1269" customWidth="1"/>
    <col min="5892" max="5892" width="16" style="1269" customWidth="1"/>
    <col min="5893" max="5893" width="14.42578125" style="1269" customWidth="1"/>
    <col min="5894" max="5894" width="16" style="1269" customWidth="1"/>
    <col min="5895" max="5895" width="3.42578125" style="1269" customWidth="1"/>
    <col min="5896" max="6145" width="9.140625" style="1269"/>
    <col min="6146" max="6146" width="40.28515625" style="1269" customWidth="1"/>
    <col min="6147" max="6147" width="14.42578125" style="1269" customWidth="1"/>
    <col min="6148" max="6148" width="16" style="1269" customWidth="1"/>
    <col min="6149" max="6149" width="14.42578125" style="1269" customWidth="1"/>
    <col min="6150" max="6150" width="16" style="1269" customWidth="1"/>
    <col min="6151" max="6151" width="3.42578125" style="1269" customWidth="1"/>
    <col min="6152" max="6401" width="9.140625" style="1269"/>
    <col min="6402" max="6402" width="40.28515625" style="1269" customWidth="1"/>
    <col min="6403" max="6403" width="14.42578125" style="1269" customWidth="1"/>
    <col min="6404" max="6404" width="16" style="1269" customWidth="1"/>
    <col min="6405" max="6405" width="14.42578125" style="1269" customWidth="1"/>
    <col min="6406" max="6406" width="16" style="1269" customWidth="1"/>
    <col min="6407" max="6407" width="3.42578125" style="1269" customWidth="1"/>
    <col min="6408" max="6657" width="9.140625" style="1269"/>
    <col min="6658" max="6658" width="40.28515625" style="1269" customWidth="1"/>
    <col min="6659" max="6659" width="14.42578125" style="1269" customWidth="1"/>
    <col min="6660" max="6660" width="16" style="1269" customWidth="1"/>
    <col min="6661" max="6661" width="14.42578125" style="1269" customWidth="1"/>
    <col min="6662" max="6662" width="16" style="1269" customWidth="1"/>
    <col min="6663" max="6663" width="3.42578125" style="1269" customWidth="1"/>
    <col min="6664" max="6913" width="9.140625" style="1269"/>
    <col min="6914" max="6914" width="40.28515625" style="1269" customWidth="1"/>
    <col min="6915" max="6915" width="14.42578125" style="1269" customWidth="1"/>
    <col min="6916" max="6916" width="16" style="1269" customWidth="1"/>
    <col min="6917" max="6917" width="14.42578125" style="1269" customWidth="1"/>
    <col min="6918" max="6918" width="16" style="1269" customWidth="1"/>
    <col min="6919" max="6919" width="3.42578125" style="1269" customWidth="1"/>
    <col min="6920" max="7169" width="9.140625" style="1269"/>
    <col min="7170" max="7170" width="40.28515625" style="1269" customWidth="1"/>
    <col min="7171" max="7171" width="14.42578125" style="1269" customWidth="1"/>
    <col min="7172" max="7172" width="16" style="1269" customWidth="1"/>
    <col min="7173" max="7173" width="14.42578125" style="1269" customWidth="1"/>
    <col min="7174" max="7174" width="16" style="1269" customWidth="1"/>
    <col min="7175" max="7175" width="3.42578125" style="1269" customWidth="1"/>
    <col min="7176" max="7425" width="9.140625" style="1269"/>
    <col min="7426" max="7426" width="40.28515625" style="1269" customWidth="1"/>
    <col min="7427" max="7427" width="14.42578125" style="1269" customWidth="1"/>
    <col min="7428" max="7428" width="16" style="1269" customWidth="1"/>
    <col min="7429" max="7429" width="14.42578125" style="1269" customWidth="1"/>
    <col min="7430" max="7430" width="16" style="1269" customWidth="1"/>
    <col min="7431" max="7431" width="3.42578125" style="1269" customWidth="1"/>
    <col min="7432" max="7681" width="9.140625" style="1269"/>
    <col min="7682" max="7682" width="40.28515625" style="1269" customWidth="1"/>
    <col min="7683" max="7683" width="14.42578125" style="1269" customWidth="1"/>
    <col min="7684" max="7684" width="16" style="1269" customWidth="1"/>
    <col min="7685" max="7685" width="14.42578125" style="1269" customWidth="1"/>
    <col min="7686" max="7686" width="16" style="1269" customWidth="1"/>
    <col min="7687" max="7687" width="3.42578125" style="1269" customWidth="1"/>
    <col min="7688" max="7937" width="9.140625" style="1269"/>
    <col min="7938" max="7938" width="40.28515625" style="1269" customWidth="1"/>
    <col min="7939" max="7939" width="14.42578125" style="1269" customWidth="1"/>
    <col min="7940" max="7940" width="16" style="1269" customWidth="1"/>
    <col min="7941" max="7941" width="14.42578125" style="1269" customWidth="1"/>
    <col min="7942" max="7942" width="16" style="1269" customWidth="1"/>
    <col min="7943" max="7943" width="3.42578125" style="1269" customWidth="1"/>
    <col min="7944" max="8193" width="9.140625" style="1269"/>
    <col min="8194" max="8194" width="40.28515625" style="1269" customWidth="1"/>
    <col min="8195" max="8195" width="14.42578125" style="1269" customWidth="1"/>
    <col min="8196" max="8196" width="16" style="1269" customWidth="1"/>
    <col min="8197" max="8197" width="14.42578125" style="1269" customWidth="1"/>
    <col min="8198" max="8198" width="16" style="1269" customWidth="1"/>
    <col min="8199" max="8199" width="3.42578125" style="1269" customWidth="1"/>
    <col min="8200" max="8449" width="9.140625" style="1269"/>
    <col min="8450" max="8450" width="40.28515625" style="1269" customWidth="1"/>
    <col min="8451" max="8451" width="14.42578125" style="1269" customWidth="1"/>
    <col min="8452" max="8452" width="16" style="1269" customWidth="1"/>
    <col min="8453" max="8453" width="14.42578125" style="1269" customWidth="1"/>
    <col min="8454" max="8454" width="16" style="1269" customWidth="1"/>
    <col min="8455" max="8455" width="3.42578125" style="1269" customWidth="1"/>
    <col min="8456" max="8705" width="9.140625" style="1269"/>
    <col min="8706" max="8706" width="40.28515625" style="1269" customWidth="1"/>
    <col min="8707" max="8707" width="14.42578125" style="1269" customWidth="1"/>
    <col min="8708" max="8708" width="16" style="1269" customWidth="1"/>
    <col min="8709" max="8709" width="14.42578125" style="1269" customWidth="1"/>
    <col min="8710" max="8710" width="16" style="1269" customWidth="1"/>
    <col min="8711" max="8711" width="3.42578125" style="1269" customWidth="1"/>
    <col min="8712" max="8961" width="9.140625" style="1269"/>
    <col min="8962" max="8962" width="40.28515625" style="1269" customWidth="1"/>
    <col min="8963" max="8963" width="14.42578125" style="1269" customWidth="1"/>
    <col min="8964" max="8964" width="16" style="1269" customWidth="1"/>
    <col min="8965" max="8965" width="14.42578125" style="1269" customWidth="1"/>
    <col min="8966" max="8966" width="16" style="1269" customWidth="1"/>
    <col min="8967" max="8967" width="3.42578125" style="1269" customWidth="1"/>
    <col min="8968" max="9217" width="9.140625" style="1269"/>
    <col min="9218" max="9218" width="40.28515625" style="1269" customWidth="1"/>
    <col min="9219" max="9219" width="14.42578125" style="1269" customWidth="1"/>
    <col min="9220" max="9220" width="16" style="1269" customWidth="1"/>
    <col min="9221" max="9221" width="14.42578125" style="1269" customWidth="1"/>
    <col min="9222" max="9222" width="16" style="1269" customWidth="1"/>
    <col min="9223" max="9223" width="3.42578125" style="1269" customWidth="1"/>
    <col min="9224" max="9473" width="9.140625" style="1269"/>
    <col min="9474" max="9474" width="40.28515625" style="1269" customWidth="1"/>
    <col min="9475" max="9475" width="14.42578125" style="1269" customWidth="1"/>
    <col min="9476" max="9476" width="16" style="1269" customWidth="1"/>
    <col min="9477" max="9477" width="14.42578125" style="1269" customWidth="1"/>
    <col min="9478" max="9478" width="16" style="1269" customWidth="1"/>
    <col min="9479" max="9479" width="3.42578125" style="1269" customWidth="1"/>
    <col min="9480" max="9729" width="9.140625" style="1269"/>
    <col min="9730" max="9730" width="40.28515625" style="1269" customWidth="1"/>
    <col min="9731" max="9731" width="14.42578125" style="1269" customWidth="1"/>
    <col min="9732" max="9732" width="16" style="1269" customWidth="1"/>
    <col min="9733" max="9733" width="14.42578125" style="1269" customWidth="1"/>
    <col min="9734" max="9734" width="16" style="1269" customWidth="1"/>
    <col min="9735" max="9735" width="3.42578125" style="1269" customWidth="1"/>
    <col min="9736" max="9985" width="9.140625" style="1269"/>
    <col min="9986" max="9986" width="40.28515625" style="1269" customWidth="1"/>
    <col min="9987" max="9987" width="14.42578125" style="1269" customWidth="1"/>
    <col min="9988" max="9988" width="16" style="1269" customWidth="1"/>
    <col min="9989" max="9989" width="14.42578125" style="1269" customWidth="1"/>
    <col min="9990" max="9990" width="16" style="1269" customWidth="1"/>
    <col min="9991" max="9991" width="3.42578125" style="1269" customWidth="1"/>
    <col min="9992" max="10241" width="9.140625" style="1269"/>
    <col min="10242" max="10242" width="40.28515625" style="1269" customWidth="1"/>
    <col min="10243" max="10243" width="14.42578125" style="1269" customWidth="1"/>
    <col min="10244" max="10244" width="16" style="1269" customWidth="1"/>
    <col min="10245" max="10245" width="14.42578125" style="1269" customWidth="1"/>
    <col min="10246" max="10246" width="16" style="1269" customWidth="1"/>
    <col min="10247" max="10247" width="3.42578125" style="1269" customWidth="1"/>
    <col min="10248" max="10497" width="9.140625" style="1269"/>
    <col min="10498" max="10498" width="40.28515625" style="1269" customWidth="1"/>
    <col min="10499" max="10499" width="14.42578125" style="1269" customWidth="1"/>
    <col min="10500" max="10500" width="16" style="1269" customWidth="1"/>
    <col min="10501" max="10501" width="14.42578125" style="1269" customWidth="1"/>
    <col min="10502" max="10502" width="16" style="1269" customWidth="1"/>
    <col min="10503" max="10503" width="3.42578125" style="1269" customWidth="1"/>
    <col min="10504" max="10753" width="9.140625" style="1269"/>
    <col min="10754" max="10754" width="40.28515625" style="1269" customWidth="1"/>
    <col min="10755" max="10755" width="14.42578125" style="1269" customWidth="1"/>
    <col min="10756" max="10756" width="16" style="1269" customWidth="1"/>
    <col min="10757" max="10757" width="14.42578125" style="1269" customWidth="1"/>
    <col min="10758" max="10758" width="16" style="1269" customWidth="1"/>
    <col min="10759" max="10759" width="3.42578125" style="1269" customWidth="1"/>
    <col min="10760" max="11009" width="9.140625" style="1269"/>
    <col min="11010" max="11010" width="40.28515625" style="1269" customWidth="1"/>
    <col min="11011" max="11011" width="14.42578125" style="1269" customWidth="1"/>
    <col min="11012" max="11012" width="16" style="1269" customWidth="1"/>
    <col min="11013" max="11013" width="14.42578125" style="1269" customWidth="1"/>
    <col min="11014" max="11014" width="16" style="1269" customWidth="1"/>
    <col min="11015" max="11015" width="3.42578125" style="1269" customWidth="1"/>
    <col min="11016" max="11265" width="9.140625" style="1269"/>
    <col min="11266" max="11266" width="40.28515625" style="1269" customWidth="1"/>
    <col min="11267" max="11267" width="14.42578125" style="1269" customWidth="1"/>
    <col min="11268" max="11268" width="16" style="1269" customWidth="1"/>
    <col min="11269" max="11269" width="14.42578125" style="1269" customWidth="1"/>
    <col min="11270" max="11270" width="16" style="1269" customWidth="1"/>
    <col min="11271" max="11271" width="3.42578125" style="1269" customWidth="1"/>
    <col min="11272" max="11521" width="9.140625" style="1269"/>
    <col min="11522" max="11522" width="40.28515625" style="1269" customWidth="1"/>
    <col min="11523" max="11523" width="14.42578125" style="1269" customWidth="1"/>
    <col min="11524" max="11524" width="16" style="1269" customWidth="1"/>
    <col min="11525" max="11525" width="14.42578125" style="1269" customWidth="1"/>
    <col min="11526" max="11526" width="16" style="1269" customWidth="1"/>
    <col min="11527" max="11527" width="3.42578125" style="1269" customWidth="1"/>
    <col min="11528" max="11777" width="9.140625" style="1269"/>
    <col min="11778" max="11778" width="40.28515625" style="1269" customWidth="1"/>
    <col min="11779" max="11779" width="14.42578125" style="1269" customWidth="1"/>
    <col min="11780" max="11780" width="16" style="1269" customWidth="1"/>
    <col min="11781" max="11781" width="14.42578125" style="1269" customWidth="1"/>
    <col min="11782" max="11782" width="16" style="1269" customWidth="1"/>
    <col min="11783" max="11783" width="3.42578125" style="1269" customWidth="1"/>
    <col min="11784" max="12033" width="9.140625" style="1269"/>
    <col min="12034" max="12034" width="40.28515625" style="1269" customWidth="1"/>
    <col min="12035" max="12035" width="14.42578125" style="1269" customWidth="1"/>
    <col min="12036" max="12036" width="16" style="1269" customWidth="1"/>
    <col min="12037" max="12037" width="14.42578125" style="1269" customWidth="1"/>
    <col min="12038" max="12038" width="16" style="1269" customWidth="1"/>
    <col min="12039" max="12039" width="3.42578125" style="1269" customWidth="1"/>
    <col min="12040" max="12289" width="9.140625" style="1269"/>
    <col min="12290" max="12290" width="40.28515625" style="1269" customWidth="1"/>
    <col min="12291" max="12291" width="14.42578125" style="1269" customWidth="1"/>
    <col min="12292" max="12292" width="16" style="1269" customWidth="1"/>
    <col min="12293" max="12293" width="14.42578125" style="1269" customWidth="1"/>
    <col min="12294" max="12294" width="16" style="1269" customWidth="1"/>
    <col min="12295" max="12295" width="3.42578125" style="1269" customWidth="1"/>
    <col min="12296" max="12545" width="9.140625" style="1269"/>
    <col min="12546" max="12546" width="40.28515625" style="1269" customWidth="1"/>
    <col min="12547" max="12547" width="14.42578125" style="1269" customWidth="1"/>
    <col min="12548" max="12548" width="16" style="1269" customWidth="1"/>
    <col min="12549" max="12549" width="14.42578125" style="1269" customWidth="1"/>
    <col min="12550" max="12550" width="16" style="1269" customWidth="1"/>
    <col min="12551" max="12551" width="3.42578125" style="1269" customWidth="1"/>
    <col min="12552" max="12801" width="9.140625" style="1269"/>
    <col min="12802" max="12802" width="40.28515625" style="1269" customWidth="1"/>
    <col min="12803" max="12803" width="14.42578125" style="1269" customWidth="1"/>
    <col min="12804" max="12804" width="16" style="1269" customWidth="1"/>
    <col min="12805" max="12805" width="14.42578125" style="1269" customWidth="1"/>
    <col min="12806" max="12806" width="16" style="1269" customWidth="1"/>
    <col min="12807" max="12807" width="3.42578125" style="1269" customWidth="1"/>
    <col min="12808" max="13057" width="9.140625" style="1269"/>
    <col min="13058" max="13058" width="40.28515625" style="1269" customWidth="1"/>
    <col min="13059" max="13059" width="14.42578125" style="1269" customWidth="1"/>
    <col min="13060" max="13060" width="16" style="1269" customWidth="1"/>
    <col min="13061" max="13061" width="14.42578125" style="1269" customWidth="1"/>
    <col min="13062" max="13062" width="16" style="1269" customWidth="1"/>
    <col min="13063" max="13063" width="3.42578125" style="1269" customWidth="1"/>
    <col min="13064" max="13313" width="9.140625" style="1269"/>
    <col min="13314" max="13314" width="40.28515625" style="1269" customWidth="1"/>
    <col min="13315" max="13315" width="14.42578125" style="1269" customWidth="1"/>
    <col min="13316" max="13316" width="16" style="1269" customWidth="1"/>
    <col min="13317" max="13317" width="14.42578125" style="1269" customWidth="1"/>
    <col min="13318" max="13318" width="16" style="1269" customWidth="1"/>
    <col min="13319" max="13319" width="3.42578125" style="1269" customWidth="1"/>
    <col min="13320" max="13569" width="9.140625" style="1269"/>
    <col min="13570" max="13570" width="40.28515625" style="1269" customWidth="1"/>
    <col min="13571" max="13571" width="14.42578125" style="1269" customWidth="1"/>
    <col min="13572" max="13572" width="16" style="1269" customWidth="1"/>
    <col min="13573" max="13573" width="14.42578125" style="1269" customWidth="1"/>
    <col min="13574" max="13574" width="16" style="1269" customWidth="1"/>
    <col min="13575" max="13575" width="3.42578125" style="1269" customWidth="1"/>
    <col min="13576" max="13825" width="9.140625" style="1269"/>
    <col min="13826" max="13826" width="40.28515625" style="1269" customWidth="1"/>
    <col min="13827" max="13827" width="14.42578125" style="1269" customWidth="1"/>
    <col min="13828" max="13828" width="16" style="1269" customWidth="1"/>
    <col min="13829" max="13829" width="14.42578125" style="1269" customWidth="1"/>
    <col min="13830" max="13830" width="16" style="1269" customWidth="1"/>
    <col min="13831" max="13831" width="3.42578125" style="1269" customWidth="1"/>
    <col min="13832" max="14081" width="9.140625" style="1269"/>
    <col min="14082" max="14082" width="40.28515625" style="1269" customWidth="1"/>
    <col min="14083" max="14083" width="14.42578125" style="1269" customWidth="1"/>
    <col min="14084" max="14084" width="16" style="1269" customWidth="1"/>
    <col min="14085" max="14085" width="14.42578125" style="1269" customWidth="1"/>
    <col min="14086" max="14086" width="16" style="1269" customWidth="1"/>
    <col min="14087" max="14087" width="3.42578125" style="1269" customWidth="1"/>
    <col min="14088" max="14337" width="9.140625" style="1269"/>
    <col min="14338" max="14338" width="40.28515625" style="1269" customWidth="1"/>
    <col min="14339" max="14339" width="14.42578125" style="1269" customWidth="1"/>
    <col min="14340" max="14340" width="16" style="1269" customWidth="1"/>
    <col min="14341" max="14341" width="14.42578125" style="1269" customWidth="1"/>
    <col min="14342" max="14342" width="16" style="1269" customWidth="1"/>
    <col min="14343" max="14343" width="3.42578125" style="1269" customWidth="1"/>
    <col min="14344" max="14593" width="9.140625" style="1269"/>
    <col min="14594" max="14594" width="40.28515625" style="1269" customWidth="1"/>
    <col min="14595" max="14595" width="14.42578125" style="1269" customWidth="1"/>
    <col min="14596" max="14596" width="16" style="1269" customWidth="1"/>
    <col min="14597" max="14597" width="14.42578125" style="1269" customWidth="1"/>
    <col min="14598" max="14598" width="16" style="1269" customWidth="1"/>
    <col min="14599" max="14599" width="3.42578125" style="1269" customWidth="1"/>
    <col min="14600" max="14849" width="9.140625" style="1269"/>
    <col min="14850" max="14850" width="40.28515625" style="1269" customWidth="1"/>
    <col min="14851" max="14851" width="14.42578125" style="1269" customWidth="1"/>
    <col min="14852" max="14852" width="16" style="1269" customWidth="1"/>
    <col min="14853" max="14853" width="14.42578125" style="1269" customWidth="1"/>
    <col min="14854" max="14854" width="16" style="1269" customWidth="1"/>
    <col min="14855" max="14855" width="3.42578125" style="1269" customWidth="1"/>
    <col min="14856" max="15105" width="9.140625" style="1269"/>
    <col min="15106" max="15106" width="40.28515625" style="1269" customWidth="1"/>
    <col min="15107" max="15107" width="14.42578125" style="1269" customWidth="1"/>
    <col min="15108" max="15108" width="16" style="1269" customWidth="1"/>
    <col min="15109" max="15109" width="14.42578125" style="1269" customWidth="1"/>
    <col min="15110" max="15110" width="16" style="1269" customWidth="1"/>
    <col min="15111" max="15111" width="3.42578125" style="1269" customWidth="1"/>
    <col min="15112" max="15361" width="9.140625" style="1269"/>
    <col min="15362" max="15362" width="40.28515625" style="1269" customWidth="1"/>
    <col min="15363" max="15363" width="14.42578125" style="1269" customWidth="1"/>
    <col min="15364" max="15364" width="16" style="1269" customWidth="1"/>
    <col min="15365" max="15365" width="14.42578125" style="1269" customWidth="1"/>
    <col min="15366" max="15366" width="16" style="1269" customWidth="1"/>
    <col min="15367" max="15367" width="3.42578125" style="1269" customWidth="1"/>
    <col min="15368" max="15617" width="9.140625" style="1269"/>
    <col min="15618" max="15618" width="40.28515625" style="1269" customWidth="1"/>
    <col min="15619" max="15619" width="14.42578125" style="1269" customWidth="1"/>
    <col min="15620" max="15620" width="16" style="1269" customWidth="1"/>
    <col min="15621" max="15621" width="14.42578125" style="1269" customWidth="1"/>
    <col min="15622" max="15622" width="16" style="1269" customWidth="1"/>
    <col min="15623" max="15623" width="3.42578125" style="1269" customWidth="1"/>
    <col min="15624" max="15873" width="9.140625" style="1269"/>
    <col min="15874" max="15874" width="40.28515625" style="1269" customWidth="1"/>
    <col min="15875" max="15875" width="14.42578125" style="1269" customWidth="1"/>
    <col min="15876" max="15876" width="16" style="1269" customWidth="1"/>
    <col min="15877" max="15877" width="14.42578125" style="1269" customWidth="1"/>
    <col min="15878" max="15878" width="16" style="1269" customWidth="1"/>
    <col min="15879" max="15879" width="3.42578125" style="1269" customWidth="1"/>
    <col min="15880" max="16129" width="9.140625" style="1269"/>
    <col min="16130" max="16130" width="40.28515625" style="1269" customWidth="1"/>
    <col min="16131" max="16131" width="14.42578125" style="1269" customWidth="1"/>
    <col min="16132" max="16132" width="16" style="1269" customWidth="1"/>
    <col min="16133" max="16133" width="14.42578125" style="1269" customWidth="1"/>
    <col min="16134" max="16134" width="16" style="1269" customWidth="1"/>
    <col min="16135" max="16135" width="3.42578125" style="1269" customWidth="1"/>
    <col min="16136" max="16384" width="9.140625" style="1269"/>
  </cols>
  <sheetData>
    <row r="1" spans="1:11" ht="21" customHeight="1">
      <c r="A1" s="1237" t="s">
        <v>801</v>
      </c>
      <c r="B1" s="1237"/>
      <c r="C1" s="1265"/>
      <c r="D1" s="1265"/>
      <c r="E1" s="1266"/>
      <c r="F1" s="1267"/>
      <c r="G1" s="1268"/>
      <c r="H1" s="1267"/>
      <c r="I1" s="1267"/>
      <c r="J1" s="1267"/>
      <c r="K1" s="1267"/>
    </row>
    <row r="2" spans="1:11" ht="21" customHeight="1" thickBot="1">
      <c r="A2" s="1270"/>
      <c r="B2" s="1237"/>
      <c r="C2" s="1265"/>
      <c r="D2" s="1265"/>
      <c r="E2" s="1266"/>
      <c r="F2" s="1267"/>
      <c r="G2" s="1268"/>
      <c r="H2" s="1267"/>
      <c r="I2" s="1267"/>
      <c r="J2" s="1267"/>
      <c r="K2" s="1267"/>
    </row>
    <row r="3" spans="1:11" ht="21" customHeight="1" thickBot="1">
      <c r="A3" s="1271"/>
      <c r="B3" s="1272"/>
      <c r="C3" s="3334" t="s">
        <v>802</v>
      </c>
      <c r="D3" s="3335"/>
      <c r="E3" s="3334" t="s">
        <v>803</v>
      </c>
      <c r="F3" s="3335"/>
      <c r="G3" s="1267"/>
      <c r="H3" s="1267"/>
      <c r="I3" s="1267"/>
      <c r="J3" s="1267"/>
      <c r="K3" s="1267"/>
    </row>
    <row r="4" spans="1:11" ht="21" customHeight="1" thickBot="1">
      <c r="A4" s="1273"/>
      <c r="B4" s="1274"/>
      <c r="C4" s="3320" t="s">
        <v>804</v>
      </c>
      <c r="D4" s="3321"/>
      <c r="E4" s="3320" t="s">
        <v>804</v>
      </c>
      <c r="F4" s="3321"/>
      <c r="G4" s="1268"/>
      <c r="H4" s="1267"/>
      <c r="I4" s="1267"/>
      <c r="J4" s="1267"/>
      <c r="K4" s="1267"/>
    </row>
    <row r="5" spans="1:11" ht="21" customHeight="1">
      <c r="A5" s="1275">
        <v>1</v>
      </c>
      <c r="B5" s="1276" t="s">
        <v>805</v>
      </c>
      <c r="C5" s="3323">
        <v>610</v>
      </c>
      <c r="D5" s="3324"/>
      <c r="E5" s="3323">
        <v>2300</v>
      </c>
      <c r="F5" s="3324"/>
      <c r="G5" s="1268"/>
      <c r="H5" s="1267"/>
      <c r="I5" s="1267"/>
      <c r="J5" s="1267"/>
      <c r="K5" s="1267"/>
    </row>
    <row r="6" spans="1:11" ht="21" customHeight="1">
      <c r="A6" s="1275">
        <v>2</v>
      </c>
      <c r="B6" s="1277" t="s">
        <v>806</v>
      </c>
      <c r="C6" s="3326">
        <v>4.5</v>
      </c>
      <c r="D6" s="3327"/>
      <c r="E6" s="3326">
        <v>4.0999999999999996</v>
      </c>
      <c r="F6" s="3327"/>
      <c r="G6" s="1268"/>
      <c r="H6" s="1267"/>
      <c r="I6" s="1267"/>
      <c r="J6" s="1267"/>
      <c r="K6" s="1267"/>
    </row>
    <row r="7" spans="1:11" ht="21" customHeight="1">
      <c r="A7" s="1275">
        <v>3</v>
      </c>
      <c r="B7" s="1276" t="s">
        <v>807</v>
      </c>
      <c r="C7" s="3311">
        <v>4.33</v>
      </c>
      <c r="D7" s="3312"/>
      <c r="E7" s="3311">
        <v>4.12</v>
      </c>
      <c r="F7" s="3312"/>
    </row>
    <row r="8" spans="1:11" ht="21" customHeight="1">
      <c r="A8" s="1275">
        <v>4</v>
      </c>
      <c r="B8" s="1276" t="s">
        <v>808</v>
      </c>
      <c r="C8" s="3314">
        <v>100.46</v>
      </c>
      <c r="D8" s="3315"/>
      <c r="E8" s="3314">
        <v>99.942999999999998</v>
      </c>
      <c r="F8" s="3315"/>
    </row>
    <row r="9" spans="1:11" ht="21" customHeight="1" thickBot="1">
      <c r="A9" s="1278"/>
      <c r="B9" s="1279"/>
      <c r="C9" s="3317"/>
      <c r="D9" s="3318"/>
      <c r="E9" s="3317"/>
      <c r="F9" s="3318"/>
    </row>
    <row r="10" spans="1:11" ht="15" customHeight="1">
      <c r="A10" s="3332" t="s">
        <v>809</v>
      </c>
      <c r="B10" s="3332"/>
      <c r="C10" s="3332"/>
      <c r="D10" s="3332" t="s">
        <v>810</v>
      </c>
      <c r="E10" s="3332"/>
      <c r="F10" s="3332"/>
    </row>
    <row r="11" spans="1:11" ht="15" customHeight="1">
      <c r="A11" s="3310" t="s">
        <v>811</v>
      </c>
      <c r="B11" s="3310"/>
      <c r="C11" s="3310"/>
      <c r="D11" s="3333" t="s">
        <v>812</v>
      </c>
      <c r="E11" s="3333"/>
      <c r="F11" s="3333"/>
    </row>
    <row r="12" spans="1:11" ht="21" customHeight="1">
      <c r="A12" s="1280" t="s">
        <v>680</v>
      </c>
      <c r="B12" s="1280"/>
      <c r="C12" s="1280"/>
    </row>
    <row r="13" spans="1:11" ht="21" customHeight="1"/>
    <row r="14" spans="1:11" s="1282" customFormat="1" ht="21" customHeight="1">
      <c r="A14" s="1237" t="s">
        <v>813</v>
      </c>
      <c r="B14" s="1237"/>
      <c r="C14" s="1237"/>
      <c r="D14" s="1237"/>
      <c r="E14" s="1281"/>
      <c r="F14" s="1177"/>
    </row>
    <row r="15" spans="1:11" ht="21" customHeight="1" thickBot="1">
      <c r="A15" s="1270"/>
      <c r="B15" s="1237"/>
      <c r="C15" s="1265"/>
      <c r="D15" s="1265"/>
      <c r="E15" s="1266"/>
      <c r="F15" s="1267"/>
    </row>
    <row r="16" spans="1:11" ht="21" customHeight="1" thickBot="1">
      <c r="A16" s="1271"/>
      <c r="B16" s="1272"/>
      <c r="C16" s="3329" t="s">
        <v>814</v>
      </c>
      <c r="D16" s="3330"/>
      <c r="E16" s="3329" t="s">
        <v>815</v>
      </c>
      <c r="F16" s="3330"/>
    </row>
    <row r="17" spans="1:6" ht="21" customHeight="1" thickBot="1">
      <c r="A17" s="1273"/>
      <c r="B17" s="1274"/>
      <c r="C17" s="3320" t="s">
        <v>816</v>
      </c>
      <c r="D17" s="3321"/>
      <c r="E17" s="3320" t="s">
        <v>816</v>
      </c>
      <c r="F17" s="3321"/>
    </row>
    <row r="18" spans="1:6" ht="21" customHeight="1">
      <c r="A18" s="1275">
        <v>1</v>
      </c>
      <c r="B18" s="1276" t="s">
        <v>805</v>
      </c>
      <c r="C18" s="3323">
        <v>758</v>
      </c>
      <c r="D18" s="3324"/>
      <c r="E18" s="3323">
        <v>1435</v>
      </c>
      <c r="F18" s="3324"/>
    </row>
    <row r="19" spans="1:6" ht="21" customHeight="1">
      <c r="A19" s="1275">
        <v>2</v>
      </c>
      <c r="B19" s="1277" t="s">
        <v>806</v>
      </c>
      <c r="C19" s="3326">
        <v>4.3</v>
      </c>
      <c r="D19" s="3327"/>
      <c r="E19" s="3326">
        <v>4.3</v>
      </c>
      <c r="F19" s="3327"/>
    </row>
    <row r="20" spans="1:6" ht="21" customHeight="1">
      <c r="A20" s="1275">
        <v>3</v>
      </c>
      <c r="B20" s="1276" t="s">
        <v>807</v>
      </c>
      <c r="C20" s="3311">
        <v>4.29</v>
      </c>
      <c r="D20" s="3312"/>
      <c r="E20" s="3311">
        <v>4.28</v>
      </c>
      <c r="F20" s="3312"/>
    </row>
    <row r="21" spans="1:6" ht="21" customHeight="1">
      <c r="A21" s="1275">
        <v>4</v>
      </c>
      <c r="B21" s="1276" t="s">
        <v>808</v>
      </c>
      <c r="C21" s="3314">
        <v>100.036</v>
      </c>
      <c r="D21" s="3315"/>
      <c r="E21" s="3314">
        <v>100.08</v>
      </c>
      <c r="F21" s="3315"/>
    </row>
    <row r="22" spans="1:6" ht="21" customHeight="1" thickBot="1">
      <c r="A22" s="1278"/>
      <c r="B22" s="1279"/>
      <c r="C22" s="3317"/>
      <c r="D22" s="3318"/>
      <c r="E22" s="3317"/>
      <c r="F22" s="3318"/>
    </row>
    <row r="23" spans="1:6" ht="15.75" customHeight="1">
      <c r="A23" s="1283" t="s">
        <v>817</v>
      </c>
      <c r="B23" s="1284"/>
    </row>
    <row r="24" spans="1:6" ht="15.75" customHeight="1">
      <c r="A24" s="3310" t="s">
        <v>818</v>
      </c>
      <c r="B24" s="3310"/>
      <c r="C24" s="1285"/>
      <c r="E24" s="1286"/>
    </row>
    <row r="25" spans="1:6" ht="15.75" customHeight="1">
      <c r="A25" s="3310" t="s">
        <v>819</v>
      </c>
      <c r="B25" s="3310"/>
      <c r="C25" s="3310"/>
      <c r="D25" s="1280"/>
      <c r="E25" s="1286"/>
    </row>
    <row r="26" spans="1:6" ht="21" customHeight="1">
      <c r="A26" s="1280" t="s">
        <v>680</v>
      </c>
      <c r="B26" s="1280"/>
      <c r="C26" s="1280"/>
    </row>
    <row r="27" spans="1:6" ht="21" customHeight="1"/>
    <row r="28" spans="1:6" ht="21" customHeight="1">
      <c r="A28" s="1237" t="s">
        <v>820</v>
      </c>
      <c r="B28" s="1237"/>
      <c r="C28" s="1265"/>
      <c r="D28" s="1265"/>
      <c r="E28" s="1266"/>
      <c r="F28" s="1267"/>
    </row>
    <row r="29" spans="1:6" ht="9" customHeight="1" thickBot="1">
      <c r="A29" s="1270"/>
      <c r="B29" s="1237"/>
      <c r="C29" s="1265"/>
      <c r="D29" s="1265"/>
      <c r="E29" s="1266"/>
      <c r="F29" s="1267"/>
    </row>
    <row r="30" spans="1:6" ht="21" customHeight="1" thickBot="1">
      <c r="A30" s="1271"/>
      <c r="B30" s="1272"/>
      <c r="C30" s="3329" t="s">
        <v>821</v>
      </c>
      <c r="D30" s="3330"/>
      <c r="E30" s="3331"/>
      <c r="F30" s="3331"/>
    </row>
    <row r="31" spans="1:6" ht="21" customHeight="1" thickBot="1">
      <c r="A31" s="1273"/>
      <c r="B31" s="1274"/>
      <c r="C31" s="3320" t="s">
        <v>822</v>
      </c>
      <c r="D31" s="3321"/>
      <c r="E31" s="3322"/>
      <c r="F31" s="3322"/>
    </row>
    <row r="32" spans="1:6" ht="21" customHeight="1">
      <c r="A32" s="1275">
        <v>1</v>
      </c>
      <c r="B32" s="1276" t="s">
        <v>805</v>
      </c>
      <c r="C32" s="3323">
        <v>500</v>
      </c>
      <c r="D32" s="3324"/>
      <c r="E32" s="3325"/>
      <c r="F32" s="3325"/>
    </row>
    <row r="33" spans="1:6" ht="21" customHeight="1">
      <c r="A33" s="1275">
        <v>2</v>
      </c>
      <c r="B33" s="1277" t="s">
        <v>806</v>
      </c>
      <c r="C33" s="3326">
        <v>6.95</v>
      </c>
      <c r="D33" s="3327"/>
      <c r="E33" s="3328"/>
      <c r="F33" s="3328"/>
    </row>
    <row r="34" spans="1:6" ht="21" customHeight="1">
      <c r="A34" s="1275">
        <v>3</v>
      </c>
      <c r="B34" s="1276" t="s">
        <v>807</v>
      </c>
      <c r="C34" s="3311">
        <v>7.6</v>
      </c>
      <c r="D34" s="3312"/>
      <c r="E34" s="3313"/>
      <c r="F34" s="3313"/>
    </row>
    <row r="35" spans="1:6" ht="21" customHeight="1">
      <c r="A35" s="1275">
        <v>4</v>
      </c>
      <c r="B35" s="1276" t="s">
        <v>808</v>
      </c>
      <c r="C35" s="3314">
        <v>94.241</v>
      </c>
      <c r="D35" s="3315"/>
      <c r="E35" s="3316"/>
      <c r="F35" s="3316"/>
    </row>
    <row r="36" spans="1:6" ht="21" customHeight="1" thickBot="1">
      <c r="A36" s="1278"/>
      <c r="B36" s="1279"/>
      <c r="C36" s="3317"/>
      <c r="D36" s="3318"/>
      <c r="E36" s="3319"/>
      <c r="F36" s="3319"/>
    </row>
    <row r="37" spans="1:6" ht="17.25" customHeight="1">
      <c r="A37" s="1283" t="s">
        <v>823</v>
      </c>
      <c r="B37" s="1284"/>
    </row>
    <row r="38" spans="1:6" ht="17.25" customHeight="1">
      <c r="A38" s="3310" t="s">
        <v>824</v>
      </c>
      <c r="B38" s="3310"/>
      <c r="C38" s="1285"/>
      <c r="E38" s="1286"/>
    </row>
    <row r="39" spans="1:6" ht="21" customHeight="1">
      <c r="A39" s="1280" t="s">
        <v>680</v>
      </c>
      <c r="B39" s="1280"/>
      <c r="C39" s="1280"/>
    </row>
  </sheetData>
  <mergeCells count="49">
    <mergeCell ref="C3:D3"/>
    <mergeCell ref="E3:F3"/>
    <mergeCell ref="C4:D4"/>
    <mergeCell ref="E4:F4"/>
    <mergeCell ref="C5:D5"/>
    <mergeCell ref="E5:F5"/>
    <mergeCell ref="C6:D6"/>
    <mergeCell ref="E6:F6"/>
    <mergeCell ref="C7:D7"/>
    <mergeCell ref="E7:F7"/>
    <mergeCell ref="C8:D8"/>
    <mergeCell ref="E8:F8"/>
    <mergeCell ref="C9:D9"/>
    <mergeCell ref="E9:F9"/>
    <mergeCell ref="A10:C10"/>
    <mergeCell ref="D10:F10"/>
    <mergeCell ref="A11:C11"/>
    <mergeCell ref="D11:F11"/>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A24:B24"/>
    <mergeCell ref="A25:C25"/>
    <mergeCell ref="C30:D30"/>
    <mergeCell ref="E30:F30"/>
    <mergeCell ref="C31:D31"/>
    <mergeCell ref="E31:F31"/>
    <mergeCell ref="C32:D32"/>
    <mergeCell ref="E32:F32"/>
    <mergeCell ref="C33:D33"/>
    <mergeCell ref="E33:F33"/>
    <mergeCell ref="A38:B38"/>
    <mergeCell ref="C34:D34"/>
    <mergeCell ref="E34:F34"/>
    <mergeCell ref="C35:D35"/>
    <mergeCell ref="E35:F35"/>
    <mergeCell ref="C36:D36"/>
    <mergeCell ref="E36:F36"/>
  </mergeCells>
  <printOptions horizontalCentered="1"/>
  <pageMargins left="0.31496062992126" right="0.31496062992126" top="0.74803149606299202" bottom="0.35433070866141703" header="0.31496062992126" footer="0.31496062992126"/>
  <pageSetup paperSize="9" scale="8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9"/>
  <sheetViews>
    <sheetView workbookViewId="0">
      <selection activeCell="M58" sqref="M58"/>
    </sheetView>
  </sheetViews>
  <sheetFormatPr defaultRowHeight="12.75"/>
  <cols>
    <col min="1" max="1" width="15.7109375" style="1290" customWidth="1"/>
    <col min="2" max="6" width="15.7109375" style="1289" customWidth="1"/>
    <col min="7" max="7" width="2" style="1289" customWidth="1"/>
    <col min="8" max="8" width="6.28515625" style="1289" customWidth="1"/>
    <col min="9" max="256" width="9.140625" style="1289"/>
    <col min="257" max="262" width="15.7109375" style="1289" customWidth="1"/>
    <col min="263" max="263" width="2" style="1289" customWidth="1"/>
    <col min="264" max="264" width="6.28515625" style="1289" customWidth="1"/>
    <col min="265" max="512" width="9.140625" style="1289"/>
    <col min="513" max="518" width="15.7109375" style="1289" customWidth="1"/>
    <col min="519" max="519" width="2" style="1289" customWidth="1"/>
    <col min="520" max="520" width="6.28515625" style="1289" customWidth="1"/>
    <col min="521" max="768" width="9.140625" style="1289"/>
    <col min="769" max="774" width="15.7109375" style="1289" customWidth="1"/>
    <col min="775" max="775" width="2" style="1289" customWidth="1"/>
    <col min="776" max="776" width="6.28515625" style="1289" customWidth="1"/>
    <col min="777" max="1024" width="9.140625" style="1289"/>
    <col min="1025" max="1030" width="15.7109375" style="1289" customWidth="1"/>
    <col min="1031" max="1031" width="2" style="1289" customWidth="1"/>
    <col min="1032" max="1032" width="6.28515625" style="1289" customWidth="1"/>
    <col min="1033" max="1280" width="9.140625" style="1289"/>
    <col min="1281" max="1286" width="15.7109375" style="1289" customWidth="1"/>
    <col min="1287" max="1287" width="2" style="1289" customWidth="1"/>
    <col min="1288" max="1288" width="6.28515625" style="1289" customWidth="1"/>
    <col min="1289" max="1536" width="9.140625" style="1289"/>
    <col min="1537" max="1542" width="15.7109375" style="1289" customWidth="1"/>
    <col min="1543" max="1543" width="2" style="1289" customWidth="1"/>
    <col min="1544" max="1544" width="6.28515625" style="1289" customWidth="1"/>
    <col min="1545" max="1792" width="9.140625" style="1289"/>
    <col min="1793" max="1798" width="15.7109375" style="1289" customWidth="1"/>
    <col min="1799" max="1799" width="2" style="1289" customWidth="1"/>
    <col min="1800" max="1800" width="6.28515625" style="1289" customWidth="1"/>
    <col min="1801" max="2048" width="9.140625" style="1289"/>
    <col min="2049" max="2054" width="15.7109375" style="1289" customWidth="1"/>
    <col min="2055" max="2055" width="2" style="1289" customWidth="1"/>
    <col min="2056" max="2056" width="6.28515625" style="1289" customWidth="1"/>
    <col min="2057" max="2304" width="9.140625" style="1289"/>
    <col min="2305" max="2310" width="15.7109375" style="1289" customWidth="1"/>
    <col min="2311" max="2311" width="2" style="1289" customWidth="1"/>
    <col min="2312" max="2312" width="6.28515625" style="1289" customWidth="1"/>
    <col min="2313" max="2560" width="9.140625" style="1289"/>
    <col min="2561" max="2566" width="15.7109375" style="1289" customWidth="1"/>
    <col min="2567" max="2567" width="2" style="1289" customWidth="1"/>
    <col min="2568" max="2568" width="6.28515625" style="1289" customWidth="1"/>
    <col min="2569" max="2816" width="9.140625" style="1289"/>
    <col min="2817" max="2822" width="15.7109375" style="1289" customWidth="1"/>
    <col min="2823" max="2823" width="2" style="1289" customWidth="1"/>
    <col min="2824" max="2824" width="6.28515625" style="1289" customWidth="1"/>
    <col min="2825" max="3072" width="9.140625" style="1289"/>
    <col min="3073" max="3078" width="15.7109375" style="1289" customWidth="1"/>
    <col min="3079" max="3079" width="2" style="1289" customWidth="1"/>
    <col min="3080" max="3080" width="6.28515625" style="1289" customWidth="1"/>
    <col min="3081" max="3328" width="9.140625" style="1289"/>
    <col min="3329" max="3334" width="15.7109375" style="1289" customWidth="1"/>
    <col min="3335" max="3335" width="2" style="1289" customWidth="1"/>
    <col min="3336" max="3336" width="6.28515625" style="1289" customWidth="1"/>
    <col min="3337" max="3584" width="9.140625" style="1289"/>
    <col min="3585" max="3590" width="15.7109375" style="1289" customWidth="1"/>
    <col min="3591" max="3591" width="2" style="1289" customWidth="1"/>
    <col min="3592" max="3592" width="6.28515625" style="1289" customWidth="1"/>
    <col min="3593" max="3840" width="9.140625" style="1289"/>
    <col min="3841" max="3846" width="15.7109375" style="1289" customWidth="1"/>
    <col min="3847" max="3847" width="2" style="1289" customWidth="1"/>
    <col min="3848" max="3848" width="6.28515625" style="1289" customWidth="1"/>
    <col min="3849" max="4096" width="9.140625" style="1289"/>
    <col min="4097" max="4102" width="15.7109375" style="1289" customWidth="1"/>
    <col min="4103" max="4103" width="2" style="1289" customWidth="1"/>
    <col min="4104" max="4104" width="6.28515625" style="1289" customWidth="1"/>
    <col min="4105" max="4352" width="9.140625" style="1289"/>
    <col min="4353" max="4358" width="15.7109375" style="1289" customWidth="1"/>
    <col min="4359" max="4359" width="2" style="1289" customWidth="1"/>
    <col min="4360" max="4360" width="6.28515625" style="1289" customWidth="1"/>
    <col min="4361" max="4608" width="9.140625" style="1289"/>
    <col min="4609" max="4614" width="15.7109375" style="1289" customWidth="1"/>
    <col min="4615" max="4615" width="2" style="1289" customWidth="1"/>
    <col min="4616" max="4616" width="6.28515625" style="1289" customWidth="1"/>
    <col min="4617" max="4864" width="9.140625" style="1289"/>
    <col min="4865" max="4870" width="15.7109375" style="1289" customWidth="1"/>
    <col min="4871" max="4871" width="2" style="1289" customWidth="1"/>
    <col min="4872" max="4872" width="6.28515625" style="1289" customWidth="1"/>
    <col min="4873" max="5120" width="9.140625" style="1289"/>
    <col min="5121" max="5126" width="15.7109375" style="1289" customWidth="1"/>
    <col min="5127" max="5127" width="2" style="1289" customWidth="1"/>
    <col min="5128" max="5128" width="6.28515625" style="1289" customWidth="1"/>
    <col min="5129" max="5376" width="9.140625" style="1289"/>
    <col min="5377" max="5382" width="15.7109375" style="1289" customWidth="1"/>
    <col min="5383" max="5383" width="2" style="1289" customWidth="1"/>
    <col min="5384" max="5384" width="6.28515625" style="1289" customWidth="1"/>
    <col min="5385" max="5632" width="9.140625" style="1289"/>
    <col min="5633" max="5638" width="15.7109375" style="1289" customWidth="1"/>
    <col min="5639" max="5639" width="2" style="1289" customWidth="1"/>
    <col min="5640" max="5640" width="6.28515625" style="1289" customWidth="1"/>
    <col min="5641" max="5888" width="9.140625" style="1289"/>
    <col min="5889" max="5894" width="15.7109375" style="1289" customWidth="1"/>
    <col min="5895" max="5895" width="2" style="1289" customWidth="1"/>
    <col min="5896" max="5896" width="6.28515625" style="1289" customWidth="1"/>
    <col min="5897" max="6144" width="9.140625" style="1289"/>
    <col min="6145" max="6150" width="15.7109375" style="1289" customWidth="1"/>
    <col min="6151" max="6151" width="2" style="1289" customWidth="1"/>
    <col min="6152" max="6152" width="6.28515625" style="1289" customWidth="1"/>
    <col min="6153" max="6400" width="9.140625" style="1289"/>
    <col min="6401" max="6406" width="15.7109375" style="1289" customWidth="1"/>
    <col min="6407" max="6407" width="2" style="1289" customWidth="1"/>
    <col min="6408" max="6408" width="6.28515625" style="1289" customWidth="1"/>
    <col min="6409" max="6656" width="9.140625" style="1289"/>
    <col min="6657" max="6662" width="15.7109375" style="1289" customWidth="1"/>
    <col min="6663" max="6663" width="2" style="1289" customWidth="1"/>
    <col min="6664" max="6664" width="6.28515625" style="1289" customWidth="1"/>
    <col min="6665" max="6912" width="9.140625" style="1289"/>
    <col min="6913" max="6918" width="15.7109375" style="1289" customWidth="1"/>
    <col min="6919" max="6919" width="2" style="1289" customWidth="1"/>
    <col min="6920" max="6920" width="6.28515625" style="1289" customWidth="1"/>
    <col min="6921" max="7168" width="9.140625" style="1289"/>
    <col min="7169" max="7174" width="15.7109375" style="1289" customWidth="1"/>
    <col min="7175" max="7175" width="2" style="1289" customWidth="1"/>
    <col min="7176" max="7176" width="6.28515625" style="1289" customWidth="1"/>
    <col min="7177" max="7424" width="9.140625" style="1289"/>
    <col min="7425" max="7430" width="15.7109375" style="1289" customWidth="1"/>
    <col min="7431" max="7431" width="2" style="1289" customWidth="1"/>
    <col min="7432" max="7432" width="6.28515625" style="1289" customWidth="1"/>
    <col min="7433" max="7680" width="9.140625" style="1289"/>
    <col min="7681" max="7686" width="15.7109375" style="1289" customWidth="1"/>
    <col min="7687" max="7687" width="2" style="1289" customWidth="1"/>
    <col min="7688" max="7688" width="6.28515625" style="1289" customWidth="1"/>
    <col min="7689" max="7936" width="9.140625" style="1289"/>
    <col min="7937" max="7942" width="15.7109375" style="1289" customWidth="1"/>
    <col min="7943" max="7943" width="2" style="1289" customWidth="1"/>
    <col min="7944" max="7944" width="6.28515625" style="1289" customWidth="1"/>
    <col min="7945" max="8192" width="9.140625" style="1289"/>
    <col min="8193" max="8198" width="15.7109375" style="1289" customWidth="1"/>
    <col min="8199" max="8199" width="2" style="1289" customWidth="1"/>
    <col min="8200" max="8200" width="6.28515625" style="1289" customWidth="1"/>
    <col min="8201" max="8448" width="9.140625" style="1289"/>
    <col min="8449" max="8454" width="15.7109375" style="1289" customWidth="1"/>
    <col min="8455" max="8455" width="2" style="1289" customWidth="1"/>
    <col min="8456" max="8456" width="6.28515625" style="1289" customWidth="1"/>
    <col min="8457" max="8704" width="9.140625" style="1289"/>
    <col min="8705" max="8710" width="15.7109375" style="1289" customWidth="1"/>
    <col min="8711" max="8711" width="2" style="1289" customWidth="1"/>
    <col min="8712" max="8712" width="6.28515625" style="1289" customWidth="1"/>
    <col min="8713" max="8960" width="9.140625" style="1289"/>
    <col min="8961" max="8966" width="15.7109375" style="1289" customWidth="1"/>
    <col min="8967" max="8967" width="2" style="1289" customWidth="1"/>
    <col min="8968" max="8968" width="6.28515625" style="1289" customWidth="1"/>
    <col min="8969" max="9216" width="9.140625" style="1289"/>
    <col min="9217" max="9222" width="15.7109375" style="1289" customWidth="1"/>
    <col min="9223" max="9223" width="2" style="1289" customWidth="1"/>
    <col min="9224" max="9224" width="6.28515625" style="1289" customWidth="1"/>
    <col min="9225" max="9472" width="9.140625" style="1289"/>
    <col min="9473" max="9478" width="15.7109375" style="1289" customWidth="1"/>
    <col min="9479" max="9479" width="2" style="1289" customWidth="1"/>
    <col min="9480" max="9480" width="6.28515625" style="1289" customWidth="1"/>
    <col min="9481" max="9728" width="9.140625" style="1289"/>
    <col min="9729" max="9734" width="15.7109375" style="1289" customWidth="1"/>
    <col min="9735" max="9735" width="2" style="1289" customWidth="1"/>
    <col min="9736" max="9736" width="6.28515625" style="1289" customWidth="1"/>
    <col min="9737" max="9984" width="9.140625" style="1289"/>
    <col min="9985" max="9990" width="15.7109375" style="1289" customWidth="1"/>
    <col min="9991" max="9991" width="2" style="1289" customWidth="1"/>
    <col min="9992" max="9992" width="6.28515625" style="1289" customWidth="1"/>
    <col min="9993" max="10240" width="9.140625" style="1289"/>
    <col min="10241" max="10246" width="15.7109375" style="1289" customWidth="1"/>
    <col min="10247" max="10247" width="2" style="1289" customWidth="1"/>
    <col min="10248" max="10248" width="6.28515625" style="1289" customWidth="1"/>
    <col min="10249" max="10496" width="9.140625" style="1289"/>
    <col min="10497" max="10502" width="15.7109375" style="1289" customWidth="1"/>
    <col min="10503" max="10503" width="2" style="1289" customWidth="1"/>
    <col min="10504" max="10504" width="6.28515625" style="1289" customWidth="1"/>
    <col min="10505" max="10752" width="9.140625" style="1289"/>
    <col min="10753" max="10758" width="15.7109375" style="1289" customWidth="1"/>
    <col min="10759" max="10759" width="2" style="1289" customWidth="1"/>
    <col min="10760" max="10760" width="6.28515625" style="1289" customWidth="1"/>
    <col min="10761" max="11008" width="9.140625" style="1289"/>
    <col min="11009" max="11014" width="15.7109375" style="1289" customWidth="1"/>
    <col min="11015" max="11015" width="2" style="1289" customWidth="1"/>
    <col min="11016" max="11016" width="6.28515625" style="1289" customWidth="1"/>
    <col min="11017" max="11264" width="9.140625" style="1289"/>
    <col min="11265" max="11270" width="15.7109375" style="1289" customWidth="1"/>
    <col min="11271" max="11271" width="2" style="1289" customWidth="1"/>
    <col min="11272" max="11272" width="6.28515625" style="1289" customWidth="1"/>
    <col min="11273" max="11520" width="9.140625" style="1289"/>
    <col min="11521" max="11526" width="15.7109375" style="1289" customWidth="1"/>
    <col min="11527" max="11527" width="2" style="1289" customWidth="1"/>
    <col min="11528" max="11528" width="6.28515625" style="1289" customWidth="1"/>
    <col min="11529" max="11776" width="9.140625" style="1289"/>
    <col min="11777" max="11782" width="15.7109375" style="1289" customWidth="1"/>
    <col min="11783" max="11783" width="2" style="1289" customWidth="1"/>
    <col min="11784" max="11784" width="6.28515625" style="1289" customWidth="1"/>
    <col min="11785" max="12032" width="9.140625" style="1289"/>
    <col min="12033" max="12038" width="15.7109375" style="1289" customWidth="1"/>
    <col min="12039" max="12039" width="2" style="1289" customWidth="1"/>
    <col min="12040" max="12040" width="6.28515625" style="1289" customWidth="1"/>
    <col min="12041" max="12288" width="9.140625" style="1289"/>
    <col min="12289" max="12294" width="15.7109375" style="1289" customWidth="1"/>
    <col min="12295" max="12295" width="2" style="1289" customWidth="1"/>
    <col min="12296" max="12296" width="6.28515625" style="1289" customWidth="1"/>
    <col min="12297" max="12544" width="9.140625" style="1289"/>
    <col min="12545" max="12550" width="15.7109375" style="1289" customWidth="1"/>
    <col min="12551" max="12551" width="2" style="1289" customWidth="1"/>
    <col min="12552" max="12552" width="6.28515625" style="1289" customWidth="1"/>
    <col min="12553" max="12800" width="9.140625" style="1289"/>
    <col min="12801" max="12806" width="15.7109375" style="1289" customWidth="1"/>
    <col min="12807" max="12807" width="2" style="1289" customWidth="1"/>
    <col min="12808" max="12808" width="6.28515625" style="1289" customWidth="1"/>
    <col min="12809" max="13056" width="9.140625" style="1289"/>
    <col min="13057" max="13062" width="15.7109375" style="1289" customWidth="1"/>
    <col min="13063" max="13063" width="2" style="1289" customWidth="1"/>
    <col min="13064" max="13064" width="6.28515625" style="1289" customWidth="1"/>
    <col min="13065" max="13312" width="9.140625" style="1289"/>
    <col min="13313" max="13318" width="15.7109375" style="1289" customWidth="1"/>
    <col min="13319" max="13319" width="2" style="1289" customWidth="1"/>
    <col min="13320" max="13320" width="6.28515625" style="1289" customWidth="1"/>
    <col min="13321" max="13568" width="9.140625" style="1289"/>
    <col min="13569" max="13574" width="15.7109375" style="1289" customWidth="1"/>
    <col min="13575" max="13575" width="2" style="1289" customWidth="1"/>
    <col min="13576" max="13576" width="6.28515625" style="1289" customWidth="1"/>
    <col min="13577" max="13824" width="9.140625" style="1289"/>
    <col min="13825" max="13830" width="15.7109375" style="1289" customWidth="1"/>
    <col min="13831" max="13831" width="2" style="1289" customWidth="1"/>
    <col min="13832" max="13832" width="6.28515625" style="1289" customWidth="1"/>
    <col min="13833" max="14080" width="9.140625" style="1289"/>
    <col min="14081" max="14086" width="15.7109375" style="1289" customWidth="1"/>
    <col min="14087" max="14087" width="2" style="1289" customWidth="1"/>
    <col min="14088" max="14088" width="6.28515625" style="1289" customWidth="1"/>
    <col min="14089" max="14336" width="9.140625" style="1289"/>
    <col min="14337" max="14342" width="15.7109375" style="1289" customWidth="1"/>
    <col min="14343" max="14343" width="2" style="1289" customWidth="1"/>
    <col min="14344" max="14344" width="6.28515625" style="1289" customWidth="1"/>
    <col min="14345" max="14592" width="9.140625" style="1289"/>
    <col min="14593" max="14598" width="15.7109375" style="1289" customWidth="1"/>
    <col min="14599" max="14599" width="2" style="1289" customWidth="1"/>
    <col min="14600" max="14600" width="6.28515625" style="1289" customWidth="1"/>
    <col min="14601" max="14848" width="9.140625" style="1289"/>
    <col min="14849" max="14854" width="15.7109375" style="1289" customWidth="1"/>
    <col min="14855" max="14855" width="2" style="1289" customWidth="1"/>
    <col min="14856" max="14856" width="6.28515625" style="1289" customWidth="1"/>
    <col min="14857" max="15104" width="9.140625" style="1289"/>
    <col min="15105" max="15110" width="15.7109375" style="1289" customWidth="1"/>
    <col min="15111" max="15111" width="2" style="1289" customWidth="1"/>
    <col min="15112" max="15112" width="6.28515625" style="1289" customWidth="1"/>
    <col min="15113" max="15360" width="9.140625" style="1289"/>
    <col min="15361" max="15366" width="15.7109375" style="1289" customWidth="1"/>
    <col min="15367" max="15367" width="2" style="1289" customWidth="1"/>
    <col min="15368" max="15368" width="6.28515625" style="1289" customWidth="1"/>
    <col min="15369" max="15616" width="9.140625" style="1289"/>
    <col min="15617" max="15622" width="15.7109375" style="1289" customWidth="1"/>
    <col min="15623" max="15623" width="2" style="1289" customWidth="1"/>
    <col min="15624" max="15624" width="6.28515625" style="1289" customWidth="1"/>
    <col min="15625" max="15872" width="9.140625" style="1289"/>
    <col min="15873" max="15878" width="15.7109375" style="1289" customWidth="1"/>
    <col min="15879" max="15879" width="2" style="1289" customWidth="1"/>
    <col min="15880" max="15880" width="6.28515625" style="1289" customWidth="1"/>
    <col min="15881" max="16128" width="9.140625" style="1289"/>
    <col min="16129" max="16134" width="15.7109375" style="1289" customWidth="1"/>
    <col min="16135" max="16135" width="2" style="1289" customWidth="1"/>
    <col min="16136" max="16136" width="6.28515625" style="1289" customWidth="1"/>
    <col min="16137" max="16384" width="9.140625" style="1289"/>
  </cols>
  <sheetData>
    <row r="1" spans="1:256" ht="18.75">
      <c r="A1" s="1287" t="s">
        <v>825</v>
      </c>
      <c r="B1" s="1288"/>
      <c r="C1" s="1288"/>
      <c r="D1" s="1288"/>
      <c r="E1" s="1288"/>
      <c r="F1" s="1288"/>
      <c r="G1" s="1288"/>
      <c r="H1" s="1288"/>
      <c r="I1" s="1288"/>
      <c r="J1" s="1288"/>
      <c r="K1" s="1288"/>
      <c r="L1" s="1288"/>
      <c r="M1" s="1288"/>
      <c r="N1" s="1288"/>
      <c r="O1" s="1288"/>
      <c r="P1" s="1288"/>
      <c r="Q1" s="1288"/>
      <c r="R1" s="1288"/>
      <c r="S1" s="1288"/>
      <c r="T1" s="1288"/>
      <c r="U1" s="1288"/>
      <c r="V1" s="1288"/>
      <c r="W1" s="1288"/>
      <c r="X1" s="1288"/>
      <c r="Y1" s="1288"/>
      <c r="Z1" s="1288"/>
      <c r="AA1" s="1288"/>
      <c r="AB1" s="1288"/>
      <c r="AC1" s="1288"/>
      <c r="AD1" s="1288"/>
      <c r="AE1" s="1288"/>
      <c r="AF1" s="1288"/>
      <c r="AG1" s="1288"/>
      <c r="AH1" s="1288"/>
      <c r="AI1" s="1288"/>
      <c r="AJ1" s="1288"/>
      <c r="AK1" s="1288"/>
      <c r="AL1" s="1288"/>
      <c r="AM1" s="1288"/>
      <c r="AN1" s="1288"/>
      <c r="AO1" s="1288"/>
      <c r="AP1" s="1288"/>
      <c r="AQ1" s="1288"/>
      <c r="AR1" s="1288"/>
      <c r="AS1" s="1288"/>
      <c r="AT1" s="1288"/>
      <c r="AU1" s="1288"/>
      <c r="AV1" s="1288"/>
      <c r="AW1" s="1288"/>
      <c r="AX1" s="1288"/>
      <c r="AY1" s="1288"/>
      <c r="AZ1" s="1288"/>
      <c r="BA1" s="1288"/>
      <c r="BB1" s="1288"/>
      <c r="BC1" s="1288"/>
      <c r="BD1" s="1288"/>
      <c r="BE1" s="1288"/>
      <c r="BF1" s="1288"/>
      <c r="BG1" s="1288"/>
      <c r="BH1" s="1288"/>
      <c r="BI1" s="1288"/>
      <c r="BJ1" s="1288"/>
      <c r="BK1" s="1288"/>
      <c r="BL1" s="1288"/>
      <c r="BM1" s="1288"/>
      <c r="BN1" s="1288"/>
      <c r="BO1" s="1288"/>
      <c r="BP1" s="1288"/>
      <c r="BQ1" s="1288"/>
      <c r="BR1" s="1288"/>
      <c r="BS1" s="1288"/>
      <c r="BT1" s="1288"/>
      <c r="BU1" s="1288"/>
      <c r="BV1" s="1288"/>
      <c r="BW1" s="1288"/>
      <c r="BX1" s="1288"/>
      <c r="BY1" s="1288"/>
      <c r="BZ1" s="1288"/>
      <c r="CA1" s="1288"/>
      <c r="CB1" s="1288"/>
      <c r="CC1" s="1288"/>
      <c r="CD1" s="1288"/>
      <c r="CE1" s="1288"/>
      <c r="CF1" s="1288"/>
      <c r="CG1" s="1288"/>
      <c r="CH1" s="1288"/>
      <c r="CI1" s="1288"/>
      <c r="CJ1" s="1288"/>
      <c r="CK1" s="1288"/>
      <c r="CL1" s="1288"/>
      <c r="CM1" s="1288"/>
      <c r="CN1" s="1288"/>
      <c r="CO1" s="1288"/>
      <c r="CP1" s="1288"/>
      <c r="CQ1" s="1288"/>
      <c r="CR1" s="1288"/>
      <c r="CS1" s="1288"/>
      <c r="CT1" s="1288"/>
      <c r="CU1" s="1288"/>
      <c r="CV1" s="1288"/>
      <c r="CW1" s="1288"/>
      <c r="CX1" s="1288"/>
      <c r="CY1" s="1288"/>
      <c r="CZ1" s="1288"/>
      <c r="DA1" s="1288"/>
      <c r="DB1" s="1288"/>
      <c r="DC1" s="1288"/>
      <c r="DD1" s="1288"/>
      <c r="DE1" s="1288"/>
      <c r="DF1" s="1288"/>
      <c r="DG1" s="1288"/>
      <c r="DH1" s="1288"/>
      <c r="DI1" s="1288"/>
      <c r="DJ1" s="1288"/>
      <c r="DK1" s="1288"/>
      <c r="DL1" s="1288"/>
      <c r="DM1" s="1288"/>
      <c r="DN1" s="1288"/>
      <c r="DO1" s="1288"/>
      <c r="DP1" s="1288"/>
      <c r="DQ1" s="1288"/>
      <c r="DR1" s="1288"/>
      <c r="DS1" s="1288"/>
      <c r="DT1" s="1288"/>
      <c r="DU1" s="1288"/>
      <c r="DV1" s="1288"/>
      <c r="DW1" s="1288"/>
      <c r="DX1" s="1288"/>
      <c r="DY1" s="1288"/>
      <c r="DZ1" s="1288"/>
      <c r="EA1" s="1288"/>
      <c r="EB1" s="1288"/>
      <c r="EC1" s="1288"/>
      <c r="ED1" s="1288"/>
      <c r="EE1" s="1288"/>
      <c r="EF1" s="1288"/>
      <c r="EG1" s="1288"/>
      <c r="EH1" s="1288"/>
      <c r="EI1" s="1288"/>
      <c r="EJ1" s="1288"/>
      <c r="EK1" s="1288"/>
      <c r="EL1" s="1288"/>
      <c r="EM1" s="1288"/>
      <c r="EN1" s="1288"/>
      <c r="EO1" s="1288"/>
      <c r="EP1" s="1288"/>
      <c r="EQ1" s="1288"/>
      <c r="ER1" s="1288"/>
      <c r="ES1" s="1288"/>
      <c r="ET1" s="1288"/>
      <c r="EU1" s="1288"/>
      <c r="EV1" s="1288"/>
      <c r="EW1" s="1288"/>
      <c r="EX1" s="1288"/>
      <c r="EY1" s="1288"/>
      <c r="EZ1" s="1288"/>
      <c r="FA1" s="1288"/>
      <c r="FB1" s="1288"/>
      <c r="FC1" s="1288"/>
      <c r="FD1" s="1288"/>
      <c r="FE1" s="1288"/>
      <c r="FF1" s="1288"/>
      <c r="FG1" s="1288"/>
      <c r="FH1" s="1288"/>
      <c r="FI1" s="1288"/>
      <c r="FJ1" s="1288"/>
      <c r="FK1" s="1288"/>
      <c r="FL1" s="1288"/>
      <c r="FM1" s="1288"/>
      <c r="FN1" s="1288"/>
      <c r="FO1" s="1288"/>
      <c r="FP1" s="1288"/>
      <c r="FQ1" s="1288"/>
      <c r="FR1" s="1288"/>
      <c r="FS1" s="1288"/>
      <c r="FT1" s="1288"/>
      <c r="FU1" s="1288"/>
      <c r="FV1" s="1288"/>
      <c r="FW1" s="1288"/>
      <c r="FX1" s="1288"/>
      <c r="FY1" s="1288"/>
      <c r="FZ1" s="1288"/>
      <c r="GA1" s="1288"/>
      <c r="GB1" s="1288"/>
      <c r="GC1" s="1288"/>
      <c r="GD1" s="1288"/>
      <c r="GE1" s="1288"/>
      <c r="GF1" s="1288"/>
      <c r="GG1" s="1288"/>
      <c r="GH1" s="1288"/>
      <c r="GI1" s="1288"/>
      <c r="GJ1" s="1288"/>
      <c r="GK1" s="1288"/>
      <c r="GL1" s="1288"/>
      <c r="GM1" s="1288"/>
      <c r="GN1" s="1288"/>
      <c r="GO1" s="1288"/>
      <c r="GP1" s="1288"/>
      <c r="GQ1" s="1288"/>
      <c r="GR1" s="1288"/>
      <c r="GS1" s="1288"/>
      <c r="GT1" s="1288"/>
      <c r="GU1" s="1288"/>
      <c r="GV1" s="1288"/>
      <c r="GW1" s="1288"/>
      <c r="GX1" s="1288"/>
      <c r="GY1" s="1288"/>
      <c r="GZ1" s="1288"/>
      <c r="HA1" s="1288"/>
      <c r="HB1" s="1288"/>
      <c r="HC1" s="1288"/>
      <c r="HD1" s="1288"/>
      <c r="HE1" s="1288"/>
      <c r="HF1" s="1288"/>
      <c r="HG1" s="1288"/>
      <c r="HH1" s="1288"/>
      <c r="HI1" s="1288"/>
      <c r="HJ1" s="1288"/>
      <c r="HK1" s="1288"/>
      <c r="HL1" s="1288"/>
      <c r="HM1" s="1288"/>
      <c r="HN1" s="1288"/>
      <c r="HO1" s="1288"/>
      <c r="HP1" s="1288"/>
      <c r="HQ1" s="1288"/>
      <c r="HR1" s="1288"/>
      <c r="HS1" s="1288"/>
      <c r="HT1" s="1288"/>
      <c r="HU1" s="1288"/>
      <c r="HV1" s="1288"/>
      <c r="HW1" s="1288"/>
      <c r="HX1" s="1288"/>
      <c r="HY1" s="1288"/>
      <c r="HZ1" s="1288"/>
      <c r="IA1" s="1288"/>
      <c r="IB1" s="1288"/>
      <c r="IC1" s="1288"/>
      <c r="ID1" s="1288"/>
      <c r="IE1" s="1288"/>
      <c r="IF1" s="1288"/>
      <c r="IG1" s="1288"/>
      <c r="IH1" s="1288"/>
      <c r="II1" s="1288"/>
      <c r="IJ1" s="1288"/>
      <c r="IK1" s="1288"/>
      <c r="IL1" s="1288"/>
      <c r="IM1" s="1288"/>
      <c r="IN1" s="1288"/>
      <c r="IO1" s="1288"/>
      <c r="IP1" s="1288"/>
      <c r="IQ1" s="1288"/>
      <c r="IR1" s="1288"/>
      <c r="IS1" s="1288"/>
      <c r="IT1" s="1288"/>
      <c r="IU1" s="1288"/>
      <c r="IV1" s="1288"/>
    </row>
    <row r="2" spans="1:256" ht="13.5" thickBot="1">
      <c r="F2" s="1291" t="s">
        <v>74</v>
      </c>
    </row>
    <row r="3" spans="1:256" ht="29.25" thickBot="1">
      <c r="A3" s="1292"/>
      <c r="B3" s="1293" t="s">
        <v>826</v>
      </c>
      <c r="C3" s="1293" t="s">
        <v>827</v>
      </c>
      <c r="D3" s="1293" t="s">
        <v>828</v>
      </c>
      <c r="E3" s="1293" t="s">
        <v>829</v>
      </c>
      <c r="F3" s="1294" t="s">
        <v>247</v>
      </c>
      <c r="G3" s="1295"/>
      <c r="H3" s="1295"/>
      <c r="I3" s="1295"/>
      <c r="J3" s="1295"/>
      <c r="K3" s="1295"/>
      <c r="L3" s="1295"/>
      <c r="M3" s="1295"/>
      <c r="N3" s="1295"/>
      <c r="O3" s="1295"/>
      <c r="P3" s="1295"/>
      <c r="Q3" s="1295"/>
      <c r="R3" s="1295"/>
      <c r="S3" s="1295"/>
      <c r="T3" s="1295"/>
      <c r="U3" s="1295"/>
      <c r="V3" s="1295"/>
      <c r="W3" s="1295"/>
      <c r="X3" s="1295"/>
      <c r="Y3" s="1295"/>
      <c r="Z3" s="1295"/>
      <c r="AA3" s="1295"/>
      <c r="AB3" s="1295"/>
      <c r="AC3" s="1295"/>
      <c r="AD3" s="1295"/>
      <c r="AE3" s="1295"/>
      <c r="AF3" s="1295"/>
      <c r="AG3" s="1295"/>
      <c r="AH3" s="1295"/>
      <c r="AI3" s="1295"/>
      <c r="AJ3" s="1295"/>
      <c r="AK3" s="1295"/>
      <c r="AL3" s="1295"/>
      <c r="AM3" s="1295"/>
      <c r="AN3" s="1295"/>
      <c r="AO3" s="1295"/>
      <c r="AP3" s="1295"/>
      <c r="AQ3" s="1295"/>
      <c r="AR3" s="1295"/>
      <c r="AS3" s="1295"/>
      <c r="AT3" s="1295"/>
      <c r="AU3" s="1295"/>
      <c r="AV3" s="1295"/>
      <c r="AW3" s="1295"/>
      <c r="AX3" s="1295"/>
      <c r="AY3" s="1295"/>
      <c r="AZ3" s="1295"/>
      <c r="BA3" s="1295"/>
      <c r="BB3" s="1295"/>
      <c r="BC3" s="1295"/>
      <c r="BD3" s="1295"/>
      <c r="BE3" s="1295"/>
      <c r="BF3" s="1295"/>
      <c r="BG3" s="1295"/>
      <c r="BH3" s="1295"/>
      <c r="BI3" s="1295"/>
      <c r="BJ3" s="1295"/>
      <c r="BK3" s="1295"/>
      <c r="BL3" s="1295"/>
      <c r="BM3" s="1295"/>
      <c r="BN3" s="1295"/>
      <c r="BO3" s="1295"/>
      <c r="BP3" s="1295"/>
      <c r="BQ3" s="1295"/>
      <c r="BR3" s="1295"/>
      <c r="BS3" s="1295"/>
      <c r="BT3" s="1295"/>
      <c r="BU3" s="1295"/>
      <c r="BV3" s="1295"/>
      <c r="BW3" s="1295"/>
      <c r="BX3" s="1295"/>
      <c r="BY3" s="1295"/>
      <c r="BZ3" s="1295"/>
      <c r="CA3" s="1295"/>
      <c r="CB3" s="1295"/>
      <c r="CC3" s="1295"/>
      <c r="CD3" s="1295"/>
      <c r="CE3" s="1295"/>
      <c r="CF3" s="1295"/>
      <c r="CG3" s="1295"/>
      <c r="CH3" s="1295"/>
      <c r="CI3" s="1295"/>
      <c r="CJ3" s="1295"/>
      <c r="CK3" s="1295"/>
      <c r="CL3" s="1295"/>
      <c r="CM3" s="1295"/>
      <c r="CN3" s="1295"/>
      <c r="CO3" s="1295"/>
      <c r="CP3" s="1295"/>
      <c r="CQ3" s="1295"/>
      <c r="CR3" s="1295"/>
      <c r="CS3" s="1295"/>
      <c r="CT3" s="1295"/>
      <c r="CU3" s="1295"/>
      <c r="CV3" s="1295"/>
      <c r="CW3" s="1295"/>
      <c r="CX3" s="1295"/>
      <c r="CY3" s="1295"/>
      <c r="CZ3" s="1295"/>
      <c r="DA3" s="1295"/>
      <c r="DB3" s="1295"/>
      <c r="DC3" s="1295"/>
      <c r="DD3" s="1295"/>
      <c r="DE3" s="1295"/>
      <c r="DF3" s="1295"/>
      <c r="DG3" s="1295"/>
      <c r="DH3" s="1295"/>
      <c r="DI3" s="1295"/>
      <c r="DJ3" s="1295"/>
      <c r="DK3" s="1295"/>
      <c r="DL3" s="1295"/>
      <c r="DM3" s="1295"/>
      <c r="DN3" s="1295"/>
      <c r="DO3" s="1295"/>
      <c r="DP3" s="1295"/>
      <c r="DQ3" s="1295"/>
      <c r="DR3" s="1295"/>
      <c r="DS3" s="1295"/>
      <c r="DT3" s="1295"/>
      <c r="DU3" s="1295"/>
      <c r="DV3" s="1295"/>
      <c r="DW3" s="1295"/>
      <c r="DX3" s="1295"/>
      <c r="DY3" s="1295"/>
      <c r="DZ3" s="1295"/>
      <c r="EA3" s="1295"/>
      <c r="EB3" s="1295"/>
      <c r="EC3" s="1295"/>
      <c r="ED3" s="1295"/>
      <c r="EE3" s="1295"/>
      <c r="EF3" s="1295"/>
      <c r="EG3" s="1295"/>
      <c r="EH3" s="1295"/>
      <c r="EI3" s="1295"/>
      <c r="EJ3" s="1295"/>
      <c r="EK3" s="1295"/>
      <c r="EL3" s="1295"/>
      <c r="EM3" s="1295"/>
      <c r="EN3" s="1295"/>
      <c r="EO3" s="1295"/>
      <c r="EP3" s="1295"/>
      <c r="EQ3" s="1295"/>
      <c r="ER3" s="1295"/>
      <c r="ES3" s="1295"/>
      <c r="ET3" s="1295"/>
      <c r="EU3" s="1295"/>
      <c r="EV3" s="1295"/>
      <c r="EW3" s="1295"/>
      <c r="EX3" s="1295"/>
      <c r="EY3" s="1295"/>
      <c r="EZ3" s="1295"/>
      <c r="FA3" s="1295"/>
      <c r="FB3" s="1295"/>
      <c r="FC3" s="1295"/>
      <c r="FD3" s="1295"/>
      <c r="FE3" s="1295"/>
      <c r="FF3" s="1295"/>
      <c r="FG3" s="1295"/>
      <c r="FH3" s="1295"/>
      <c r="FI3" s="1295"/>
      <c r="FJ3" s="1295"/>
      <c r="FK3" s="1295"/>
      <c r="FL3" s="1295"/>
      <c r="FM3" s="1295"/>
      <c r="FN3" s="1295"/>
      <c r="FO3" s="1295"/>
      <c r="FP3" s="1295"/>
      <c r="FQ3" s="1295"/>
      <c r="FR3" s="1295"/>
      <c r="FS3" s="1295"/>
      <c r="FT3" s="1295"/>
      <c r="FU3" s="1295"/>
      <c r="FV3" s="1295"/>
      <c r="FW3" s="1295"/>
      <c r="FX3" s="1295"/>
      <c r="FY3" s="1295"/>
      <c r="FZ3" s="1295"/>
      <c r="GA3" s="1295"/>
      <c r="GB3" s="1295"/>
      <c r="GC3" s="1295"/>
      <c r="GD3" s="1295"/>
      <c r="GE3" s="1295"/>
      <c r="GF3" s="1295"/>
      <c r="GG3" s="1295"/>
      <c r="GH3" s="1295"/>
      <c r="GI3" s="1295"/>
      <c r="GJ3" s="1295"/>
      <c r="GK3" s="1295"/>
      <c r="GL3" s="1295"/>
      <c r="GM3" s="1295"/>
      <c r="GN3" s="1295"/>
      <c r="GO3" s="1295"/>
      <c r="GP3" s="1295"/>
      <c r="GQ3" s="1295"/>
      <c r="GR3" s="1295"/>
      <c r="GS3" s="1295"/>
      <c r="GT3" s="1295"/>
      <c r="GU3" s="1295"/>
      <c r="GV3" s="1295"/>
      <c r="GW3" s="1295"/>
      <c r="GX3" s="1295"/>
      <c r="GY3" s="1295"/>
      <c r="GZ3" s="1295"/>
      <c r="HA3" s="1295"/>
      <c r="HB3" s="1295"/>
      <c r="HC3" s="1295"/>
      <c r="HD3" s="1295"/>
      <c r="HE3" s="1295"/>
      <c r="HF3" s="1295"/>
      <c r="HG3" s="1295"/>
      <c r="HH3" s="1295"/>
      <c r="HI3" s="1295"/>
      <c r="HJ3" s="1295"/>
      <c r="HK3" s="1295"/>
      <c r="HL3" s="1295"/>
      <c r="HM3" s="1295"/>
      <c r="HN3" s="1295"/>
      <c r="HO3" s="1295"/>
      <c r="HP3" s="1295"/>
      <c r="HQ3" s="1295"/>
      <c r="HR3" s="1295"/>
      <c r="HS3" s="1295"/>
      <c r="HT3" s="1295"/>
      <c r="HU3" s="1295"/>
      <c r="HV3" s="1295"/>
      <c r="HW3" s="1295"/>
      <c r="HX3" s="1295"/>
      <c r="HY3" s="1295"/>
      <c r="HZ3" s="1295"/>
      <c r="IA3" s="1295"/>
      <c r="IB3" s="1295"/>
      <c r="IC3" s="1295"/>
      <c r="ID3" s="1295"/>
      <c r="IE3" s="1295"/>
      <c r="IF3" s="1295"/>
      <c r="IG3" s="1295"/>
      <c r="IH3" s="1295"/>
      <c r="II3" s="1295"/>
      <c r="IJ3" s="1295"/>
      <c r="IK3" s="1295"/>
      <c r="IL3" s="1295"/>
      <c r="IM3" s="1295"/>
      <c r="IN3" s="1295"/>
      <c r="IO3" s="1295"/>
      <c r="IP3" s="1295"/>
      <c r="IQ3" s="1295"/>
      <c r="IR3" s="1295"/>
      <c r="IS3" s="1295"/>
      <c r="IT3" s="1295"/>
      <c r="IU3" s="1295"/>
      <c r="IV3" s="1295"/>
    </row>
    <row r="4" spans="1:256" ht="15" hidden="1">
      <c r="A4" s="1296">
        <v>40339</v>
      </c>
      <c r="B4" s="1297">
        <v>37988</v>
      </c>
      <c r="C4" s="1297">
        <v>40075</v>
      </c>
      <c r="D4" s="1297">
        <v>21911</v>
      </c>
      <c r="E4" s="1297">
        <v>24220</v>
      </c>
      <c r="F4" s="1298">
        <f>SUM(B4:D4)</f>
        <v>99974</v>
      </c>
    </row>
    <row r="5" spans="1:256" ht="15" hidden="1">
      <c r="A5" s="1299">
        <v>40360</v>
      </c>
      <c r="B5" s="1297">
        <v>33816</v>
      </c>
      <c r="C5" s="1297">
        <v>40483</v>
      </c>
      <c r="D5" s="1297">
        <v>21911</v>
      </c>
      <c r="E5" s="1297">
        <v>26220</v>
      </c>
      <c r="F5" s="1298">
        <f>SUM(B5:D5)</f>
        <v>96210</v>
      </c>
    </row>
    <row r="6" spans="1:256" ht="15" hidden="1">
      <c r="A6" s="1299">
        <v>40391</v>
      </c>
      <c r="B6" s="1297">
        <v>32161</v>
      </c>
      <c r="C6" s="1297">
        <v>41031</v>
      </c>
      <c r="D6" s="1297">
        <v>21411</v>
      </c>
      <c r="E6" s="1297">
        <v>29112</v>
      </c>
      <c r="F6" s="1298">
        <f t="shared" ref="F6:F52" si="0">SUM(B6:E6)</f>
        <v>123715</v>
      </c>
    </row>
    <row r="7" spans="1:256" ht="15" hidden="1">
      <c r="A7" s="1299">
        <v>40431</v>
      </c>
      <c r="B7" s="1297">
        <v>29436</v>
      </c>
      <c r="C7" s="1297">
        <v>42137</v>
      </c>
      <c r="D7" s="1297">
        <v>21411</v>
      </c>
      <c r="E7" s="1297">
        <v>29112</v>
      </c>
      <c r="F7" s="1298">
        <f t="shared" si="0"/>
        <v>122096</v>
      </c>
    </row>
    <row r="8" spans="1:256" ht="15" hidden="1">
      <c r="A8" s="1299">
        <v>40480</v>
      </c>
      <c r="B8" s="1297">
        <v>28731</v>
      </c>
      <c r="C8" s="1297">
        <v>43055</v>
      </c>
      <c r="D8" s="1297">
        <v>21411</v>
      </c>
      <c r="E8" s="1297">
        <v>29112</v>
      </c>
      <c r="F8" s="1298">
        <f t="shared" si="0"/>
        <v>122309</v>
      </c>
    </row>
    <row r="9" spans="1:256" ht="15" hidden="1">
      <c r="A9" s="1299">
        <v>40483</v>
      </c>
      <c r="B9" s="1297">
        <v>30334</v>
      </c>
      <c r="C9" s="1297">
        <v>43372</v>
      </c>
      <c r="D9" s="1297">
        <v>21306</v>
      </c>
      <c r="E9" s="1297">
        <v>28388</v>
      </c>
      <c r="F9" s="1298">
        <f t="shared" si="0"/>
        <v>123400</v>
      </c>
    </row>
    <row r="10" spans="1:256" ht="15" hidden="1">
      <c r="A10" s="1299">
        <v>40513</v>
      </c>
      <c r="B10" s="1297">
        <v>31915</v>
      </c>
      <c r="C10" s="1297">
        <v>44023</v>
      </c>
      <c r="D10" s="1297">
        <v>20967</v>
      </c>
      <c r="E10" s="1297">
        <v>29631</v>
      </c>
      <c r="F10" s="1298">
        <f t="shared" si="0"/>
        <v>126536</v>
      </c>
    </row>
    <row r="11" spans="1:256" ht="15" hidden="1">
      <c r="A11" s="1299">
        <v>40544</v>
      </c>
      <c r="B11" s="1297">
        <v>30273</v>
      </c>
      <c r="C11" s="1297">
        <v>42782</v>
      </c>
      <c r="D11" s="1297">
        <v>20967</v>
      </c>
      <c r="E11" s="1297">
        <v>29631</v>
      </c>
      <c r="F11" s="1298">
        <f t="shared" si="0"/>
        <v>123653</v>
      </c>
    </row>
    <row r="12" spans="1:256" ht="15" hidden="1">
      <c r="A12" s="1299">
        <v>40585</v>
      </c>
      <c r="B12" s="1297">
        <v>30559</v>
      </c>
      <c r="C12" s="1297">
        <v>42268</v>
      </c>
      <c r="D12" s="1297">
        <v>22086</v>
      </c>
      <c r="E12" s="1297">
        <v>29631</v>
      </c>
      <c r="F12" s="1298">
        <f t="shared" si="0"/>
        <v>124544</v>
      </c>
    </row>
    <row r="13" spans="1:256" ht="15" hidden="1">
      <c r="A13" s="1299">
        <v>40603</v>
      </c>
      <c r="B13" s="1297">
        <v>30627</v>
      </c>
      <c r="C13" s="1297">
        <v>42336</v>
      </c>
      <c r="D13" s="1297">
        <v>22086</v>
      </c>
      <c r="E13" s="1297">
        <v>29794</v>
      </c>
      <c r="F13" s="1298">
        <f t="shared" si="0"/>
        <v>124843</v>
      </c>
    </row>
    <row r="14" spans="1:256" ht="15" hidden="1">
      <c r="A14" s="1299">
        <v>40634</v>
      </c>
      <c r="B14" s="1297">
        <v>30545</v>
      </c>
      <c r="C14" s="1297">
        <v>42358</v>
      </c>
      <c r="D14" s="1297">
        <v>23088</v>
      </c>
      <c r="E14" s="1297">
        <v>29794</v>
      </c>
      <c r="F14" s="1298">
        <f t="shared" si="0"/>
        <v>125785</v>
      </c>
    </row>
    <row r="15" spans="1:256" ht="15" hidden="1">
      <c r="A15" s="1299">
        <v>40664</v>
      </c>
      <c r="B15" s="1297">
        <v>31528</v>
      </c>
      <c r="C15" s="1297">
        <v>42041</v>
      </c>
      <c r="D15" s="1297">
        <v>23088</v>
      </c>
      <c r="E15" s="1297">
        <v>31342</v>
      </c>
      <c r="F15" s="1298">
        <f t="shared" si="0"/>
        <v>127999</v>
      </c>
    </row>
    <row r="16" spans="1:256" ht="15" hidden="1">
      <c r="A16" s="1299">
        <v>40725</v>
      </c>
      <c r="B16" s="1297">
        <v>32583</v>
      </c>
      <c r="C16" s="1297">
        <v>42511</v>
      </c>
      <c r="D16" s="1297">
        <v>22740</v>
      </c>
      <c r="E16" s="1297">
        <v>31342</v>
      </c>
      <c r="F16" s="1298">
        <f t="shared" si="0"/>
        <v>129176</v>
      </c>
    </row>
    <row r="17" spans="1:6" ht="15" hidden="1">
      <c r="A17" s="1299">
        <v>40756</v>
      </c>
      <c r="B17" s="1297">
        <v>30710</v>
      </c>
      <c r="C17" s="1297">
        <v>42993</v>
      </c>
      <c r="D17" s="1297">
        <v>23154</v>
      </c>
      <c r="E17" s="1297">
        <v>31342</v>
      </c>
      <c r="F17" s="1298">
        <f t="shared" si="0"/>
        <v>128199</v>
      </c>
    </row>
    <row r="18" spans="1:6" ht="15" hidden="1">
      <c r="A18" s="1299">
        <v>40787</v>
      </c>
      <c r="B18" s="1297">
        <v>29756</v>
      </c>
      <c r="C18" s="1297">
        <v>43058</v>
      </c>
      <c r="D18" s="1297">
        <v>23154</v>
      </c>
      <c r="E18" s="1297">
        <v>32630</v>
      </c>
      <c r="F18" s="1298">
        <f t="shared" si="0"/>
        <v>128598</v>
      </c>
    </row>
    <row r="19" spans="1:6" ht="15" hidden="1">
      <c r="A19" s="1299">
        <v>40817</v>
      </c>
      <c r="B19" s="1297">
        <v>31534</v>
      </c>
      <c r="C19" s="1297">
        <v>43610</v>
      </c>
      <c r="D19" s="1297">
        <v>24454</v>
      </c>
      <c r="E19" s="1297">
        <v>32630</v>
      </c>
      <c r="F19" s="1298">
        <f t="shared" si="0"/>
        <v>132228</v>
      </c>
    </row>
    <row r="20" spans="1:6" ht="15" hidden="1">
      <c r="A20" s="1299">
        <v>40848</v>
      </c>
      <c r="B20" s="1297">
        <v>31506</v>
      </c>
      <c r="C20" s="1297">
        <v>43374</v>
      </c>
      <c r="D20" s="1297">
        <v>24454</v>
      </c>
      <c r="E20" s="1297">
        <v>33971</v>
      </c>
      <c r="F20" s="1300">
        <f t="shared" si="0"/>
        <v>133305</v>
      </c>
    </row>
    <row r="21" spans="1:6" ht="15" hidden="1">
      <c r="A21" s="1299">
        <v>40878</v>
      </c>
      <c r="B21" s="1297">
        <v>32093</v>
      </c>
      <c r="C21" s="1297">
        <v>42611</v>
      </c>
      <c r="D21" s="1297">
        <v>23954</v>
      </c>
      <c r="E21" s="1297">
        <v>34575</v>
      </c>
      <c r="F21" s="1300">
        <f t="shared" si="0"/>
        <v>133233</v>
      </c>
    </row>
    <row r="22" spans="1:6" ht="15" hidden="1">
      <c r="A22" s="1299">
        <v>40909</v>
      </c>
      <c r="B22" s="1297">
        <v>33125</v>
      </c>
      <c r="C22" s="1297">
        <v>43150</v>
      </c>
      <c r="D22" s="1297">
        <v>23954</v>
      </c>
      <c r="E22" s="1297">
        <v>35152</v>
      </c>
      <c r="F22" s="1300">
        <f t="shared" si="0"/>
        <v>135381</v>
      </c>
    </row>
    <row r="23" spans="1:6" ht="15" hidden="1">
      <c r="A23" s="1299">
        <v>40968</v>
      </c>
      <c r="B23" s="1297">
        <v>32651</v>
      </c>
      <c r="C23" s="1297">
        <v>43632</v>
      </c>
      <c r="D23" s="1297">
        <v>24474</v>
      </c>
      <c r="E23" s="1297">
        <v>35152</v>
      </c>
      <c r="F23" s="1300">
        <f t="shared" si="0"/>
        <v>135909</v>
      </c>
    </row>
    <row r="24" spans="1:6" ht="15" hidden="1">
      <c r="A24" s="1299">
        <v>40999</v>
      </c>
      <c r="B24" s="1297">
        <v>32664</v>
      </c>
      <c r="C24" s="1297">
        <v>44305</v>
      </c>
      <c r="D24" s="1297">
        <v>25474</v>
      </c>
      <c r="E24" s="1297">
        <v>35152</v>
      </c>
      <c r="F24" s="1300">
        <f t="shared" si="0"/>
        <v>137595</v>
      </c>
    </row>
    <row r="25" spans="1:6" ht="15" hidden="1">
      <c r="A25" s="1299">
        <v>41000</v>
      </c>
      <c r="B25" s="1297">
        <v>31999</v>
      </c>
      <c r="C25" s="1297">
        <v>44822</v>
      </c>
      <c r="D25" s="1297">
        <v>26374</v>
      </c>
      <c r="E25" s="1297">
        <v>35152</v>
      </c>
      <c r="F25" s="1300">
        <f t="shared" si="0"/>
        <v>138347</v>
      </c>
    </row>
    <row r="26" spans="1:6" ht="15" hidden="1">
      <c r="A26" s="1299">
        <v>41060</v>
      </c>
      <c r="B26" s="1297">
        <v>32814</v>
      </c>
      <c r="C26" s="1297">
        <v>45306</v>
      </c>
      <c r="D26" s="1297">
        <v>26374</v>
      </c>
      <c r="E26" s="1297">
        <v>35152</v>
      </c>
      <c r="F26" s="1300">
        <f t="shared" si="0"/>
        <v>139646</v>
      </c>
    </row>
    <row r="27" spans="1:6" ht="15" hidden="1">
      <c r="A27" s="1299">
        <v>41061</v>
      </c>
      <c r="B27" s="1297">
        <v>32654</v>
      </c>
      <c r="C27" s="1297">
        <v>43616</v>
      </c>
      <c r="D27" s="1297">
        <v>27686</v>
      </c>
      <c r="E27" s="1297">
        <v>36603</v>
      </c>
      <c r="F27" s="1300">
        <f t="shared" si="0"/>
        <v>140559</v>
      </c>
    </row>
    <row r="28" spans="1:6" ht="15" hidden="1">
      <c r="A28" s="1299">
        <v>41121</v>
      </c>
      <c r="B28" s="1297">
        <v>30361</v>
      </c>
      <c r="C28" s="1297">
        <v>43409</v>
      </c>
      <c r="D28" s="1297">
        <v>27686</v>
      </c>
      <c r="E28" s="1297">
        <v>36603</v>
      </c>
      <c r="F28" s="1300">
        <f t="shared" si="0"/>
        <v>138059</v>
      </c>
    </row>
    <row r="29" spans="1:6" ht="15" hidden="1">
      <c r="A29" s="1299">
        <v>41152</v>
      </c>
      <c r="B29" s="1297">
        <v>30012</v>
      </c>
      <c r="C29" s="1297">
        <v>43947</v>
      </c>
      <c r="D29" s="1297">
        <v>28546</v>
      </c>
      <c r="E29" s="1297">
        <v>37231</v>
      </c>
      <c r="F29" s="1300">
        <f t="shared" si="0"/>
        <v>139736</v>
      </c>
    </row>
    <row r="30" spans="1:6" ht="15" hidden="1">
      <c r="A30" s="1299">
        <v>41182</v>
      </c>
      <c r="B30" s="1297">
        <v>28711</v>
      </c>
      <c r="C30" s="1297">
        <v>43964</v>
      </c>
      <c r="D30" s="1297">
        <v>28546</v>
      </c>
      <c r="E30" s="1297">
        <v>39030</v>
      </c>
      <c r="F30" s="1300">
        <f t="shared" si="0"/>
        <v>140251</v>
      </c>
    </row>
    <row r="31" spans="1:6" ht="15" hidden="1">
      <c r="A31" s="1299">
        <v>41213</v>
      </c>
      <c r="B31" s="1297">
        <v>28881</v>
      </c>
      <c r="C31" s="1297">
        <v>42966</v>
      </c>
      <c r="D31" s="1297">
        <v>29009</v>
      </c>
      <c r="E31" s="1297">
        <v>38533</v>
      </c>
      <c r="F31" s="1300">
        <f t="shared" si="0"/>
        <v>139389</v>
      </c>
    </row>
    <row r="32" spans="1:6" ht="15" hidden="1">
      <c r="A32" s="1299">
        <v>41243</v>
      </c>
      <c r="B32" s="1297">
        <v>29393</v>
      </c>
      <c r="C32" s="1297">
        <v>41632</v>
      </c>
      <c r="D32" s="1297">
        <v>29009</v>
      </c>
      <c r="E32" s="1297">
        <v>40328</v>
      </c>
      <c r="F32" s="1300">
        <f t="shared" si="0"/>
        <v>140362</v>
      </c>
    </row>
    <row r="33" spans="1:6" ht="15" hidden="1">
      <c r="A33" s="1299">
        <v>41273</v>
      </c>
      <c r="B33" s="1297">
        <v>29702</v>
      </c>
      <c r="C33" s="1297">
        <v>40157</v>
      </c>
      <c r="D33" s="1297">
        <v>29659</v>
      </c>
      <c r="E33" s="1297">
        <v>39904</v>
      </c>
      <c r="F33" s="1300">
        <f t="shared" si="0"/>
        <v>139422</v>
      </c>
    </row>
    <row r="34" spans="1:6" ht="15" hidden="1">
      <c r="A34" s="1299">
        <v>41305</v>
      </c>
      <c r="B34" s="1297">
        <v>30004</v>
      </c>
      <c r="C34" s="1297">
        <v>39966</v>
      </c>
      <c r="D34" s="1297">
        <v>29659</v>
      </c>
      <c r="E34" s="1297">
        <v>41300</v>
      </c>
      <c r="F34" s="1300">
        <f t="shared" si="0"/>
        <v>140929</v>
      </c>
    </row>
    <row r="35" spans="1:6" ht="15" hidden="1">
      <c r="A35" s="1299">
        <v>41333</v>
      </c>
      <c r="B35" s="1297">
        <v>29663</v>
      </c>
      <c r="C35" s="1297">
        <v>39742</v>
      </c>
      <c r="D35" s="1297">
        <v>30109</v>
      </c>
      <c r="E35" s="1297">
        <v>41300</v>
      </c>
      <c r="F35" s="1300">
        <f t="shared" si="0"/>
        <v>140814</v>
      </c>
    </row>
    <row r="36" spans="1:6" ht="15" hidden="1">
      <c r="A36" s="1299">
        <v>41364</v>
      </c>
      <c r="B36" s="1297">
        <v>31343</v>
      </c>
      <c r="C36" s="1297">
        <v>40047</v>
      </c>
      <c r="D36" s="1297">
        <v>30109</v>
      </c>
      <c r="E36" s="1297">
        <v>41300</v>
      </c>
      <c r="F36" s="1300">
        <f t="shared" si="0"/>
        <v>142799</v>
      </c>
    </row>
    <row r="37" spans="1:6" ht="15" hidden="1">
      <c r="A37" s="1301">
        <v>41365</v>
      </c>
      <c r="B37" s="1297">
        <v>31373</v>
      </c>
      <c r="C37" s="1297">
        <v>40087</v>
      </c>
      <c r="D37" s="1297">
        <v>30584</v>
      </c>
      <c r="E37" s="1297">
        <v>41300</v>
      </c>
      <c r="F37" s="1300">
        <f t="shared" si="0"/>
        <v>143344</v>
      </c>
    </row>
    <row r="38" spans="1:6" ht="15" hidden="1">
      <c r="A38" s="1301">
        <v>41425</v>
      </c>
      <c r="B38" s="1297">
        <v>31133</v>
      </c>
      <c r="C38" s="1297">
        <v>40189</v>
      </c>
      <c r="D38" s="1297">
        <v>30584</v>
      </c>
      <c r="E38" s="1297">
        <v>42300</v>
      </c>
      <c r="F38" s="1300">
        <f t="shared" si="0"/>
        <v>144206</v>
      </c>
    </row>
    <row r="39" spans="1:6" ht="15" hidden="1">
      <c r="A39" s="1301">
        <v>41455</v>
      </c>
      <c r="B39" s="1297">
        <v>29993</v>
      </c>
      <c r="C39" s="1297">
        <v>40680</v>
      </c>
      <c r="D39" s="1297">
        <v>31034</v>
      </c>
      <c r="E39" s="1297">
        <v>42300</v>
      </c>
      <c r="F39" s="1300">
        <f t="shared" si="0"/>
        <v>144007</v>
      </c>
    </row>
    <row r="40" spans="1:6" ht="15">
      <c r="A40" s="1301">
        <v>41486</v>
      </c>
      <c r="B40" s="1297">
        <v>30551</v>
      </c>
      <c r="C40" s="1297">
        <v>40221</v>
      </c>
      <c r="D40" s="1297">
        <v>31034</v>
      </c>
      <c r="E40" s="1297">
        <v>43500</v>
      </c>
      <c r="F40" s="1300">
        <f t="shared" si="0"/>
        <v>145306</v>
      </c>
    </row>
    <row r="41" spans="1:6" ht="15">
      <c r="A41" s="1301">
        <v>41517</v>
      </c>
      <c r="B41" s="1297">
        <v>30221</v>
      </c>
      <c r="C41" s="1297">
        <v>40962</v>
      </c>
      <c r="D41" s="1297">
        <v>32066</v>
      </c>
      <c r="E41" s="1297">
        <v>43500</v>
      </c>
      <c r="F41" s="1300">
        <f t="shared" si="0"/>
        <v>146749</v>
      </c>
    </row>
    <row r="42" spans="1:6" ht="15">
      <c r="A42" s="1301">
        <v>41547</v>
      </c>
      <c r="B42" s="1297">
        <v>29035</v>
      </c>
      <c r="C42" s="1297">
        <v>41522</v>
      </c>
      <c r="D42" s="1297">
        <v>32066</v>
      </c>
      <c r="E42" s="1297">
        <v>45666</v>
      </c>
      <c r="F42" s="1300">
        <f t="shared" si="0"/>
        <v>148289</v>
      </c>
    </row>
    <row r="43" spans="1:6" ht="15">
      <c r="A43" s="1301">
        <v>41578</v>
      </c>
      <c r="B43" s="1297">
        <v>27600</v>
      </c>
      <c r="C43" s="1297">
        <v>41917</v>
      </c>
      <c r="D43" s="1297">
        <v>32962</v>
      </c>
      <c r="E43" s="1297">
        <v>45666</v>
      </c>
      <c r="F43" s="1300">
        <f t="shared" si="0"/>
        <v>148145</v>
      </c>
    </row>
    <row r="44" spans="1:6" ht="15">
      <c r="A44" s="1301">
        <v>41608</v>
      </c>
      <c r="B44" s="1297">
        <v>27061.5</v>
      </c>
      <c r="C44" s="1297">
        <v>42610.6</v>
      </c>
      <c r="D44" s="1297">
        <v>32961.800000000003</v>
      </c>
      <c r="E44" s="1297">
        <v>46076.1</v>
      </c>
      <c r="F44" s="1300">
        <f t="shared" si="0"/>
        <v>148710</v>
      </c>
    </row>
    <row r="45" spans="1:6" ht="15">
      <c r="A45" s="1301">
        <v>41639</v>
      </c>
      <c r="B45" s="1297">
        <v>26371.5</v>
      </c>
      <c r="C45" s="1297">
        <v>43250.8</v>
      </c>
      <c r="D45" s="1297">
        <v>33161.800000000003</v>
      </c>
      <c r="E45" s="1297">
        <v>46076</v>
      </c>
      <c r="F45" s="1300">
        <f t="shared" si="0"/>
        <v>148860.1</v>
      </c>
    </row>
    <row r="46" spans="1:6" ht="15">
      <c r="A46" s="1301">
        <v>41670</v>
      </c>
      <c r="B46" s="1297">
        <v>26481.5</v>
      </c>
      <c r="C46" s="1297">
        <v>44085.9</v>
      </c>
      <c r="D46" s="1297">
        <v>33161.800000000003</v>
      </c>
      <c r="E46" s="1297">
        <v>47476.1</v>
      </c>
      <c r="F46" s="1300">
        <f t="shared" si="0"/>
        <v>151205.29999999999</v>
      </c>
    </row>
    <row r="47" spans="1:6" ht="15">
      <c r="A47" s="1301">
        <v>41698</v>
      </c>
      <c r="B47" s="1297">
        <v>24415</v>
      </c>
      <c r="C47" s="1297">
        <v>45059.5</v>
      </c>
      <c r="D47" s="1297">
        <v>33761.800000000003</v>
      </c>
      <c r="E47" s="1297">
        <v>47476.1</v>
      </c>
      <c r="F47" s="1300">
        <f t="shared" si="0"/>
        <v>150712.4</v>
      </c>
    </row>
    <row r="48" spans="1:6" ht="15">
      <c r="A48" s="1301">
        <v>41729</v>
      </c>
      <c r="B48" s="1297">
        <v>24195</v>
      </c>
      <c r="C48" s="1297">
        <v>47154</v>
      </c>
      <c r="D48" s="1297">
        <v>33762</v>
      </c>
      <c r="E48" s="1297">
        <v>48876</v>
      </c>
      <c r="F48" s="1300">
        <f t="shared" si="0"/>
        <v>153987</v>
      </c>
    </row>
    <row r="49" spans="1:256" ht="15">
      <c r="A49" s="1301">
        <v>41759</v>
      </c>
      <c r="B49" s="1297">
        <v>23355</v>
      </c>
      <c r="C49" s="1297">
        <v>49394</v>
      </c>
      <c r="D49" s="1297">
        <v>35162</v>
      </c>
      <c r="E49" s="1297">
        <v>48629</v>
      </c>
      <c r="F49" s="1300">
        <f t="shared" si="0"/>
        <v>156540</v>
      </c>
    </row>
    <row r="50" spans="1:256" ht="15">
      <c r="A50" s="1301">
        <v>41790</v>
      </c>
      <c r="B50" s="1297">
        <v>22915</v>
      </c>
      <c r="C50" s="1297">
        <v>50161</v>
      </c>
      <c r="D50" s="1297">
        <v>35162</v>
      </c>
      <c r="E50" s="1297">
        <v>49093</v>
      </c>
      <c r="F50" s="1300">
        <f t="shared" si="0"/>
        <v>157331</v>
      </c>
    </row>
    <row r="51" spans="1:256" ht="15">
      <c r="A51" s="1301">
        <v>41820</v>
      </c>
      <c r="B51" s="1297">
        <v>23375</v>
      </c>
      <c r="C51" s="1297">
        <v>50692</v>
      </c>
      <c r="D51" s="1297">
        <v>34234</v>
      </c>
      <c r="E51" s="1297">
        <v>49093</v>
      </c>
      <c r="F51" s="1300">
        <f t="shared" si="0"/>
        <v>157394</v>
      </c>
    </row>
    <row r="52" spans="1:256" ht="15.75" thickBot="1">
      <c r="A52" s="1302">
        <v>41851</v>
      </c>
      <c r="B52" s="1303">
        <v>22000</v>
      </c>
      <c r="C52" s="1303">
        <v>51344.4</v>
      </c>
      <c r="D52" s="1303">
        <v>34234.199999999997</v>
      </c>
      <c r="E52" s="1303">
        <v>50093.3</v>
      </c>
      <c r="F52" s="1304">
        <f t="shared" si="0"/>
        <v>157671.9</v>
      </c>
    </row>
    <row r="53" spans="1:256">
      <c r="A53" s="1305" t="s">
        <v>830</v>
      </c>
      <c r="F53" s="1290"/>
    </row>
    <row r="54" spans="1:256">
      <c r="A54" s="1305" t="s">
        <v>831</v>
      </c>
      <c r="F54" s="1290"/>
    </row>
    <row r="55" spans="1:256">
      <c r="A55" s="1305"/>
      <c r="F55" s="1290"/>
    </row>
    <row r="57" spans="1:256" ht="18.75">
      <c r="A57" s="1287" t="s">
        <v>832</v>
      </c>
      <c r="B57" s="1306"/>
      <c r="C57" s="1306"/>
      <c r="D57" s="1306"/>
      <c r="E57" s="1306"/>
      <c r="F57" s="1306"/>
      <c r="G57" s="1306"/>
      <c r="H57" s="1306"/>
      <c r="I57" s="1306"/>
      <c r="J57" s="1306"/>
      <c r="K57" s="1306"/>
      <c r="L57" s="1306"/>
      <c r="M57" s="1306"/>
      <c r="N57" s="1306"/>
      <c r="O57" s="1306"/>
      <c r="P57" s="1306"/>
      <c r="Q57" s="1306"/>
      <c r="R57" s="1306"/>
      <c r="S57" s="1306"/>
      <c r="T57" s="1306"/>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6"/>
      <c r="AV57" s="1306"/>
      <c r="AW57" s="1306"/>
      <c r="AX57" s="1306"/>
      <c r="AY57" s="1306"/>
      <c r="AZ57" s="1306"/>
      <c r="BA57" s="1306"/>
      <c r="BB57" s="1306"/>
      <c r="BC57" s="1306"/>
      <c r="BD57" s="1306"/>
      <c r="BE57" s="1306"/>
      <c r="BF57" s="1306"/>
      <c r="BG57" s="1306"/>
      <c r="BH57" s="1306"/>
      <c r="BI57" s="1306"/>
      <c r="BJ57" s="1306"/>
      <c r="BK57" s="1306"/>
      <c r="BL57" s="1306"/>
      <c r="BM57" s="1306"/>
      <c r="BN57" s="1306"/>
      <c r="BO57" s="1306"/>
      <c r="BP57" s="1306"/>
      <c r="BQ57" s="1306"/>
      <c r="BR57" s="1306"/>
      <c r="BS57" s="1306"/>
      <c r="BT57" s="1306"/>
      <c r="BU57" s="1306"/>
      <c r="BV57" s="1306"/>
      <c r="BW57" s="1306"/>
      <c r="BX57" s="1306"/>
      <c r="BY57" s="1306"/>
      <c r="BZ57" s="1306"/>
      <c r="CA57" s="1306"/>
      <c r="CB57" s="1306"/>
      <c r="CC57" s="1306"/>
      <c r="CD57" s="1306"/>
      <c r="CE57" s="1306"/>
      <c r="CF57" s="1306"/>
      <c r="CG57" s="1306"/>
      <c r="CH57" s="1306"/>
      <c r="CI57" s="1306"/>
      <c r="CJ57" s="1306"/>
      <c r="CK57" s="1306"/>
      <c r="CL57" s="1306"/>
      <c r="CM57" s="1306"/>
      <c r="CN57" s="1306"/>
      <c r="CO57" s="1306"/>
      <c r="CP57" s="1306"/>
      <c r="CQ57" s="1306"/>
      <c r="CR57" s="1306"/>
      <c r="CS57" s="1306"/>
      <c r="CT57" s="1306"/>
      <c r="CU57" s="1306"/>
      <c r="CV57" s="1306"/>
      <c r="CW57" s="1306"/>
      <c r="CX57" s="1306"/>
      <c r="CY57" s="1306"/>
      <c r="CZ57" s="1306"/>
      <c r="DA57" s="1306"/>
      <c r="DB57" s="1306"/>
      <c r="DC57" s="1306"/>
      <c r="DD57" s="1306"/>
      <c r="DE57" s="1306"/>
      <c r="DF57" s="1306"/>
      <c r="DG57" s="1306"/>
      <c r="DH57" s="1306"/>
      <c r="DI57" s="1306"/>
      <c r="DJ57" s="1306"/>
      <c r="DK57" s="1306"/>
      <c r="DL57" s="1306"/>
      <c r="DM57" s="1306"/>
      <c r="DN57" s="1306"/>
      <c r="DO57" s="1306"/>
      <c r="DP57" s="1306"/>
      <c r="DQ57" s="1306"/>
      <c r="DR57" s="1306"/>
      <c r="DS57" s="1306"/>
      <c r="DT57" s="1306"/>
      <c r="DU57" s="1306"/>
      <c r="DV57" s="1306"/>
      <c r="DW57" s="1306"/>
      <c r="DX57" s="1306"/>
      <c r="DY57" s="1306"/>
      <c r="DZ57" s="1306"/>
      <c r="EA57" s="1306"/>
      <c r="EB57" s="1306"/>
      <c r="EC57" s="1306"/>
      <c r="ED57" s="1306"/>
      <c r="EE57" s="1306"/>
      <c r="EF57" s="1306"/>
      <c r="EG57" s="1306"/>
      <c r="EH57" s="1306"/>
      <c r="EI57" s="1306"/>
      <c r="EJ57" s="1306"/>
      <c r="EK57" s="1306"/>
      <c r="EL57" s="1306"/>
      <c r="EM57" s="1306"/>
      <c r="EN57" s="1306"/>
      <c r="EO57" s="1306"/>
      <c r="EP57" s="1306"/>
      <c r="EQ57" s="1306"/>
      <c r="ER57" s="1306"/>
      <c r="ES57" s="1306"/>
      <c r="ET57" s="1306"/>
      <c r="EU57" s="1306"/>
      <c r="EV57" s="1306"/>
      <c r="EW57" s="1306"/>
      <c r="EX57" s="1306"/>
      <c r="EY57" s="1306"/>
      <c r="EZ57" s="1306"/>
      <c r="FA57" s="1306"/>
      <c r="FB57" s="1306"/>
      <c r="FC57" s="1306"/>
      <c r="FD57" s="1306"/>
      <c r="FE57" s="1306"/>
      <c r="FF57" s="1306"/>
      <c r="FG57" s="1306"/>
      <c r="FH57" s="1306"/>
      <c r="FI57" s="1306"/>
      <c r="FJ57" s="1306"/>
      <c r="FK57" s="1306"/>
      <c r="FL57" s="1306"/>
      <c r="FM57" s="1306"/>
      <c r="FN57" s="1306"/>
      <c r="FO57" s="1306"/>
      <c r="FP57" s="1306"/>
      <c r="FQ57" s="1306"/>
      <c r="FR57" s="1306"/>
      <c r="FS57" s="1306"/>
      <c r="FT57" s="1306"/>
      <c r="FU57" s="1306"/>
      <c r="FV57" s="1306"/>
      <c r="FW57" s="1306"/>
      <c r="FX57" s="1306"/>
      <c r="FY57" s="1306"/>
      <c r="FZ57" s="1306"/>
      <c r="GA57" s="1306"/>
      <c r="GB57" s="1306"/>
      <c r="GC57" s="1306"/>
      <c r="GD57" s="1306"/>
      <c r="GE57" s="1306"/>
      <c r="GF57" s="1306"/>
      <c r="GG57" s="1306"/>
      <c r="GH57" s="1306"/>
      <c r="GI57" s="1306"/>
      <c r="GJ57" s="1306"/>
      <c r="GK57" s="1306"/>
      <c r="GL57" s="1306"/>
      <c r="GM57" s="1306"/>
      <c r="GN57" s="1306"/>
      <c r="GO57" s="1306"/>
      <c r="GP57" s="1306"/>
      <c r="GQ57" s="1306"/>
      <c r="GR57" s="1306"/>
      <c r="GS57" s="1306"/>
      <c r="GT57" s="1306"/>
      <c r="GU57" s="1306"/>
      <c r="GV57" s="1306"/>
      <c r="GW57" s="1306"/>
      <c r="GX57" s="1306"/>
      <c r="GY57" s="1306"/>
      <c r="GZ57" s="1306"/>
      <c r="HA57" s="1306"/>
      <c r="HB57" s="1306"/>
      <c r="HC57" s="1306"/>
      <c r="HD57" s="1306"/>
      <c r="HE57" s="1306"/>
      <c r="HF57" s="1306"/>
      <c r="HG57" s="1306"/>
      <c r="HH57" s="1306"/>
      <c r="HI57" s="1306"/>
      <c r="HJ57" s="1306"/>
      <c r="HK57" s="1306"/>
      <c r="HL57" s="1306"/>
      <c r="HM57" s="1306"/>
      <c r="HN57" s="1306"/>
      <c r="HO57" s="1306"/>
      <c r="HP57" s="1306"/>
      <c r="HQ57" s="1306"/>
      <c r="HR57" s="1306"/>
      <c r="HS57" s="1306"/>
      <c r="HT57" s="1306"/>
      <c r="HU57" s="1306"/>
      <c r="HV57" s="1306"/>
      <c r="HW57" s="1306"/>
      <c r="HX57" s="1306"/>
      <c r="HY57" s="1306"/>
      <c r="HZ57" s="1306"/>
      <c r="IA57" s="1306"/>
      <c r="IB57" s="1306"/>
      <c r="IC57" s="1306"/>
      <c r="ID57" s="1306"/>
      <c r="IE57" s="1306"/>
      <c r="IF57" s="1306"/>
      <c r="IG57" s="1306"/>
      <c r="IH57" s="1306"/>
      <c r="II57" s="1306"/>
      <c r="IJ57" s="1306"/>
      <c r="IK57" s="1306"/>
      <c r="IL57" s="1306"/>
      <c r="IM57" s="1306"/>
      <c r="IN57" s="1306"/>
      <c r="IO57" s="1306"/>
      <c r="IP57" s="1306"/>
      <c r="IQ57" s="1306"/>
      <c r="IR57" s="1306"/>
      <c r="IS57" s="1306"/>
      <c r="IT57" s="1306"/>
      <c r="IU57" s="1306"/>
      <c r="IV57" s="1306"/>
    </row>
    <row r="58" spans="1:256" ht="13.5" thickBot="1">
      <c r="E58" s="1291"/>
      <c r="F58" s="1291" t="s">
        <v>74</v>
      </c>
    </row>
    <row r="59" spans="1:256" ht="29.25" thickBot="1">
      <c r="A59" s="1307"/>
      <c r="B59" s="1308" t="s">
        <v>826</v>
      </c>
      <c r="C59" s="1293" t="s">
        <v>827</v>
      </c>
      <c r="D59" s="1293" t="s">
        <v>833</v>
      </c>
      <c r="E59" s="1293" t="s">
        <v>834</v>
      </c>
      <c r="F59" s="1294" t="s">
        <v>247</v>
      </c>
    </row>
    <row r="60" spans="1:256" ht="15">
      <c r="A60" s="1309" t="s">
        <v>835</v>
      </c>
      <c r="B60" s="1297">
        <v>20900</v>
      </c>
      <c r="C60" s="1297">
        <v>17700.900000000001</v>
      </c>
      <c r="D60" s="1297">
        <v>9500</v>
      </c>
      <c r="E60" s="1297">
        <v>3038</v>
      </c>
      <c r="F60" s="1297">
        <f>SUM(B60:E60)</f>
        <v>51138.9</v>
      </c>
    </row>
    <row r="61" spans="1:256" ht="15">
      <c r="A61" s="1309" t="s">
        <v>836</v>
      </c>
      <c r="B61" s="1297">
        <v>1100</v>
      </c>
      <c r="C61" s="1297">
        <v>16923.5</v>
      </c>
      <c r="D61" s="1297" t="s">
        <v>661</v>
      </c>
      <c r="E61" s="1297">
        <v>3611</v>
      </c>
      <c r="F61" s="1297">
        <f t="shared" ref="F61:F75" si="1">SUM(B61:E61)</f>
        <v>21634.5</v>
      </c>
    </row>
    <row r="62" spans="1:256" ht="15">
      <c r="A62" s="1309" t="s">
        <v>837</v>
      </c>
      <c r="B62" s="1297" t="s">
        <v>661</v>
      </c>
      <c r="C62" s="1297">
        <v>15470</v>
      </c>
      <c r="D62" s="1297">
        <v>9544</v>
      </c>
      <c r="E62" s="1297">
        <v>1363</v>
      </c>
      <c r="F62" s="1297">
        <f t="shared" si="1"/>
        <v>26377</v>
      </c>
    </row>
    <row r="63" spans="1:256" ht="15">
      <c r="A63" s="1309" t="s">
        <v>838</v>
      </c>
      <c r="B63" s="1297" t="s">
        <v>661</v>
      </c>
      <c r="C63" s="1310">
        <v>1250</v>
      </c>
      <c r="D63" s="1297">
        <v>7190</v>
      </c>
      <c r="E63" s="1297">
        <v>369</v>
      </c>
      <c r="F63" s="1297">
        <f t="shared" si="1"/>
        <v>8809</v>
      </c>
    </row>
    <row r="64" spans="1:256" ht="15">
      <c r="A64" s="1309" t="s">
        <v>839</v>
      </c>
      <c r="B64" s="1297" t="s">
        <v>661</v>
      </c>
      <c r="C64" s="1310" t="s">
        <v>661</v>
      </c>
      <c r="D64" s="1297">
        <v>8000</v>
      </c>
      <c r="E64" s="1297">
        <v>1610</v>
      </c>
      <c r="F64" s="1297">
        <f t="shared" si="1"/>
        <v>9610</v>
      </c>
    </row>
    <row r="65" spans="1:256" ht="15">
      <c r="A65" s="1309" t="s">
        <v>840</v>
      </c>
      <c r="B65" s="1297" t="s">
        <v>661</v>
      </c>
      <c r="C65" s="1310" t="s">
        <v>661</v>
      </c>
      <c r="D65" s="1297" t="s">
        <v>661</v>
      </c>
      <c r="E65" s="1297">
        <v>1826</v>
      </c>
      <c r="F65" s="1297">
        <f t="shared" si="1"/>
        <v>1826</v>
      </c>
    </row>
    <row r="66" spans="1:256" ht="15">
      <c r="A66" s="1309" t="s">
        <v>841</v>
      </c>
      <c r="B66" s="1297" t="s">
        <v>661</v>
      </c>
      <c r="C66" s="1310" t="s">
        <v>661</v>
      </c>
      <c r="D66" s="1297" t="s">
        <v>661</v>
      </c>
      <c r="E66" s="1297">
        <v>4349</v>
      </c>
      <c r="F66" s="1297">
        <f t="shared" si="1"/>
        <v>4349</v>
      </c>
    </row>
    <row r="67" spans="1:256" ht="15">
      <c r="A67" s="1309" t="s">
        <v>842</v>
      </c>
      <c r="B67" s="1297" t="s">
        <v>661</v>
      </c>
      <c r="C67" s="1310" t="s">
        <v>661</v>
      </c>
      <c r="D67" s="1297" t="s">
        <v>661</v>
      </c>
      <c r="E67" s="1297">
        <v>4931</v>
      </c>
      <c r="F67" s="1297">
        <f t="shared" si="1"/>
        <v>4931</v>
      </c>
    </row>
    <row r="68" spans="1:256" ht="15">
      <c r="A68" s="1309" t="s">
        <v>843</v>
      </c>
      <c r="B68" s="1297" t="s">
        <v>661</v>
      </c>
      <c r="C68" s="1310" t="s">
        <v>661</v>
      </c>
      <c r="D68" s="1297" t="s">
        <v>661</v>
      </c>
      <c r="E68" s="1297">
        <v>2631</v>
      </c>
      <c r="F68" s="1297">
        <f t="shared" si="1"/>
        <v>2631</v>
      </c>
    </row>
    <row r="69" spans="1:256" ht="15">
      <c r="A69" s="1309" t="s">
        <v>844</v>
      </c>
      <c r="B69" s="1297" t="s">
        <v>661</v>
      </c>
      <c r="C69" s="1310" t="s">
        <v>661</v>
      </c>
      <c r="D69" s="1297" t="s">
        <v>661</v>
      </c>
      <c r="E69" s="1297">
        <v>6513</v>
      </c>
      <c r="F69" s="1297">
        <f t="shared" si="1"/>
        <v>6513</v>
      </c>
    </row>
    <row r="70" spans="1:256" ht="15">
      <c r="A70" s="1309" t="s">
        <v>845</v>
      </c>
      <c r="B70" s="1297" t="s">
        <v>661</v>
      </c>
      <c r="C70" s="1310" t="s">
        <v>661</v>
      </c>
      <c r="D70" s="1297" t="s">
        <v>661</v>
      </c>
      <c r="E70" s="1297" t="s">
        <v>661</v>
      </c>
      <c r="F70" s="1297" t="s">
        <v>661</v>
      </c>
    </row>
    <row r="71" spans="1:256" ht="15">
      <c r="A71" s="1309" t="s">
        <v>846</v>
      </c>
      <c r="B71" s="1297" t="s">
        <v>661</v>
      </c>
      <c r="C71" s="1310" t="s">
        <v>661</v>
      </c>
      <c r="D71" s="1297" t="s">
        <v>661</v>
      </c>
      <c r="E71" s="1297">
        <v>5061</v>
      </c>
      <c r="F71" s="1297">
        <f t="shared" si="1"/>
        <v>5061</v>
      </c>
    </row>
    <row r="72" spans="1:256" ht="15">
      <c r="A72" s="1309" t="s">
        <v>847</v>
      </c>
      <c r="B72" s="1297" t="s">
        <v>661</v>
      </c>
      <c r="C72" s="1310" t="s">
        <v>661</v>
      </c>
      <c r="D72" s="1297" t="s">
        <v>661</v>
      </c>
      <c r="E72" s="1297">
        <v>3493</v>
      </c>
      <c r="F72" s="1297">
        <f t="shared" si="1"/>
        <v>3493</v>
      </c>
    </row>
    <row r="73" spans="1:256" ht="15">
      <c r="A73" s="1309" t="s">
        <v>848</v>
      </c>
      <c r="B73" s="1297" t="s">
        <v>661</v>
      </c>
      <c r="C73" s="1310" t="s">
        <v>661</v>
      </c>
      <c r="D73" s="1297" t="s">
        <v>661</v>
      </c>
      <c r="E73" s="1297">
        <v>6123</v>
      </c>
      <c r="F73" s="1297">
        <f t="shared" si="1"/>
        <v>6123</v>
      </c>
    </row>
    <row r="74" spans="1:256" ht="15">
      <c r="A74" s="1309" t="s">
        <v>849</v>
      </c>
      <c r="B74" s="1297" t="s">
        <v>661</v>
      </c>
      <c r="C74" s="1310" t="s">
        <v>661</v>
      </c>
      <c r="D74" s="1297" t="s">
        <v>661</v>
      </c>
      <c r="E74" s="1297">
        <v>3596</v>
      </c>
      <c r="F74" s="1297">
        <f t="shared" si="1"/>
        <v>3596</v>
      </c>
    </row>
    <row r="75" spans="1:256" ht="15.75" thickBot="1">
      <c r="A75" s="1309" t="s">
        <v>850</v>
      </c>
      <c r="B75" s="1297" t="s">
        <v>661</v>
      </c>
      <c r="C75" s="1310" t="s">
        <v>661</v>
      </c>
      <c r="D75" s="1297" t="s">
        <v>661</v>
      </c>
      <c r="E75" s="1297">
        <v>1579.3</v>
      </c>
      <c r="F75" s="1297">
        <f t="shared" si="1"/>
        <v>1579.3</v>
      </c>
    </row>
    <row r="76" spans="1:256" ht="15" thickBot="1">
      <c r="A76" s="1311" t="s">
        <v>247</v>
      </c>
      <c r="B76" s="1312">
        <f>SUM(B60:B75)</f>
        <v>22000</v>
      </c>
      <c r="C76" s="1312">
        <f>SUM(C60:C75)</f>
        <v>51344.4</v>
      </c>
      <c r="D76" s="1313">
        <f>SUM(D60:D75)</f>
        <v>34234</v>
      </c>
      <c r="E76" s="1313">
        <f>SUM(E60:E75)</f>
        <v>50093.3</v>
      </c>
      <c r="F76" s="1313">
        <f>SUM(F60:F75)</f>
        <v>157671.69999999998</v>
      </c>
      <c r="G76" s="1290"/>
      <c r="H76" s="1290"/>
      <c r="I76" s="1290"/>
      <c r="J76" s="1290"/>
      <c r="K76" s="1290"/>
      <c r="L76" s="1290"/>
      <c r="M76" s="1290"/>
      <c r="N76" s="1290"/>
      <c r="O76" s="1290"/>
      <c r="P76" s="1290"/>
      <c r="Q76" s="1290"/>
      <c r="R76" s="1290"/>
      <c r="S76" s="1290"/>
      <c r="T76" s="1290"/>
      <c r="U76" s="1290"/>
      <c r="V76" s="1290"/>
      <c r="W76" s="1290"/>
      <c r="X76" s="1290"/>
      <c r="Y76" s="1290"/>
      <c r="Z76" s="1290"/>
      <c r="AA76" s="1290"/>
      <c r="AB76" s="1290"/>
      <c r="AC76" s="1290"/>
      <c r="AD76" s="1290"/>
      <c r="AE76" s="1290"/>
      <c r="AF76" s="1290"/>
      <c r="AG76" s="1290"/>
      <c r="AH76" s="1290"/>
      <c r="AI76" s="1290"/>
      <c r="AJ76" s="1290"/>
      <c r="AK76" s="1290"/>
      <c r="AL76" s="1290"/>
      <c r="AM76" s="1290"/>
      <c r="AN76" s="1290"/>
      <c r="AO76" s="1290"/>
      <c r="AP76" s="1290"/>
      <c r="AQ76" s="1290"/>
      <c r="AR76" s="1290"/>
      <c r="AS76" s="1290"/>
      <c r="AT76" s="1290"/>
      <c r="AU76" s="1290"/>
      <c r="AV76" s="1290"/>
      <c r="AW76" s="1290"/>
      <c r="AX76" s="1290"/>
      <c r="AY76" s="1290"/>
      <c r="AZ76" s="1290"/>
      <c r="BA76" s="1290"/>
      <c r="BB76" s="1290"/>
      <c r="BC76" s="1290"/>
      <c r="BD76" s="1290"/>
      <c r="BE76" s="1290"/>
      <c r="BF76" s="1290"/>
      <c r="BG76" s="1290"/>
      <c r="BH76" s="1290"/>
      <c r="BI76" s="1290"/>
      <c r="BJ76" s="1290"/>
      <c r="BK76" s="1290"/>
      <c r="BL76" s="1290"/>
      <c r="BM76" s="1290"/>
      <c r="BN76" s="1290"/>
      <c r="BO76" s="1290"/>
      <c r="BP76" s="1290"/>
      <c r="BQ76" s="1290"/>
      <c r="BR76" s="1290"/>
      <c r="BS76" s="1290"/>
      <c r="BT76" s="1290"/>
      <c r="BU76" s="1290"/>
      <c r="BV76" s="1290"/>
      <c r="BW76" s="1290"/>
      <c r="BX76" s="1290"/>
      <c r="BY76" s="1290"/>
      <c r="BZ76" s="1290"/>
      <c r="CA76" s="1290"/>
      <c r="CB76" s="1290"/>
      <c r="CC76" s="1290"/>
      <c r="CD76" s="1290"/>
      <c r="CE76" s="1290"/>
      <c r="CF76" s="1290"/>
      <c r="CG76" s="1290"/>
      <c r="CH76" s="1290"/>
      <c r="CI76" s="1290"/>
      <c r="CJ76" s="1290"/>
      <c r="CK76" s="1290"/>
      <c r="CL76" s="1290"/>
      <c r="CM76" s="1290"/>
      <c r="CN76" s="1290"/>
      <c r="CO76" s="1290"/>
      <c r="CP76" s="1290"/>
      <c r="CQ76" s="1290"/>
      <c r="CR76" s="1290"/>
      <c r="CS76" s="1290"/>
      <c r="CT76" s="1290"/>
      <c r="CU76" s="1290"/>
      <c r="CV76" s="1290"/>
      <c r="CW76" s="1290"/>
      <c r="CX76" s="1290"/>
      <c r="CY76" s="1290"/>
      <c r="CZ76" s="1290"/>
      <c r="DA76" s="1290"/>
      <c r="DB76" s="1290"/>
      <c r="DC76" s="1290"/>
      <c r="DD76" s="1290"/>
      <c r="DE76" s="1290"/>
      <c r="DF76" s="1290"/>
      <c r="DG76" s="1290"/>
      <c r="DH76" s="1290"/>
      <c r="DI76" s="1290"/>
      <c r="DJ76" s="1290"/>
      <c r="DK76" s="1290"/>
      <c r="DL76" s="1290"/>
      <c r="DM76" s="1290"/>
      <c r="DN76" s="1290"/>
      <c r="DO76" s="1290"/>
      <c r="DP76" s="1290"/>
      <c r="DQ76" s="1290"/>
      <c r="DR76" s="1290"/>
      <c r="DS76" s="1290"/>
      <c r="DT76" s="1290"/>
      <c r="DU76" s="1290"/>
      <c r="DV76" s="1290"/>
      <c r="DW76" s="1290"/>
      <c r="DX76" s="1290"/>
      <c r="DY76" s="1290"/>
      <c r="DZ76" s="1290"/>
      <c r="EA76" s="1290"/>
      <c r="EB76" s="1290"/>
      <c r="EC76" s="1290"/>
      <c r="ED76" s="1290"/>
      <c r="EE76" s="1290"/>
      <c r="EF76" s="1290"/>
      <c r="EG76" s="1290"/>
      <c r="EH76" s="1290"/>
      <c r="EI76" s="1290"/>
      <c r="EJ76" s="1290"/>
      <c r="EK76" s="1290"/>
      <c r="EL76" s="1290"/>
      <c r="EM76" s="1290"/>
      <c r="EN76" s="1290"/>
      <c r="EO76" s="1290"/>
      <c r="EP76" s="1290"/>
      <c r="EQ76" s="1290"/>
      <c r="ER76" s="1290"/>
      <c r="ES76" s="1290"/>
      <c r="ET76" s="1290"/>
      <c r="EU76" s="1290"/>
      <c r="EV76" s="1290"/>
      <c r="EW76" s="1290"/>
      <c r="EX76" s="1290"/>
      <c r="EY76" s="1290"/>
      <c r="EZ76" s="1290"/>
      <c r="FA76" s="1290"/>
      <c r="FB76" s="1290"/>
      <c r="FC76" s="1290"/>
      <c r="FD76" s="1290"/>
      <c r="FE76" s="1290"/>
      <c r="FF76" s="1290"/>
      <c r="FG76" s="1290"/>
      <c r="FH76" s="1290"/>
      <c r="FI76" s="1290"/>
      <c r="FJ76" s="1290"/>
      <c r="FK76" s="1290"/>
      <c r="FL76" s="1290"/>
      <c r="FM76" s="1290"/>
      <c r="FN76" s="1290"/>
      <c r="FO76" s="1290"/>
      <c r="FP76" s="1290"/>
      <c r="FQ76" s="1290"/>
      <c r="FR76" s="1290"/>
      <c r="FS76" s="1290"/>
      <c r="FT76" s="1290"/>
      <c r="FU76" s="1290"/>
      <c r="FV76" s="1290"/>
      <c r="FW76" s="1290"/>
      <c r="FX76" s="1290"/>
      <c r="FY76" s="1290"/>
      <c r="FZ76" s="1290"/>
      <c r="GA76" s="1290"/>
      <c r="GB76" s="1290"/>
      <c r="GC76" s="1290"/>
      <c r="GD76" s="1290"/>
      <c r="GE76" s="1290"/>
      <c r="GF76" s="1290"/>
      <c r="GG76" s="1290"/>
      <c r="GH76" s="1290"/>
      <c r="GI76" s="1290"/>
      <c r="GJ76" s="1290"/>
      <c r="GK76" s="1290"/>
      <c r="GL76" s="1290"/>
      <c r="GM76" s="1290"/>
      <c r="GN76" s="1290"/>
      <c r="GO76" s="1290"/>
      <c r="GP76" s="1290"/>
      <c r="GQ76" s="1290"/>
      <c r="GR76" s="1290"/>
      <c r="GS76" s="1290"/>
      <c r="GT76" s="1290"/>
      <c r="GU76" s="1290"/>
      <c r="GV76" s="1290"/>
      <c r="GW76" s="1290"/>
      <c r="GX76" s="1290"/>
      <c r="GY76" s="1290"/>
      <c r="GZ76" s="1290"/>
      <c r="HA76" s="1290"/>
      <c r="HB76" s="1290"/>
      <c r="HC76" s="1290"/>
      <c r="HD76" s="1290"/>
      <c r="HE76" s="1290"/>
      <c r="HF76" s="1290"/>
      <c r="HG76" s="1290"/>
      <c r="HH76" s="1290"/>
      <c r="HI76" s="1290"/>
      <c r="HJ76" s="1290"/>
      <c r="HK76" s="1290"/>
      <c r="HL76" s="1290"/>
      <c r="HM76" s="1290"/>
      <c r="HN76" s="1290"/>
      <c r="HO76" s="1290"/>
      <c r="HP76" s="1290"/>
      <c r="HQ76" s="1290"/>
      <c r="HR76" s="1290"/>
      <c r="HS76" s="1290"/>
      <c r="HT76" s="1290"/>
      <c r="HU76" s="1290"/>
      <c r="HV76" s="1290"/>
      <c r="HW76" s="1290"/>
      <c r="HX76" s="1290"/>
      <c r="HY76" s="1290"/>
      <c r="HZ76" s="1290"/>
      <c r="IA76" s="1290"/>
      <c r="IB76" s="1290"/>
      <c r="IC76" s="1290"/>
      <c r="ID76" s="1290"/>
      <c r="IE76" s="1290"/>
      <c r="IF76" s="1290"/>
      <c r="IG76" s="1290"/>
      <c r="IH76" s="1290"/>
      <c r="II76" s="1290"/>
      <c r="IJ76" s="1290"/>
      <c r="IK76" s="1290"/>
      <c r="IL76" s="1290"/>
      <c r="IM76" s="1290"/>
      <c r="IN76" s="1290"/>
      <c r="IO76" s="1290"/>
      <c r="IP76" s="1290"/>
      <c r="IQ76" s="1290"/>
      <c r="IR76" s="1290"/>
      <c r="IS76" s="1290"/>
      <c r="IT76" s="1290"/>
      <c r="IU76" s="1290"/>
      <c r="IV76" s="1290"/>
    </row>
    <row r="77" spans="1:256" ht="13.5">
      <c r="A77" s="1305" t="s">
        <v>851</v>
      </c>
      <c r="C77" s="1305"/>
      <c r="D77" s="1305"/>
    </row>
    <row r="78" spans="1:256">
      <c r="A78" s="1305" t="s">
        <v>830</v>
      </c>
      <c r="D78" s="1305"/>
      <c r="F78" s="1290"/>
    </row>
    <row r="79" spans="1:256">
      <c r="A79" s="1305" t="s">
        <v>831</v>
      </c>
    </row>
  </sheetData>
  <printOptions horizontalCentered="1"/>
  <pageMargins left="0.11811023622047245" right="0.11811023622047245" top="0.11811023622047245" bottom="0.11811023622047245" header="0" footer="0"/>
  <pageSetup paperSize="9" scale="9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8"/>
  <sheetViews>
    <sheetView zoomScaleNormal="100" workbookViewId="0">
      <selection activeCell="B7" sqref="B7"/>
    </sheetView>
  </sheetViews>
  <sheetFormatPr defaultRowHeight="12.75"/>
  <cols>
    <col min="1" max="2" width="15.7109375" style="1316" customWidth="1"/>
    <col min="3" max="3" width="14.5703125" style="1316" customWidth="1"/>
    <col min="4" max="4" width="21" style="1316" customWidth="1"/>
    <col min="5" max="5" width="21.85546875" style="1316" customWidth="1"/>
    <col min="6" max="6" width="8.5703125" style="1316" customWidth="1"/>
    <col min="7" max="7" width="12.140625" style="1316" customWidth="1"/>
    <col min="8" max="8" width="12.28515625" style="1316" bestFit="1" customWidth="1"/>
    <col min="9" max="9" width="9.7109375" style="1316" bestFit="1" customWidth="1"/>
    <col min="10" max="10" width="9.5703125" style="1316" bestFit="1" customWidth="1"/>
    <col min="11" max="12" width="9.140625" style="1316"/>
    <col min="13" max="13" width="9.5703125" style="1316" bestFit="1" customWidth="1"/>
    <col min="14" max="256" width="9.140625" style="1316"/>
    <col min="257" max="258" width="15.7109375" style="1316" customWidth="1"/>
    <col min="259" max="259" width="12.140625" style="1316" bestFit="1" customWidth="1"/>
    <col min="260" max="261" width="20" style="1316" bestFit="1" customWidth="1"/>
    <col min="262" max="262" width="8.5703125" style="1316" customWidth="1"/>
    <col min="263" max="263" width="12.140625" style="1316" customWidth="1"/>
    <col min="264" max="264" width="12.28515625" style="1316" bestFit="1" customWidth="1"/>
    <col min="265" max="265" width="9.7109375" style="1316" bestFit="1" customWidth="1"/>
    <col min="266" max="266" width="9.5703125" style="1316" bestFit="1" customWidth="1"/>
    <col min="267" max="268" width="9.140625" style="1316"/>
    <col min="269" max="269" width="9.5703125" style="1316" bestFit="1" customWidth="1"/>
    <col min="270" max="512" width="9.140625" style="1316"/>
    <col min="513" max="514" width="15.7109375" style="1316" customWidth="1"/>
    <col min="515" max="515" width="12.140625" style="1316" bestFit="1" customWidth="1"/>
    <col min="516" max="517" width="20" style="1316" bestFit="1" customWidth="1"/>
    <col min="518" max="518" width="8.5703125" style="1316" customWidth="1"/>
    <col min="519" max="519" width="12.140625" style="1316" customWidth="1"/>
    <col min="520" max="520" width="12.28515625" style="1316" bestFit="1" customWidth="1"/>
    <col min="521" max="521" width="9.7109375" style="1316" bestFit="1" customWidth="1"/>
    <col min="522" max="522" width="9.5703125" style="1316" bestFit="1" customWidth="1"/>
    <col min="523" max="524" width="9.140625" style="1316"/>
    <col min="525" max="525" width="9.5703125" style="1316" bestFit="1" customWidth="1"/>
    <col min="526" max="768" width="9.140625" style="1316"/>
    <col min="769" max="770" width="15.7109375" style="1316" customWidth="1"/>
    <col min="771" max="771" width="12.140625" style="1316" bestFit="1" customWidth="1"/>
    <col min="772" max="773" width="20" style="1316" bestFit="1" customWidth="1"/>
    <col min="774" max="774" width="8.5703125" style="1316" customWidth="1"/>
    <col min="775" max="775" width="12.140625" style="1316" customWidth="1"/>
    <col min="776" max="776" width="12.28515625" style="1316" bestFit="1" customWidth="1"/>
    <col min="777" max="777" width="9.7109375" style="1316" bestFit="1" customWidth="1"/>
    <col min="778" max="778" width="9.5703125" style="1316" bestFit="1" customWidth="1"/>
    <col min="779" max="780" width="9.140625" style="1316"/>
    <col min="781" max="781" width="9.5703125" style="1316" bestFit="1" customWidth="1"/>
    <col min="782" max="1024" width="9.140625" style="1316"/>
    <col min="1025" max="1026" width="15.7109375" style="1316" customWidth="1"/>
    <col min="1027" max="1027" width="12.140625" style="1316" bestFit="1" customWidth="1"/>
    <col min="1028" max="1029" width="20" style="1316" bestFit="1" customWidth="1"/>
    <col min="1030" max="1030" width="8.5703125" style="1316" customWidth="1"/>
    <col min="1031" max="1031" width="12.140625" style="1316" customWidth="1"/>
    <col min="1032" max="1032" width="12.28515625" style="1316" bestFit="1" customWidth="1"/>
    <col min="1033" max="1033" width="9.7109375" style="1316" bestFit="1" customWidth="1"/>
    <col min="1034" max="1034" width="9.5703125" style="1316" bestFit="1" customWidth="1"/>
    <col min="1035" max="1036" width="9.140625" style="1316"/>
    <col min="1037" max="1037" width="9.5703125" style="1316" bestFit="1" customWidth="1"/>
    <col min="1038" max="1280" width="9.140625" style="1316"/>
    <col min="1281" max="1282" width="15.7109375" style="1316" customWidth="1"/>
    <col min="1283" max="1283" width="12.140625" style="1316" bestFit="1" customWidth="1"/>
    <col min="1284" max="1285" width="20" style="1316" bestFit="1" customWidth="1"/>
    <col min="1286" max="1286" width="8.5703125" style="1316" customWidth="1"/>
    <col min="1287" max="1287" width="12.140625" style="1316" customWidth="1"/>
    <col min="1288" max="1288" width="12.28515625" style="1316" bestFit="1" customWidth="1"/>
    <col min="1289" max="1289" width="9.7109375" style="1316" bestFit="1" customWidth="1"/>
    <col min="1290" max="1290" width="9.5703125" style="1316" bestFit="1" customWidth="1"/>
    <col min="1291" max="1292" width="9.140625" style="1316"/>
    <col min="1293" max="1293" width="9.5703125" style="1316" bestFit="1" customWidth="1"/>
    <col min="1294" max="1536" width="9.140625" style="1316"/>
    <col min="1537" max="1538" width="15.7109375" style="1316" customWidth="1"/>
    <col min="1539" max="1539" width="12.140625" style="1316" bestFit="1" customWidth="1"/>
    <col min="1540" max="1541" width="20" style="1316" bestFit="1" customWidth="1"/>
    <col min="1542" max="1542" width="8.5703125" style="1316" customWidth="1"/>
    <col min="1543" max="1543" width="12.140625" style="1316" customWidth="1"/>
    <col min="1544" max="1544" width="12.28515625" style="1316" bestFit="1" customWidth="1"/>
    <col min="1545" max="1545" width="9.7109375" style="1316" bestFit="1" customWidth="1"/>
    <col min="1546" max="1546" width="9.5703125" style="1316" bestFit="1" customWidth="1"/>
    <col min="1547" max="1548" width="9.140625" style="1316"/>
    <col min="1549" max="1549" width="9.5703125" style="1316" bestFit="1" customWidth="1"/>
    <col min="1550" max="1792" width="9.140625" style="1316"/>
    <col min="1793" max="1794" width="15.7109375" style="1316" customWidth="1"/>
    <col min="1795" max="1795" width="12.140625" style="1316" bestFit="1" customWidth="1"/>
    <col min="1796" max="1797" width="20" style="1316" bestFit="1" customWidth="1"/>
    <col min="1798" max="1798" width="8.5703125" style="1316" customWidth="1"/>
    <col min="1799" max="1799" width="12.140625" style="1316" customWidth="1"/>
    <col min="1800" max="1800" width="12.28515625" style="1316" bestFit="1" customWidth="1"/>
    <col min="1801" max="1801" width="9.7109375" style="1316" bestFit="1" customWidth="1"/>
    <col min="1802" max="1802" width="9.5703125" style="1316" bestFit="1" customWidth="1"/>
    <col min="1803" max="1804" width="9.140625" style="1316"/>
    <col min="1805" max="1805" width="9.5703125" style="1316" bestFit="1" customWidth="1"/>
    <col min="1806" max="2048" width="9.140625" style="1316"/>
    <col min="2049" max="2050" width="15.7109375" style="1316" customWidth="1"/>
    <col min="2051" max="2051" width="12.140625" style="1316" bestFit="1" customWidth="1"/>
    <col min="2052" max="2053" width="20" style="1316" bestFit="1" customWidth="1"/>
    <col min="2054" max="2054" width="8.5703125" style="1316" customWidth="1"/>
    <col min="2055" max="2055" width="12.140625" style="1316" customWidth="1"/>
    <col min="2056" max="2056" width="12.28515625" style="1316" bestFit="1" customWidth="1"/>
    <col min="2057" max="2057" width="9.7109375" style="1316" bestFit="1" customWidth="1"/>
    <col min="2058" max="2058" width="9.5703125" style="1316" bestFit="1" customWidth="1"/>
    <col min="2059" max="2060" width="9.140625" style="1316"/>
    <col min="2061" max="2061" width="9.5703125" style="1316" bestFit="1" customWidth="1"/>
    <col min="2062" max="2304" width="9.140625" style="1316"/>
    <col min="2305" max="2306" width="15.7109375" style="1316" customWidth="1"/>
    <col min="2307" max="2307" width="12.140625" style="1316" bestFit="1" customWidth="1"/>
    <col min="2308" max="2309" width="20" style="1316" bestFit="1" customWidth="1"/>
    <col min="2310" max="2310" width="8.5703125" style="1316" customWidth="1"/>
    <col min="2311" max="2311" width="12.140625" style="1316" customWidth="1"/>
    <col min="2312" max="2312" width="12.28515625" style="1316" bestFit="1" customWidth="1"/>
    <col min="2313" max="2313" width="9.7109375" style="1316" bestFit="1" customWidth="1"/>
    <col min="2314" max="2314" width="9.5703125" style="1316" bestFit="1" customWidth="1"/>
    <col min="2315" max="2316" width="9.140625" style="1316"/>
    <col min="2317" max="2317" width="9.5703125" style="1316" bestFit="1" customWidth="1"/>
    <col min="2318" max="2560" width="9.140625" style="1316"/>
    <col min="2561" max="2562" width="15.7109375" style="1316" customWidth="1"/>
    <col min="2563" max="2563" width="12.140625" style="1316" bestFit="1" customWidth="1"/>
    <col min="2564" max="2565" width="20" style="1316" bestFit="1" customWidth="1"/>
    <col min="2566" max="2566" width="8.5703125" style="1316" customWidth="1"/>
    <col min="2567" max="2567" width="12.140625" style="1316" customWidth="1"/>
    <col min="2568" max="2568" width="12.28515625" style="1316" bestFit="1" customWidth="1"/>
    <col min="2569" max="2569" width="9.7109375" style="1316" bestFit="1" customWidth="1"/>
    <col min="2570" max="2570" width="9.5703125" style="1316" bestFit="1" customWidth="1"/>
    <col min="2571" max="2572" width="9.140625" style="1316"/>
    <col min="2573" max="2573" width="9.5703125" style="1316" bestFit="1" customWidth="1"/>
    <col min="2574" max="2816" width="9.140625" style="1316"/>
    <col min="2817" max="2818" width="15.7109375" style="1316" customWidth="1"/>
    <col min="2819" max="2819" width="12.140625" style="1316" bestFit="1" customWidth="1"/>
    <col min="2820" max="2821" width="20" style="1316" bestFit="1" customWidth="1"/>
    <col min="2822" max="2822" width="8.5703125" style="1316" customWidth="1"/>
    <col min="2823" max="2823" width="12.140625" style="1316" customWidth="1"/>
    <col min="2824" max="2824" width="12.28515625" style="1316" bestFit="1" customWidth="1"/>
    <col min="2825" max="2825" width="9.7109375" style="1316" bestFit="1" customWidth="1"/>
    <col min="2826" max="2826" width="9.5703125" style="1316" bestFit="1" customWidth="1"/>
    <col min="2827" max="2828" width="9.140625" style="1316"/>
    <col min="2829" max="2829" width="9.5703125" style="1316" bestFit="1" customWidth="1"/>
    <col min="2830" max="3072" width="9.140625" style="1316"/>
    <col min="3073" max="3074" width="15.7109375" style="1316" customWidth="1"/>
    <col min="3075" max="3075" width="12.140625" style="1316" bestFit="1" customWidth="1"/>
    <col min="3076" max="3077" width="20" style="1316" bestFit="1" customWidth="1"/>
    <col min="3078" max="3078" width="8.5703125" style="1316" customWidth="1"/>
    <col min="3079" max="3079" width="12.140625" style="1316" customWidth="1"/>
    <col min="3080" max="3080" width="12.28515625" style="1316" bestFit="1" customWidth="1"/>
    <col min="3081" max="3081" width="9.7109375" style="1316" bestFit="1" customWidth="1"/>
    <col min="3082" max="3082" width="9.5703125" style="1316" bestFit="1" customWidth="1"/>
    <col min="3083" max="3084" width="9.140625" style="1316"/>
    <col min="3085" max="3085" width="9.5703125" style="1316" bestFit="1" customWidth="1"/>
    <col min="3086" max="3328" width="9.140625" style="1316"/>
    <col min="3329" max="3330" width="15.7109375" style="1316" customWidth="1"/>
    <col min="3331" max="3331" width="12.140625" style="1316" bestFit="1" customWidth="1"/>
    <col min="3332" max="3333" width="20" style="1316" bestFit="1" customWidth="1"/>
    <col min="3334" max="3334" width="8.5703125" style="1316" customWidth="1"/>
    <col min="3335" max="3335" width="12.140625" style="1316" customWidth="1"/>
    <col min="3336" max="3336" width="12.28515625" style="1316" bestFit="1" customWidth="1"/>
    <col min="3337" max="3337" width="9.7109375" style="1316" bestFit="1" customWidth="1"/>
    <col min="3338" max="3338" width="9.5703125" style="1316" bestFit="1" customWidth="1"/>
    <col min="3339" max="3340" width="9.140625" style="1316"/>
    <col min="3341" max="3341" width="9.5703125" style="1316" bestFit="1" customWidth="1"/>
    <col min="3342" max="3584" width="9.140625" style="1316"/>
    <col min="3585" max="3586" width="15.7109375" style="1316" customWidth="1"/>
    <col min="3587" max="3587" width="12.140625" style="1316" bestFit="1" customWidth="1"/>
    <col min="3588" max="3589" width="20" style="1316" bestFit="1" customWidth="1"/>
    <col min="3590" max="3590" width="8.5703125" style="1316" customWidth="1"/>
    <col min="3591" max="3591" width="12.140625" style="1316" customWidth="1"/>
    <col min="3592" max="3592" width="12.28515625" style="1316" bestFit="1" customWidth="1"/>
    <col min="3593" max="3593" width="9.7109375" style="1316" bestFit="1" customWidth="1"/>
    <col min="3594" max="3594" width="9.5703125" style="1316" bestFit="1" customWidth="1"/>
    <col min="3595" max="3596" width="9.140625" style="1316"/>
    <col min="3597" max="3597" width="9.5703125" style="1316" bestFit="1" customWidth="1"/>
    <col min="3598" max="3840" width="9.140625" style="1316"/>
    <col min="3841" max="3842" width="15.7109375" style="1316" customWidth="1"/>
    <col min="3843" max="3843" width="12.140625" style="1316" bestFit="1" customWidth="1"/>
    <col min="3844" max="3845" width="20" style="1316" bestFit="1" customWidth="1"/>
    <col min="3846" max="3846" width="8.5703125" style="1316" customWidth="1"/>
    <col min="3847" max="3847" width="12.140625" style="1316" customWidth="1"/>
    <col min="3848" max="3848" width="12.28515625" style="1316" bestFit="1" customWidth="1"/>
    <col min="3849" max="3849" width="9.7109375" style="1316" bestFit="1" customWidth="1"/>
    <col min="3850" max="3850" width="9.5703125" style="1316" bestFit="1" customWidth="1"/>
    <col min="3851" max="3852" width="9.140625" style="1316"/>
    <col min="3853" max="3853" width="9.5703125" style="1316" bestFit="1" customWidth="1"/>
    <col min="3854" max="4096" width="9.140625" style="1316"/>
    <col min="4097" max="4098" width="15.7109375" style="1316" customWidth="1"/>
    <col min="4099" max="4099" width="12.140625" style="1316" bestFit="1" customWidth="1"/>
    <col min="4100" max="4101" width="20" style="1316" bestFit="1" customWidth="1"/>
    <col min="4102" max="4102" width="8.5703125" style="1316" customWidth="1"/>
    <col min="4103" max="4103" width="12.140625" style="1316" customWidth="1"/>
    <col min="4104" max="4104" width="12.28515625" style="1316" bestFit="1" customWidth="1"/>
    <col min="4105" max="4105" width="9.7109375" style="1316" bestFit="1" customWidth="1"/>
    <col min="4106" max="4106" width="9.5703125" style="1316" bestFit="1" customWidth="1"/>
    <col min="4107" max="4108" width="9.140625" style="1316"/>
    <col min="4109" max="4109" width="9.5703125" style="1316" bestFit="1" customWidth="1"/>
    <col min="4110" max="4352" width="9.140625" style="1316"/>
    <col min="4353" max="4354" width="15.7109375" style="1316" customWidth="1"/>
    <col min="4355" max="4355" width="12.140625" style="1316" bestFit="1" customWidth="1"/>
    <col min="4356" max="4357" width="20" style="1316" bestFit="1" customWidth="1"/>
    <col min="4358" max="4358" width="8.5703125" style="1316" customWidth="1"/>
    <col min="4359" max="4359" width="12.140625" style="1316" customWidth="1"/>
    <col min="4360" max="4360" width="12.28515625" style="1316" bestFit="1" customWidth="1"/>
    <col min="4361" max="4361" width="9.7109375" style="1316" bestFit="1" customWidth="1"/>
    <col min="4362" max="4362" width="9.5703125" style="1316" bestFit="1" customWidth="1"/>
    <col min="4363" max="4364" width="9.140625" style="1316"/>
    <col min="4365" max="4365" width="9.5703125" style="1316" bestFit="1" customWidth="1"/>
    <col min="4366" max="4608" width="9.140625" style="1316"/>
    <col min="4609" max="4610" width="15.7109375" style="1316" customWidth="1"/>
    <col min="4611" max="4611" width="12.140625" style="1316" bestFit="1" customWidth="1"/>
    <col min="4612" max="4613" width="20" style="1316" bestFit="1" customWidth="1"/>
    <col min="4614" max="4614" width="8.5703125" style="1316" customWidth="1"/>
    <col min="4615" max="4615" width="12.140625" style="1316" customWidth="1"/>
    <col min="4616" max="4616" width="12.28515625" style="1316" bestFit="1" customWidth="1"/>
    <col min="4617" max="4617" width="9.7109375" style="1316" bestFit="1" customWidth="1"/>
    <col min="4618" max="4618" width="9.5703125" style="1316" bestFit="1" customWidth="1"/>
    <col min="4619" max="4620" width="9.140625" style="1316"/>
    <col min="4621" max="4621" width="9.5703125" style="1316" bestFit="1" customWidth="1"/>
    <col min="4622" max="4864" width="9.140625" style="1316"/>
    <col min="4865" max="4866" width="15.7109375" style="1316" customWidth="1"/>
    <col min="4867" max="4867" width="12.140625" style="1316" bestFit="1" customWidth="1"/>
    <col min="4868" max="4869" width="20" style="1316" bestFit="1" customWidth="1"/>
    <col min="4870" max="4870" width="8.5703125" style="1316" customWidth="1"/>
    <col min="4871" max="4871" width="12.140625" style="1316" customWidth="1"/>
    <col min="4872" max="4872" width="12.28515625" style="1316" bestFit="1" customWidth="1"/>
    <col min="4873" max="4873" width="9.7109375" style="1316" bestFit="1" customWidth="1"/>
    <col min="4874" max="4874" width="9.5703125" style="1316" bestFit="1" customWidth="1"/>
    <col min="4875" max="4876" width="9.140625" style="1316"/>
    <col min="4877" max="4877" width="9.5703125" style="1316" bestFit="1" customWidth="1"/>
    <col min="4878" max="5120" width="9.140625" style="1316"/>
    <col min="5121" max="5122" width="15.7109375" style="1316" customWidth="1"/>
    <col min="5123" max="5123" width="12.140625" style="1316" bestFit="1" customWidth="1"/>
    <col min="5124" max="5125" width="20" style="1316" bestFit="1" customWidth="1"/>
    <col min="5126" max="5126" width="8.5703125" style="1316" customWidth="1"/>
    <col min="5127" max="5127" width="12.140625" style="1316" customWidth="1"/>
    <col min="5128" max="5128" width="12.28515625" style="1316" bestFit="1" customWidth="1"/>
    <col min="5129" max="5129" width="9.7109375" style="1316" bestFit="1" customWidth="1"/>
    <col min="5130" max="5130" width="9.5703125" style="1316" bestFit="1" customWidth="1"/>
    <col min="5131" max="5132" width="9.140625" style="1316"/>
    <col min="5133" max="5133" width="9.5703125" style="1316" bestFit="1" customWidth="1"/>
    <col min="5134" max="5376" width="9.140625" style="1316"/>
    <col min="5377" max="5378" width="15.7109375" style="1316" customWidth="1"/>
    <col min="5379" max="5379" width="12.140625" style="1316" bestFit="1" customWidth="1"/>
    <col min="5380" max="5381" width="20" style="1316" bestFit="1" customWidth="1"/>
    <col min="5382" max="5382" width="8.5703125" style="1316" customWidth="1"/>
    <col min="5383" max="5383" width="12.140625" style="1316" customWidth="1"/>
    <col min="5384" max="5384" width="12.28515625" style="1316" bestFit="1" customWidth="1"/>
    <col min="5385" max="5385" width="9.7109375" style="1316" bestFit="1" customWidth="1"/>
    <col min="5386" max="5386" width="9.5703125" style="1316" bestFit="1" customWidth="1"/>
    <col min="5387" max="5388" width="9.140625" style="1316"/>
    <col min="5389" max="5389" width="9.5703125" style="1316" bestFit="1" customWidth="1"/>
    <col min="5390" max="5632" width="9.140625" style="1316"/>
    <col min="5633" max="5634" width="15.7109375" style="1316" customWidth="1"/>
    <col min="5635" max="5635" width="12.140625" style="1316" bestFit="1" customWidth="1"/>
    <col min="5636" max="5637" width="20" style="1316" bestFit="1" customWidth="1"/>
    <col min="5638" max="5638" width="8.5703125" style="1316" customWidth="1"/>
    <col min="5639" max="5639" width="12.140625" style="1316" customWidth="1"/>
    <col min="5640" max="5640" width="12.28515625" style="1316" bestFit="1" customWidth="1"/>
    <col min="5641" max="5641" width="9.7109375" style="1316" bestFit="1" customWidth="1"/>
    <col min="5642" max="5642" width="9.5703125" style="1316" bestFit="1" customWidth="1"/>
    <col min="5643" max="5644" width="9.140625" style="1316"/>
    <col min="5645" max="5645" width="9.5703125" style="1316" bestFit="1" customWidth="1"/>
    <col min="5646" max="5888" width="9.140625" style="1316"/>
    <col min="5889" max="5890" width="15.7109375" style="1316" customWidth="1"/>
    <col min="5891" max="5891" width="12.140625" style="1316" bestFit="1" customWidth="1"/>
    <col min="5892" max="5893" width="20" style="1316" bestFit="1" customWidth="1"/>
    <col min="5894" max="5894" width="8.5703125" style="1316" customWidth="1"/>
    <col min="5895" max="5895" width="12.140625" style="1316" customWidth="1"/>
    <col min="5896" max="5896" width="12.28515625" style="1316" bestFit="1" customWidth="1"/>
    <col min="5897" max="5897" width="9.7109375" style="1316" bestFit="1" customWidth="1"/>
    <col min="5898" max="5898" width="9.5703125" style="1316" bestFit="1" customWidth="1"/>
    <col min="5899" max="5900" width="9.140625" style="1316"/>
    <col min="5901" max="5901" width="9.5703125" style="1316" bestFit="1" customWidth="1"/>
    <col min="5902" max="6144" width="9.140625" style="1316"/>
    <col min="6145" max="6146" width="15.7109375" style="1316" customWidth="1"/>
    <col min="6147" max="6147" width="12.140625" style="1316" bestFit="1" customWidth="1"/>
    <col min="6148" max="6149" width="20" style="1316" bestFit="1" customWidth="1"/>
    <col min="6150" max="6150" width="8.5703125" style="1316" customWidth="1"/>
    <col min="6151" max="6151" width="12.140625" style="1316" customWidth="1"/>
    <col min="6152" max="6152" width="12.28515625" style="1316" bestFit="1" customWidth="1"/>
    <col min="6153" max="6153" width="9.7109375" style="1316" bestFit="1" customWidth="1"/>
    <col min="6154" max="6154" width="9.5703125" style="1316" bestFit="1" customWidth="1"/>
    <col min="6155" max="6156" width="9.140625" style="1316"/>
    <col min="6157" max="6157" width="9.5703125" style="1316" bestFit="1" customWidth="1"/>
    <col min="6158" max="6400" width="9.140625" style="1316"/>
    <col min="6401" max="6402" width="15.7109375" style="1316" customWidth="1"/>
    <col min="6403" max="6403" width="12.140625" style="1316" bestFit="1" customWidth="1"/>
    <col min="6404" max="6405" width="20" style="1316" bestFit="1" customWidth="1"/>
    <col min="6406" max="6406" width="8.5703125" style="1316" customWidth="1"/>
    <col min="6407" max="6407" width="12.140625" style="1316" customWidth="1"/>
    <col min="6408" max="6408" width="12.28515625" style="1316" bestFit="1" customWidth="1"/>
    <col min="6409" max="6409" width="9.7109375" style="1316" bestFit="1" customWidth="1"/>
    <col min="6410" max="6410" width="9.5703125" style="1316" bestFit="1" customWidth="1"/>
    <col min="6411" max="6412" width="9.140625" style="1316"/>
    <col min="6413" max="6413" width="9.5703125" style="1316" bestFit="1" customWidth="1"/>
    <col min="6414" max="6656" width="9.140625" style="1316"/>
    <col min="6657" max="6658" width="15.7109375" style="1316" customWidth="1"/>
    <col min="6659" max="6659" width="12.140625" style="1316" bestFit="1" customWidth="1"/>
    <col min="6660" max="6661" width="20" style="1316" bestFit="1" customWidth="1"/>
    <col min="6662" max="6662" width="8.5703125" style="1316" customWidth="1"/>
    <col min="6663" max="6663" width="12.140625" style="1316" customWidth="1"/>
    <col min="6664" max="6664" width="12.28515625" style="1316" bestFit="1" customWidth="1"/>
    <col min="6665" max="6665" width="9.7109375" style="1316" bestFit="1" customWidth="1"/>
    <col min="6666" max="6666" width="9.5703125" style="1316" bestFit="1" customWidth="1"/>
    <col min="6667" max="6668" width="9.140625" style="1316"/>
    <col min="6669" max="6669" width="9.5703125" style="1316" bestFit="1" customWidth="1"/>
    <col min="6670" max="6912" width="9.140625" style="1316"/>
    <col min="6913" max="6914" width="15.7109375" style="1316" customWidth="1"/>
    <col min="6915" max="6915" width="12.140625" style="1316" bestFit="1" customWidth="1"/>
    <col min="6916" max="6917" width="20" style="1316" bestFit="1" customWidth="1"/>
    <col min="6918" max="6918" width="8.5703125" style="1316" customWidth="1"/>
    <col min="6919" max="6919" width="12.140625" style="1316" customWidth="1"/>
    <col min="6920" max="6920" width="12.28515625" style="1316" bestFit="1" customWidth="1"/>
    <col min="6921" max="6921" width="9.7109375" style="1316" bestFit="1" customWidth="1"/>
    <col min="6922" max="6922" width="9.5703125" style="1316" bestFit="1" customWidth="1"/>
    <col min="6923" max="6924" width="9.140625" style="1316"/>
    <col min="6925" max="6925" width="9.5703125" style="1316" bestFit="1" customWidth="1"/>
    <col min="6926" max="7168" width="9.140625" style="1316"/>
    <col min="7169" max="7170" width="15.7109375" style="1316" customWidth="1"/>
    <col min="7171" max="7171" width="12.140625" style="1316" bestFit="1" customWidth="1"/>
    <col min="7172" max="7173" width="20" style="1316" bestFit="1" customWidth="1"/>
    <col min="7174" max="7174" width="8.5703125" style="1316" customWidth="1"/>
    <col min="7175" max="7175" width="12.140625" style="1316" customWidth="1"/>
    <col min="7176" max="7176" width="12.28515625" style="1316" bestFit="1" customWidth="1"/>
    <col min="7177" max="7177" width="9.7109375" style="1316" bestFit="1" customWidth="1"/>
    <col min="7178" max="7178" width="9.5703125" style="1316" bestFit="1" customWidth="1"/>
    <col min="7179" max="7180" width="9.140625" style="1316"/>
    <col min="7181" max="7181" width="9.5703125" style="1316" bestFit="1" customWidth="1"/>
    <col min="7182" max="7424" width="9.140625" style="1316"/>
    <col min="7425" max="7426" width="15.7109375" style="1316" customWidth="1"/>
    <col min="7427" max="7427" width="12.140625" style="1316" bestFit="1" customWidth="1"/>
    <col min="7428" max="7429" width="20" style="1316" bestFit="1" customWidth="1"/>
    <col min="7430" max="7430" width="8.5703125" style="1316" customWidth="1"/>
    <col min="7431" max="7431" width="12.140625" style="1316" customWidth="1"/>
    <col min="7432" max="7432" width="12.28515625" style="1316" bestFit="1" customWidth="1"/>
    <col min="7433" max="7433" width="9.7109375" style="1316" bestFit="1" customWidth="1"/>
    <col min="7434" max="7434" width="9.5703125" style="1316" bestFit="1" customWidth="1"/>
    <col min="7435" max="7436" width="9.140625" style="1316"/>
    <col min="7437" max="7437" width="9.5703125" style="1316" bestFit="1" customWidth="1"/>
    <col min="7438" max="7680" width="9.140625" style="1316"/>
    <col min="7681" max="7682" width="15.7109375" style="1316" customWidth="1"/>
    <col min="7683" max="7683" width="12.140625" style="1316" bestFit="1" customWidth="1"/>
    <col min="7684" max="7685" width="20" style="1316" bestFit="1" customWidth="1"/>
    <col min="7686" max="7686" width="8.5703125" style="1316" customWidth="1"/>
    <col min="7687" max="7687" width="12.140625" style="1316" customWidth="1"/>
    <col min="7688" max="7688" width="12.28515625" style="1316" bestFit="1" customWidth="1"/>
    <col min="7689" max="7689" width="9.7109375" style="1316" bestFit="1" customWidth="1"/>
    <col min="7690" max="7690" width="9.5703125" style="1316" bestFit="1" customWidth="1"/>
    <col min="7691" max="7692" width="9.140625" style="1316"/>
    <col min="7693" max="7693" width="9.5703125" style="1316" bestFit="1" customWidth="1"/>
    <col min="7694" max="7936" width="9.140625" style="1316"/>
    <col min="7937" max="7938" width="15.7109375" style="1316" customWidth="1"/>
    <col min="7939" max="7939" width="12.140625" style="1316" bestFit="1" customWidth="1"/>
    <col min="7940" max="7941" width="20" style="1316" bestFit="1" customWidth="1"/>
    <col min="7942" max="7942" width="8.5703125" style="1316" customWidth="1"/>
    <col min="7943" max="7943" width="12.140625" style="1316" customWidth="1"/>
    <col min="7944" max="7944" width="12.28515625" style="1316" bestFit="1" customWidth="1"/>
    <col min="7945" max="7945" width="9.7109375" style="1316" bestFit="1" customWidth="1"/>
    <col min="7946" max="7946" width="9.5703125" style="1316" bestFit="1" customWidth="1"/>
    <col min="7947" max="7948" width="9.140625" style="1316"/>
    <col min="7949" max="7949" width="9.5703125" style="1316" bestFit="1" customWidth="1"/>
    <col min="7950" max="8192" width="9.140625" style="1316"/>
    <col min="8193" max="8194" width="15.7109375" style="1316" customWidth="1"/>
    <col min="8195" max="8195" width="12.140625" style="1316" bestFit="1" customWidth="1"/>
    <col min="8196" max="8197" width="20" style="1316" bestFit="1" customWidth="1"/>
    <col min="8198" max="8198" width="8.5703125" style="1316" customWidth="1"/>
    <col min="8199" max="8199" width="12.140625" style="1316" customWidth="1"/>
    <col min="8200" max="8200" width="12.28515625" style="1316" bestFit="1" customWidth="1"/>
    <col min="8201" max="8201" width="9.7109375" style="1316" bestFit="1" customWidth="1"/>
    <col min="8202" max="8202" width="9.5703125" style="1316" bestFit="1" customWidth="1"/>
    <col min="8203" max="8204" width="9.140625" style="1316"/>
    <col min="8205" max="8205" width="9.5703125" style="1316" bestFit="1" customWidth="1"/>
    <col min="8206" max="8448" width="9.140625" style="1316"/>
    <col min="8449" max="8450" width="15.7109375" style="1316" customWidth="1"/>
    <col min="8451" max="8451" width="12.140625" style="1316" bestFit="1" customWidth="1"/>
    <col min="8452" max="8453" width="20" style="1316" bestFit="1" customWidth="1"/>
    <col min="8454" max="8454" width="8.5703125" style="1316" customWidth="1"/>
    <col min="8455" max="8455" width="12.140625" style="1316" customWidth="1"/>
    <col min="8456" max="8456" width="12.28515625" style="1316" bestFit="1" customWidth="1"/>
    <col min="8457" max="8457" width="9.7109375" style="1316" bestFit="1" customWidth="1"/>
    <col min="8458" max="8458" width="9.5703125" style="1316" bestFit="1" customWidth="1"/>
    <col min="8459" max="8460" width="9.140625" style="1316"/>
    <col min="8461" max="8461" width="9.5703125" style="1316" bestFit="1" customWidth="1"/>
    <col min="8462" max="8704" width="9.140625" style="1316"/>
    <col min="8705" max="8706" width="15.7109375" style="1316" customWidth="1"/>
    <col min="8707" max="8707" width="12.140625" style="1316" bestFit="1" customWidth="1"/>
    <col min="8708" max="8709" width="20" style="1316" bestFit="1" customWidth="1"/>
    <col min="8710" max="8710" width="8.5703125" style="1316" customWidth="1"/>
    <col min="8711" max="8711" width="12.140625" style="1316" customWidth="1"/>
    <col min="8712" max="8712" width="12.28515625" style="1316" bestFit="1" customWidth="1"/>
    <col min="8713" max="8713" width="9.7109375" style="1316" bestFit="1" customWidth="1"/>
    <col min="8714" max="8714" width="9.5703125" style="1316" bestFit="1" customWidth="1"/>
    <col min="8715" max="8716" width="9.140625" style="1316"/>
    <col min="8717" max="8717" width="9.5703125" style="1316" bestFit="1" customWidth="1"/>
    <col min="8718" max="8960" width="9.140625" style="1316"/>
    <col min="8961" max="8962" width="15.7109375" style="1316" customWidth="1"/>
    <col min="8963" max="8963" width="12.140625" style="1316" bestFit="1" customWidth="1"/>
    <col min="8964" max="8965" width="20" style="1316" bestFit="1" customWidth="1"/>
    <col min="8966" max="8966" width="8.5703125" style="1316" customWidth="1"/>
    <col min="8967" max="8967" width="12.140625" style="1316" customWidth="1"/>
    <col min="8968" max="8968" width="12.28515625" style="1316" bestFit="1" customWidth="1"/>
    <col min="8969" max="8969" width="9.7109375" style="1316" bestFit="1" customWidth="1"/>
    <col min="8970" max="8970" width="9.5703125" style="1316" bestFit="1" customWidth="1"/>
    <col min="8971" max="8972" width="9.140625" style="1316"/>
    <col min="8973" max="8973" width="9.5703125" style="1316" bestFit="1" customWidth="1"/>
    <col min="8974" max="9216" width="9.140625" style="1316"/>
    <col min="9217" max="9218" width="15.7109375" style="1316" customWidth="1"/>
    <col min="9219" max="9219" width="12.140625" style="1316" bestFit="1" customWidth="1"/>
    <col min="9220" max="9221" width="20" style="1316" bestFit="1" customWidth="1"/>
    <col min="9222" max="9222" width="8.5703125" style="1316" customWidth="1"/>
    <col min="9223" max="9223" width="12.140625" style="1316" customWidth="1"/>
    <col min="9224" max="9224" width="12.28515625" style="1316" bestFit="1" customWidth="1"/>
    <col min="9225" max="9225" width="9.7109375" style="1316" bestFit="1" customWidth="1"/>
    <col min="9226" max="9226" width="9.5703125" style="1316" bestFit="1" customWidth="1"/>
    <col min="9227" max="9228" width="9.140625" style="1316"/>
    <col min="9229" max="9229" width="9.5703125" style="1316" bestFit="1" customWidth="1"/>
    <col min="9230" max="9472" width="9.140625" style="1316"/>
    <col min="9473" max="9474" width="15.7109375" style="1316" customWidth="1"/>
    <col min="9475" max="9475" width="12.140625" style="1316" bestFit="1" customWidth="1"/>
    <col min="9476" max="9477" width="20" style="1316" bestFit="1" customWidth="1"/>
    <col min="9478" max="9478" width="8.5703125" style="1316" customWidth="1"/>
    <col min="9479" max="9479" width="12.140625" style="1316" customWidth="1"/>
    <col min="9480" max="9480" width="12.28515625" style="1316" bestFit="1" customWidth="1"/>
    <col min="9481" max="9481" width="9.7109375" style="1316" bestFit="1" customWidth="1"/>
    <col min="9482" max="9482" width="9.5703125" style="1316" bestFit="1" customWidth="1"/>
    <col min="9483" max="9484" width="9.140625" style="1316"/>
    <col min="9485" max="9485" width="9.5703125" style="1316" bestFit="1" customWidth="1"/>
    <col min="9486" max="9728" width="9.140625" style="1316"/>
    <col min="9729" max="9730" width="15.7109375" style="1316" customWidth="1"/>
    <col min="9731" max="9731" width="12.140625" style="1316" bestFit="1" customWidth="1"/>
    <col min="9732" max="9733" width="20" style="1316" bestFit="1" customWidth="1"/>
    <col min="9734" max="9734" width="8.5703125" style="1316" customWidth="1"/>
    <col min="9735" max="9735" width="12.140625" style="1316" customWidth="1"/>
    <col min="9736" max="9736" width="12.28515625" style="1316" bestFit="1" customWidth="1"/>
    <col min="9737" max="9737" width="9.7109375" style="1316" bestFit="1" customWidth="1"/>
    <col min="9738" max="9738" width="9.5703125" style="1316" bestFit="1" customWidth="1"/>
    <col min="9739" max="9740" width="9.140625" style="1316"/>
    <col min="9741" max="9741" width="9.5703125" style="1316" bestFit="1" customWidth="1"/>
    <col min="9742" max="9984" width="9.140625" style="1316"/>
    <col min="9985" max="9986" width="15.7109375" style="1316" customWidth="1"/>
    <col min="9987" max="9987" width="12.140625" style="1316" bestFit="1" customWidth="1"/>
    <col min="9988" max="9989" width="20" style="1316" bestFit="1" customWidth="1"/>
    <col min="9990" max="9990" width="8.5703125" style="1316" customWidth="1"/>
    <col min="9991" max="9991" width="12.140625" style="1316" customWidth="1"/>
    <col min="9992" max="9992" width="12.28515625" style="1316" bestFit="1" customWidth="1"/>
    <col min="9993" max="9993" width="9.7109375" style="1316" bestFit="1" customWidth="1"/>
    <col min="9994" max="9994" width="9.5703125" style="1316" bestFit="1" customWidth="1"/>
    <col min="9995" max="9996" width="9.140625" style="1316"/>
    <col min="9997" max="9997" width="9.5703125" style="1316" bestFit="1" customWidth="1"/>
    <col min="9998" max="10240" width="9.140625" style="1316"/>
    <col min="10241" max="10242" width="15.7109375" style="1316" customWidth="1"/>
    <col min="10243" max="10243" width="12.140625" style="1316" bestFit="1" customWidth="1"/>
    <col min="10244" max="10245" width="20" style="1316" bestFit="1" customWidth="1"/>
    <col min="10246" max="10246" width="8.5703125" style="1316" customWidth="1"/>
    <col min="10247" max="10247" width="12.140625" style="1316" customWidth="1"/>
    <col min="10248" max="10248" width="12.28515625" style="1316" bestFit="1" customWidth="1"/>
    <col min="10249" max="10249" width="9.7109375" style="1316" bestFit="1" customWidth="1"/>
    <col min="10250" max="10250" width="9.5703125" style="1316" bestFit="1" customWidth="1"/>
    <col min="10251" max="10252" width="9.140625" style="1316"/>
    <col min="10253" max="10253" width="9.5703125" style="1316" bestFit="1" customWidth="1"/>
    <col min="10254" max="10496" width="9.140625" style="1316"/>
    <col min="10497" max="10498" width="15.7109375" style="1316" customWidth="1"/>
    <col min="10499" max="10499" width="12.140625" style="1316" bestFit="1" customWidth="1"/>
    <col min="10500" max="10501" width="20" style="1316" bestFit="1" customWidth="1"/>
    <col min="10502" max="10502" width="8.5703125" style="1316" customWidth="1"/>
    <col min="10503" max="10503" width="12.140625" style="1316" customWidth="1"/>
    <col min="10504" max="10504" width="12.28515625" style="1316" bestFit="1" customWidth="1"/>
    <col min="10505" max="10505" width="9.7109375" style="1316" bestFit="1" customWidth="1"/>
    <col min="10506" max="10506" width="9.5703125" style="1316" bestFit="1" customWidth="1"/>
    <col min="10507" max="10508" width="9.140625" style="1316"/>
    <col min="10509" max="10509" width="9.5703125" style="1316" bestFit="1" customWidth="1"/>
    <col min="10510" max="10752" width="9.140625" style="1316"/>
    <col min="10753" max="10754" width="15.7109375" style="1316" customWidth="1"/>
    <col min="10755" max="10755" width="12.140625" style="1316" bestFit="1" customWidth="1"/>
    <col min="10756" max="10757" width="20" style="1316" bestFit="1" customWidth="1"/>
    <col min="10758" max="10758" width="8.5703125" style="1316" customWidth="1"/>
    <col min="10759" max="10759" width="12.140625" style="1316" customWidth="1"/>
    <col min="10760" max="10760" width="12.28515625" style="1316" bestFit="1" customWidth="1"/>
    <col min="10761" max="10761" width="9.7109375" style="1316" bestFit="1" customWidth="1"/>
    <col min="10762" max="10762" width="9.5703125" style="1316" bestFit="1" customWidth="1"/>
    <col min="10763" max="10764" width="9.140625" style="1316"/>
    <col min="10765" max="10765" width="9.5703125" style="1316" bestFit="1" customWidth="1"/>
    <col min="10766" max="11008" width="9.140625" style="1316"/>
    <col min="11009" max="11010" width="15.7109375" style="1316" customWidth="1"/>
    <col min="11011" max="11011" width="12.140625" style="1316" bestFit="1" customWidth="1"/>
    <col min="11012" max="11013" width="20" style="1316" bestFit="1" customWidth="1"/>
    <col min="11014" max="11014" width="8.5703125" style="1316" customWidth="1"/>
    <col min="11015" max="11015" width="12.140625" style="1316" customWidth="1"/>
    <col min="11016" max="11016" width="12.28515625" style="1316" bestFit="1" customWidth="1"/>
    <col min="11017" max="11017" width="9.7109375" style="1316" bestFit="1" customWidth="1"/>
    <col min="11018" max="11018" width="9.5703125" style="1316" bestFit="1" customWidth="1"/>
    <col min="11019" max="11020" width="9.140625" style="1316"/>
    <col min="11021" max="11021" width="9.5703125" style="1316" bestFit="1" customWidth="1"/>
    <col min="11022" max="11264" width="9.140625" style="1316"/>
    <col min="11265" max="11266" width="15.7109375" style="1316" customWidth="1"/>
    <col min="11267" max="11267" width="12.140625" style="1316" bestFit="1" customWidth="1"/>
    <col min="11268" max="11269" width="20" style="1316" bestFit="1" customWidth="1"/>
    <col min="11270" max="11270" width="8.5703125" style="1316" customWidth="1"/>
    <col min="11271" max="11271" width="12.140625" style="1316" customWidth="1"/>
    <col min="11272" max="11272" width="12.28515625" style="1316" bestFit="1" customWidth="1"/>
    <col min="11273" max="11273" width="9.7109375" style="1316" bestFit="1" customWidth="1"/>
    <col min="11274" max="11274" width="9.5703125" style="1316" bestFit="1" customWidth="1"/>
    <col min="11275" max="11276" width="9.140625" style="1316"/>
    <col min="11277" max="11277" width="9.5703125" style="1316" bestFit="1" customWidth="1"/>
    <col min="11278" max="11520" width="9.140625" style="1316"/>
    <col min="11521" max="11522" width="15.7109375" style="1316" customWidth="1"/>
    <col min="11523" max="11523" width="12.140625" style="1316" bestFit="1" customWidth="1"/>
    <col min="11524" max="11525" width="20" style="1316" bestFit="1" customWidth="1"/>
    <col min="11526" max="11526" width="8.5703125" style="1316" customWidth="1"/>
    <col min="11527" max="11527" width="12.140625" style="1316" customWidth="1"/>
    <col min="11528" max="11528" width="12.28515625" style="1316" bestFit="1" customWidth="1"/>
    <col min="11529" max="11529" width="9.7109375" style="1316" bestFit="1" customWidth="1"/>
    <col min="11530" max="11530" width="9.5703125" style="1316" bestFit="1" customWidth="1"/>
    <col min="11531" max="11532" width="9.140625" style="1316"/>
    <col min="11533" max="11533" width="9.5703125" style="1316" bestFit="1" customWidth="1"/>
    <col min="11534" max="11776" width="9.140625" style="1316"/>
    <col min="11777" max="11778" width="15.7109375" style="1316" customWidth="1"/>
    <col min="11779" max="11779" width="12.140625" style="1316" bestFit="1" customWidth="1"/>
    <col min="11780" max="11781" width="20" style="1316" bestFit="1" customWidth="1"/>
    <col min="11782" max="11782" width="8.5703125" style="1316" customWidth="1"/>
    <col min="11783" max="11783" width="12.140625" style="1316" customWidth="1"/>
    <col min="11784" max="11784" width="12.28515625" style="1316" bestFit="1" customWidth="1"/>
    <col min="11785" max="11785" width="9.7109375" style="1316" bestFit="1" customWidth="1"/>
    <col min="11786" max="11786" width="9.5703125" style="1316" bestFit="1" customWidth="1"/>
    <col min="11787" max="11788" width="9.140625" style="1316"/>
    <col min="11789" max="11789" width="9.5703125" style="1316" bestFit="1" customWidth="1"/>
    <col min="11790" max="12032" width="9.140625" style="1316"/>
    <col min="12033" max="12034" width="15.7109375" style="1316" customWidth="1"/>
    <col min="12035" max="12035" width="12.140625" style="1316" bestFit="1" customWidth="1"/>
    <col min="12036" max="12037" width="20" style="1316" bestFit="1" customWidth="1"/>
    <col min="12038" max="12038" width="8.5703125" style="1316" customWidth="1"/>
    <col min="12039" max="12039" width="12.140625" style="1316" customWidth="1"/>
    <col min="12040" max="12040" width="12.28515625" style="1316" bestFit="1" customWidth="1"/>
    <col min="12041" max="12041" width="9.7109375" style="1316" bestFit="1" customWidth="1"/>
    <col min="12042" max="12042" width="9.5703125" style="1316" bestFit="1" customWidth="1"/>
    <col min="12043" max="12044" width="9.140625" style="1316"/>
    <col min="12045" max="12045" width="9.5703125" style="1316" bestFit="1" customWidth="1"/>
    <col min="12046" max="12288" width="9.140625" style="1316"/>
    <col min="12289" max="12290" width="15.7109375" style="1316" customWidth="1"/>
    <col min="12291" max="12291" width="12.140625" style="1316" bestFit="1" customWidth="1"/>
    <col min="12292" max="12293" width="20" style="1316" bestFit="1" customWidth="1"/>
    <col min="12294" max="12294" width="8.5703125" style="1316" customWidth="1"/>
    <col min="12295" max="12295" width="12.140625" style="1316" customWidth="1"/>
    <col min="12296" max="12296" width="12.28515625" style="1316" bestFit="1" customWidth="1"/>
    <col min="12297" max="12297" width="9.7109375" style="1316" bestFit="1" customWidth="1"/>
    <col min="12298" max="12298" width="9.5703125" style="1316" bestFit="1" customWidth="1"/>
    <col min="12299" max="12300" width="9.140625" style="1316"/>
    <col min="12301" max="12301" width="9.5703125" style="1316" bestFit="1" customWidth="1"/>
    <col min="12302" max="12544" width="9.140625" style="1316"/>
    <col min="12545" max="12546" width="15.7109375" style="1316" customWidth="1"/>
    <col min="12547" max="12547" width="12.140625" style="1316" bestFit="1" customWidth="1"/>
    <col min="12548" max="12549" width="20" style="1316" bestFit="1" customWidth="1"/>
    <col min="12550" max="12550" width="8.5703125" style="1316" customWidth="1"/>
    <col min="12551" max="12551" width="12.140625" style="1316" customWidth="1"/>
    <col min="12552" max="12552" width="12.28515625" style="1316" bestFit="1" customWidth="1"/>
    <col min="12553" max="12553" width="9.7109375" style="1316" bestFit="1" customWidth="1"/>
    <col min="12554" max="12554" width="9.5703125" style="1316" bestFit="1" customWidth="1"/>
    <col min="12555" max="12556" width="9.140625" style="1316"/>
    <col min="12557" max="12557" width="9.5703125" style="1316" bestFit="1" customWidth="1"/>
    <col min="12558" max="12800" width="9.140625" style="1316"/>
    <col min="12801" max="12802" width="15.7109375" style="1316" customWidth="1"/>
    <col min="12803" max="12803" width="12.140625" style="1316" bestFit="1" customWidth="1"/>
    <col min="12804" max="12805" width="20" style="1316" bestFit="1" customWidth="1"/>
    <col min="12806" max="12806" width="8.5703125" style="1316" customWidth="1"/>
    <col min="12807" max="12807" width="12.140625" style="1316" customWidth="1"/>
    <col min="12808" max="12808" width="12.28515625" style="1316" bestFit="1" customWidth="1"/>
    <col min="12809" max="12809" width="9.7109375" style="1316" bestFit="1" customWidth="1"/>
    <col min="12810" max="12810" width="9.5703125" style="1316" bestFit="1" customWidth="1"/>
    <col min="12811" max="12812" width="9.140625" style="1316"/>
    <col min="12813" max="12813" width="9.5703125" style="1316" bestFit="1" customWidth="1"/>
    <col min="12814" max="13056" width="9.140625" style="1316"/>
    <col min="13057" max="13058" width="15.7109375" style="1316" customWidth="1"/>
    <col min="13059" max="13059" width="12.140625" style="1316" bestFit="1" customWidth="1"/>
    <col min="13060" max="13061" width="20" style="1316" bestFit="1" customWidth="1"/>
    <col min="13062" max="13062" width="8.5703125" style="1316" customWidth="1"/>
    <col min="13063" max="13063" width="12.140625" style="1316" customWidth="1"/>
    <col min="13064" max="13064" width="12.28515625" style="1316" bestFit="1" customWidth="1"/>
    <col min="13065" max="13065" width="9.7109375" style="1316" bestFit="1" customWidth="1"/>
    <col min="13066" max="13066" width="9.5703125" style="1316" bestFit="1" customWidth="1"/>
    <col min="13067" max="13068" width="9.140625" style="1316"/>
    <col min="13069" max="13069" width="9.5703125" style="1316" bestFit="1" customWidth="1"/>
    <col min="13070" max="13312" width="9.140625" style="1316"/>
    <col min="13313" max="13314" width="15.7109375" style="1316" customWidth="1"/>
    <col min="13315" max="13315" width="12.140625" style="1316" bestFit="1" customWidth="1"/>
    <col min="13316" max="13317" width="20" style="1316" bestFit="1" customWidth="1"/>
    <col min="13318" max="13318" width="8.5703125" style="1316" customWidth="1"/>
    <col min="13319" max="13319" width="12.140625" style="1316" customWidth="1"/>
    <col min="13320" max="13320" width="12.28515625" style="1316" bestFit="1" customWidth="1"/>
    <col min="13321" max="13321" width="9.7109375" style="1316" bestFit="1" customWidth="1"/>
    <col min="13322" max="13322" width="9.5703125" style="1316" bestFit="1" customWidth="1"/>
    <col min="13323" max="13324" width="9.140625" style="1316"/>
    <col min="13325" max="13325" width="9.5703125" style="1316" bestFit="1" customWidth="1"/>
    <col min="13326" max="13568" width="9.140625" style="1316"/>
    <col min="13569" max="13570" width="15.7109375" style="1316" customWidth="1"/>
    <col min="13571" max="13571" width="12.140625" style="1316" bestFit="1" customWidth="1"/>
    <col min="13572" max="13573" width="20" style="1316" bestFit="1" customWidth="1"/>
    <col min="13574" max="13574" width="8.5703125" style="1316" customWidth="1"/>
    <col min="13575" max="13575" width="12.140625" style="1316" customWidth="1"/>
    <col min="13576" max="13576" width="12.28515625" style="1316" bestFit="1" customWidth="1"/>
    <col min="13577" max="13577" width="9.7109375" style="1316" bestFit="1" customWidth="1"/>
    <col min="13578" max="13578" width="9.5703125" style="1316" bestFit="1" customWidth="1"/>
    <col min="13579" max="13580" width="9.140625" style="1316"/>
    <col min="13581" max="13581" width="9.5703125" style="1316" bestFit="1" customWidth="1"/>
    <col min="13582" max="13824" width="9.140625" style="1316"/>
    <col min="13825" max="13826" width="15.7109375" style="1316" customWidth="1"/>
    <col min="13827" max="13827" width="12.140625" style="1316" bestFit="1" customWidth="1"/>
    <col min="13828" max="13829" width="20" style="1316" bestFit="1" customWidth="1"/>
    <col min="13830" max="13830" width="8.5703125" style="1316" customWidth="1"/>
    <col min="13831" max="13831" width="12.140625" style="1316" customWidth="1"/>
    <col min="13832" max="13832" width="12.28515625" style="1316" bestFit="1" customWidth="1"/>
    <col min="13833" max="13833" width="9.7109375" style="1316" bestFit="1" customWidth="1"/>
    <col min="13834" max="13834" width="9.5703125" style="1316" bestFit="1" customWidth="1"/>
    <col min="13835" max="13836" width="9.140625" style="1316"/>
    <col min="13837" max="13837" width="9.5703125" style="1316" bestFit="1" customWidth="1"/>
    <col min="13838" max="14080" width="9.140625" style="1316"/>
    <col min="14081" max="14082" width="15.7109375" style="1316" customWidth="1"/>
    <col min="14083" max="14083" width="12.140625" style="1316" bestFit="1" customWidth="1"/>
    <col min="14084" max="14085" width="20" style="1316" bestFit="1" customWidth="1"/>
    <col min="14086" max="14086" width="8.5703125" style="1316" customWidth="1"/>
    <col min="14087" max="14087" width="12.140625" style="1316" customWidth="1"/>
    <col min="14088" max="14088" width="12.28515625" style="1316" bestFit="1" customWidth="1"/>
    <col min="14089" max="14089" width="9.7109375" style="1316" bestFit="1" customWidth="1"/>
    <col min="14090" max="14090" width="9.5703125" style="1316" bestFit="1" customWidth="1"/>
    <col min="14091" max="14092" width="9.140625" style="1316"/>
    <col min="14093" max="14093" width="9.5703125" style="1316" bestFit="1" customWidth="1"/>
    <col min="14094" max="14336" width="9.140625" style="1316"/>
    <col min="14337" max="14338" width="15.7109375" style="1316" customWidth="1"/>
    <col min="14339" max="14339" width="12.140625" style="1316" bestFit="1" customWidth="1"/>
    <col min="14340" max="14341" width="20" style="1316" bestFit="1" customWidth="1"/>
    <col min="14342" max="14342" width="8.5703125" style="1316" customWidth="1"/>
    <col min="14343" max="14343" width="12.140625" style="1316" customWidth="1"/>
    <col min="14344" max="14344" width="12.28515625" style="1316" bestFit="1" customWidth="1"/>
    <col min="14345" max="14345" width="9.7109375" style="1316" bestFit="1" customWidth="1"/>
    <col min="14346" max="14346" width="9.5703125" style="1316" bestFit="1" customWidth="1"/>
    <col min="14347" max="14348" width="9.140625" style="1316"/>
    <col min="14349" max="14349" width="9.5703125" style="1316" bestFit="1" customWidth="1"/>
    <col min="14350" max="14592" width="9.140625" style="1316"/>
    <col min="14593" max="14594" width="15.7109375" style="1316" customWidth="1"/>
    <col min="14595" max="14595" width="12.140625" style="1316" bestFit="1" customWidth="1"/>
    <col min="14596" max="14597" width="20" style="1316" bestFit="1" customWidth="1"/>
    <col min="14598" max="14598" width="8.5703125" style="1316" customWidth="1"/>
    <col min="14599" max="14599" width="12.140625" style="1316" customWidth="1"/>
    <col min="14600" max="14600" width="12.28515625" style="1316" bestFit="1" customWidth="1"/>
    <col min="14601" max="14601" width="9.7109375" style="1316" bestFit="1" customWidth="1"/>
    <col min="14602" max="14602" width="9.5703125" style="1316" bestFit="1" customWidth="1"/>
    <col min="14603" max="14604" width="9.140625" style="1316"/>
    <col min="14605" max="14605" width="9.5703125" style="1316" bestFit="1" customWidth="1"/>
    <col min="14606" max="14848" width="9.140625" style="1316"/>
    <col min="14849" max="14850" width="15.7109375" style="1316" customWidth="1"/>
    <col min="14851" max="14851" width="12.140625" style="1316" bestFit="1" customWidth="1"/>
    <col min="14852" max="14853" width="20" style="1316" bestFit="1" customWidth="1"/>
    <col min="14854" max="14854" width="8.5703125" style="1316" customWidth="1"/>
    <col min="14855" max="14855" width="12.140625" style="1316" customWidth="1"/>
    <col min="14856" max="14856" width="12.28515625" style="1316" bestFit="1" customWidth="1"/>
    <col min="14857" max="14857" width="9.7109375" style="1316" bestFit="1" customWidth="1"/>
    <col min="14858" max="14858" width="9.5703125" style="1316" bestFit="1" customWidth="1"/>
    <col min="14859" max="14860" width="9.140625" style="1316"/>
    <col min="14861" max="14861" width="9.5703125" style="1316" bestFit="1" customWidth="1"/>
    <col min="14862" max="15104" width="9.140625" style="1316"/>
    <col min="15105" max="15106" width="15.7109375" style="1316" customWidth="1"/>
    <col min="15107" max="15107" width="12.140625" style="1316" bestFit="1" customWidth="1"/>
    <col min="15108" max="15109" width="20" style="1316" bestFit="1" customWidth="1"/>
    <col min="15110" max="15110" width="8.5703125" style="1316" customWidth="1"/>
    <col min="15111" max="15111" width="12.140625" style="1316" customWidth="1"/>
    <col min="15112" max="15112" width="12.28515625" style="1316" bestFit="1" customWidth="1"/>
    <col min="15113" max="15113" width="9.7109375" style="1316" bestFit="1" customWidth="1"/>
    <col min="15114" max="15114" width="9.5703125" style="1316" bestFit="1" customWidth="1"/>
    <col min="15115" max="15116" width="9.140625" style="1316"/>
    <col min="15117" max="15117" width="9.5703125" style="1316" bestFit="1" customWidth="1"/>
    <col min="15118" max="15360" width="9.140625" style="1316"/>
    <col min="15361" max="15362" width="15.7109375" style="1316" customWidth="1"/>
    <col min="15363" max="15363" width="12.140625" style="1316" bestFit="1" customWidth="1"/>
    <col min="15364" max="15365" width="20" style="1316" bestFit="1" customWidth="1"/>
    <col min="15366" max="15366" width="8.5703125" style="1316" customWidth="1"/>
    <col min="15367" max="15367" width="12.140625" style="1316" customWidth="1"/>
    <col min="15368" max="15368" width="12.28515625" style="1316" bestFit="1" customWidth="1"/>
    <col min="15369" max="15369" width="9.7109375" style="1316" bestFit="1" customWidth="1"/>
    <col min="15370" max="15370" width="9.5703125" style="1316" bestFit="1" customWidth="1"/>
    <col min="15371" max="15372" width="9.140625" style="1316"/>
    <col min="15373" max="15373" width="9.5703125" style="1316" bestFit="1" customWidth="1"/>
    <col min="15374" max="15616" width="9.140625" style="1316"/>
    <col min="15617" max="15618" width="15.7109375" style="1316" customWidth="1"/>
    <col min="15619" max="15619" width="12.140625" style="1316" bestFit="1" customWidth="1"/>
    <col min="15620" max="15621" width="20" style="1316" bestFit="1" customWidth="1"/>
    <col min="15622" max="15622" width="8.5703125" style="1316" customWidth="1"/>
    <col min="15623" max="15623" width="12.140625" style="1316" customWidth="1"/>
    <col min="15624" max="15624" width="12.28515625" style="1316" bestFit="1" customWidth="1"/>
    <col min="15625" max="15625" width="9.7109375" style="1316" bestFit="1" customWidth="1"/>
    <col min="15626" max="15626" width="9.5703125" style="1316" bestFit="1" customWidth="1"/>
    <col min="15627" max="15628" width="9.140625" style="1316"/>
    <col min="15629" max="15629" width="9.5703125" style="1316" bestFit="1" customWidth="1"/>
    <col min="15630" max="15872" width="9.140625" style="1316"/>
    <col min="15873" max="15874" width="15.7109375" style="1316" customWidth="1"/>
    <col min="15875" max="15875" width="12.140625" style="1316" bestFit="1" customWidth="1"/>
    <col min="15876" max="15877" width="20" style="1316" bestFit="1" customWidth="1"/>
    <col min="15878" max="15878" width="8.5703125" style="1316" customWidth="1"/>
    <col min="15879" max="15879" width="12.140625" style="1316" customWidth="1"/>
    <col min="15880" max="15880" width="12.28515625" style="1316" bestFit="1" customWidth="1"/>
    <col min="15881" max="15881" width="9.7109375" style="1316" bestFit="1" customWidth="1"/>
    <col min="15882" max="15882" width="9.5703125" style="1316" bestFit="1" customWidth="1"/>
    <col min="15883" max="15884" width="9.140625" style="1316"/>
    <col min="15885" max="15885" width="9.5703125" style="1316" bestFit="1" customWidth="1"/>
    <col min="15886" max="16128" width="9.140625" style="1316"/>
    <col min="16129" max="16130" width="15.7109375" style="1316" customWidth="1"/>
    <col min="16131" max="16131" width="12.140625" style="1316" bestFit="1" customWidth="1"/>
    <col min="16132" max="16133" width="20" style="1316" bestFit="1" customWidth="1"/>
    <col min="16134" max="16134" width="8.5703125" style="1316" customWidth="1"/>
    <col min="16135" max="16135" width="12.140625" style="1316" customWidth="1"/>
    <col min="16136" max="16136" width="12.28515625" style="1316" bestFit="1" customWidth="1"/>
    <col min="16137" max="16137" width="9.7109375" style="1316" bestFit="1" customWidth="1"/>
    <col min="16138" max="16138" width="9.5703125" style="1316" bestFit="1" customWidth="1"/>
    <col min="16139" max="16140" width="9.140625" style="1316"/>
    <col min="16141" max="16141" width="9.5703125" style="1316" bestFit="1" customWidth="1"/>
    <col min="16142" max="16384" width="9.140625" style="1316"/>
  </cols>
  <sheetData>
    <row r="1" spans="1:12" ht="15.75">
      <c r="A1" s="1314" t="s">
        <v>852</v>
      </c>
      <c r="B1" s="1315"/>
      <c r="C1" s="1315"/>
      <c r="D1" s="1315"/>
      <c r="E1" s="1315"/>
      <c r="G1" s="1317"/>
      <c r="H1" s="1318"/>
    </row>
    <row r="2" spans="1:12" ht="5.25" customHeight="1" thickBot="1">
      <c r="A2" s="1319"/>
      <c r="B2" s="1315"/>
      <c r="C2" s="1315"/>
      <c r="D2" s="1315"/>
      <c r="E2" s="1315"/>
      <c r="G2" s="1317"/>
      <c r="H2" s="1320"/>
    </row>
    <row r="3" spans="1:12" ht="20.25" customHeight="1">
      <c r="A3" s="1321" t="s">
        <v>853</v>
      </c>
      <c r="B3" s="1321" t="s">
        <v>854</v>
      </c>
      <c r="C3" s="1321" t="s">
        <v>855</v>
      </c>
      <c r="D3" s="1321" t="s">
        <v>856</v>
      </c>
      <c r="E3" s="1321" t="s">
        <v>782</v>
      </c>
      <c r="G3" s="1317"/>
      <c r="H3" s="1320"/>
    </row>
    <row r="4" spans="1:12" ht="21.75" customHeight="1" thickBot="1">
      <c r="A4" s="1322"/>
      <c r="B4" s="1322" t="s">
        <v>857</v>
      </c>
      <c r="C4" s="1322" t="s">
        <v>784</v>
      </c>
      <c r="D4" s="1323" t="s">
        <v>74</v>
      </c>
      <c r="E4" s="1323" t="s">
        <v>788</v>
      </c>
      <c r="G4" s="1317"/>
      <c r="H4" s="1320"/>
    </row>
    <row r="5" spans="1:12" ht="15.75">
      <c r="A5" s="1324">
        <v>1</v>
      </c>
      <c r="B5" s="1325" t="s">
        <v>858</v>
      </c>
      <c r="C5" s="1326" t="s">
        <v>661</v>
      </c>
      <c r="D5" s="1326" t="s">
        <v>661</v>
      </c>
      <c r="E5" s="1326" t="s">
        <v>661</v>
      </c>
      <c r="G5" s="1317"/>
      <c r="H5" s="1327"/>
    </row>
    <row r="6" spans="1:12" ht="15.75">
      <c r="A6" s="1324">
        <v>2</v>
      </c>
      <c r="B6" s="1325" t="s">
        <v>859</v>
      </c>
      <c r="C6" s="1326" t="s">
        <v>661</v>
      </c>
      <c r="D6" s="1326" t="s">
        <v>661</v>
      </c>
      <c r="E6" s="1326" t="s">
        <v>661</v>
      </c>
      <c r="G6" s="1317"/>
      <c r="H6" s="1328"/>
    </row>
    <row r="7" spans="1:12" ht="15.75">
      <c r="A7" s="1324">
        <v>3</v>
      </c>
      <c r="B7" s="1325" t="s">
        <v>860</v>
      </c>
      <c r="C7" s="1326" t="s">
        <v>661</v>
      </c>
      <c r="D7" s="1329" t="s">
        <v>661</v>
      </c>
      <c r="E7" s="1330" t="s">
        <v>661</v>
      </c>
      <c r="G7" s="1317"/>
      <c r="H7" s="1331"/>
    </row>
    <row r="8" spans="1:12" ht="15.75">
      <c r="A8" s="1324">
        <v>4</v>
      </c>
      <c r="B8" s="1325" t="s">
        <v>861</v>
      </c>
      <c r="C8" s="1326" t="s">
        <v>661</v>
      </c>
      <c r="D8" s="1329" t="s">
        <v>661</v>
      </c>
      <c r="E8" s="1330" t="s">
        <v>661</v>
      </c>
      <c r="G8" s="1317"/>
      <c r="H8" s="1331"/>
    </row>
    <row r="9" spans="1:12" ht="15.75">
      <c r="A9" s="1324">
        <v>5</v>
      </c>
      <c r="B9" s="1325" t="s">
        <v>862</v>
      </c>
      <c r="C9" s="1326">
        <v>15</v>
      </c>
      <c r="D9" s="1329">
        <v>552.20000000000005</v>
      </c>
      <c r="E9" s="1330" t="s">
        <v>863</v>
      </c>
      <c r="G9" s="1317"/>
      <c r="H9" s="1331"/>
      <c r="L9" s="1332"/>
    </row>
    <row r="10" spans="1:12" ht="15.75">
      <c r="A10" s="1324">
        <v>6</v>
      </c>
      <c r="B10" s="1325" t="s">
        <v>864</v>
      </c>
      <c r="C10" s="1326">
        <v>4</v>
      </c>
      <c r="D10" s="1329">
        <v>400</v>
      </c>
      <c r="E10" s="1333" t="s">
        <v>865</v>
      </c>
      <c r="G10" s="1317"/>
      <c r="H10" s="1331"/>
      <c r="L10" s="1332"/>
    </row>
    <row r="11" spans="1:12" ht="15.75">
      <c r="A11" s="1324">
        <v>7</v>
      </c>
      <c r="B11" s="1325" t="s">
        <v>866</v>
      </c>
      <c r="C11" s="1326">
        <v>7</v>
      </c>
      <c r="D11" s="1329">
        <v>580</v>
      </c>
      <c r="E11" s="1333" t="s">
        <v>867</v>
      </c>
      <c r="G11" s="1317"/>
      <c r="H11" s="1331"/>
      <c r="L11" s="1332"/>
    </row>
    <row r="12" spans="1:12" ht="15.75">
      <c r="A12" s="1324">
        <v>8</v>
      </c>
      <c r="B12" s="1325" t="s">
        <v>868</v>
      </c>
      <c r="C12" s="1326">
        <v>4</v>
      </c>
      <c r="D12" s="1329">
        <v>48</v>
      </c>
      <c r="E12" s="1333" t="s">
        <v>869</v>
      </c>
      <c r="G12" s="1317"/>
      <c r="H12" s="1331"/>
      <c r="L12" s="1332"/>
    </row>
    <row r="13" spans="1:12" ht="21" hidden="1" customHeight="1">
      <c r="A13" s="1324">
        <v>9</v>
      </c>
      <c r="B13" s="1324" t="s">
        <v>870</v>
      </c>
      <c r="C13" s="1326"/>
      <c r="D13" s="1329"/>
      <c r="E13" s="1333"/>
      <c r="G13" s="1317"/>
      <c r="H13" s="1331"/>
      <c r="L13" s="1332"/>
    </row>
    <row r="14" spans="1:12" ht="21" hidden="1" customHeight="1">
      <c r="A14" s="1324">
        <v>10</v>
      </c>
      <c r="B14" s="1324" t="s">
        <v>871</v>
      </c>
      <c r="C14" s="1326"/>
      <c r="D14" s="1329"/>
      <c r="E14" s="1333"/>
      <c r="G14" s="1317"/>
      <c r="H14" s="1331"/>
      <c r="L14" s="1332"/>
    </row>
    <row r="15" spans="1:12" ht="21" hidden="1" customHeight="1">
      <c r="A15" s="1324">
        <v>11</v>
      </c>
      <c r="B15" s="1324" t="s">
        <v>872</v>
      </c>
      <c r="C15" s="1326"/>
      <c r="D15" s="1329"/>
      <c r="E15" s="1333"/>
      <c r="G15" s="1317"/>
      <c r="H15" s="1331"/>
      <c r="L15" s="1332"/>
    </row>
    <row r="16" spans="1:12" ht="0.75" customHeight="1" thickBot="1">
      <c r="A16" s="1334"/>
      <c r="B16" s="1334"/>
      <c r="C16" s="1335"/>
      <c r="D16" s="1336"/>
      <c r="E16" s="1335" t="s">
        <v>873</v>
      </c>
      <c r="G16" s="1317"/>
      <c r="H16" s="1331"/>
      <c r="L16" s="1332"/>
    </row>
    <row r="17" spans="1:12" ht="24" customHeight="1" thickBot="1">
      <c r="A17" s="3336" t="s">
        <v>198</v>
      </c>
      <c r="B17" s="3336"/>
      <c r="C17" s="1337">
        <f>SUM(C5:C12)</f>
        <v>30</v>
      </c>
      <c r="D17" s="1338">
        <f>SUM(D5:D12)</f>
        <v>1580.2</v>
      </c>
      <c r="E17" s="1339" t="s">
        <v>874</v>
      </c>
      <c r="F17" s="1340"/>
      <c r="G17" s="1317"/>
      <c r="H17" s="1341"/>
      <c r="L17" s="1332"/>
    </row>
    <row r="18" spans="1:12" ht="15" customHeight="1">
      <c r="A18" s="1342" t="s">
        <v>655</v>
      </c>
      <c r="B18" s="1343"/>
      <c r="C18" s="1343"/>
      <c r="D18" s="1344"/>
      <c r="E18" s="1345"/>
      <c r="F18" s="1346"/>
      <c r="G18" s="1341"/>
      <c r="H18" s="1341"/>
    </row>
    <row r="19" spans="1:12" ht="18" customHeight="1">
      <c r="A19" s="1342"/>
      <c r="B19" s="1343"/>
      <c r="C19" s="1347"/>
      <c r="D19" s="1347"/>
      <c r="E19" s="1345"/>
      <c r="F19" s="1346"/>
      <c r="G19" s="1317"/>
      <c r="H19" s="1341"/>
      <c r="I19" s="1348"/>
    </row>
    <row r="20" spans="1:12" ht="18" hidden="1" customHeight="1">
      <c r="A20" s="1343"/>
      <c r="B20" s="1343"/>
      <c r="C20" s="1349"/>
      <c r="D20" s="1347"/>
      <c r="E20" s="1345"/>
      <c r="F20" s="1341"/>
      <c r="G20" s="1341"/>
      <c r="H20" s="1341"/>
      <c r="I20" s="1348"/>
    </row>
    <row r="21" spans="1:12" ht="18" hidden="1" customHeight="1">
      <c r="A21" s="1343"/>
      <c r="B21" s="1343"/>
      <c r="C21" s="1343"/>
      <c r="D21" s="1343"/>
      <c r="E21" s="1345"/>
      <c r="F21" s="1341"/>
      <c r="G21" s="1341"/>
      <c r="H21" s="1341"/>
      <c r="I21" s="1348"/>
    </row>
    <row r="22" spans="1:12" ht="15.75">
      <c r="A22" s="1314" t="s">
        <v>875</v>
      </c>
      <c r="B22" s="1315"/>
      <c r="C22" s="1315"/>
      <c r="D22" s="1315"/>
      <c r="E22" s="1315"/>
      <c r="G22" s="1317"/>
      <c r="H22" s="1318"/>
    </row>
    <row r="23" spans="1:12" ht="10.5" customHeight="1" thickBot="1">
      <c r="A23" s="1343"/>
      <c r="B23" s="1343"/>
      <c r="C23" s="1343"/>
      <c r="D23" s="1343"/>
      <c r="E23" s="1345"/>
      <c r="F23" s="1341"/>
      <c r="G23" s="1341"/>
      <c r="H23" s="1341"/>
      <c r="I23" s="1348"/>
    </row>
    <row r="24" spans="1:12" ht="18" customHeight="1">
      <c r="A24" s="1350" t="s">
        <v>212</v>
      </c>
      <c r="B24" s="1321" t="s">
        <v>855</v>
      </c>
      <c r="C24" s="1351" t="s">
        <v>856</v>
      </c>
      <c r="D24" s="1321" t="s">
        <v>782</v>
      </c>
      <c r="E24" s="1345"/>
      <c r="F24" s="1341"/>
      <c r="G24" s="1341"/>
      <c r="H24" s="1341"/>
      <c r="I24" s="1348"/>
    </row>
    <row r="25" spans="1:12" ht="18" customHeight="1" thickBot="1">
      <c r="A25" s="1352"/>
      <c r="B25" s="1322" t="s">
        <v>784</v>
      </c>
      <c r="C25" s="1353" t="s">
        <v>74</v>
      </c>
      <c r="D25" s="1323" t="s">
        <v>788</v>
      </c>
      <c r="E25" s="1345"/>
      <c r="F25" s="1341"/>
      <c r="G25" s="1341"/>
      <c r="H25" s="1341"/>
      <c r="I25" s="1348"/>
    </row>
    <row r="26" spans="1:12" ht="15.75">
      <c r="A26" s="1354">
        <v>41821</v>
      </c>
      <c r="B26" s="1355"/>
      <c r="C26" s="1356"/>
      <c r="D26" s="1357"/>
      <c r="E26" s="1345"/>
      <c r="F26" s="1341"/>
      <c r="G26" s="1341"/>
      <c r="H26" s="1341"/>
      <c r="I26" s="1348"/>
    </row>
    <row r="27" spans="1:12" ht="15.75">
      <c r="A27" s="1358" t="s">
        <v>646</v>
      </c>
      <c r="B27" s="1326">
        <v>17</v>
      </c>
      <c r="C27" s="1359">
        <v>702.2</v>
      </c>
      <c r="D27" s="1333" t="s">
        <v>876</v>
      </c>
      <c r="E27" s="1360"/>
      <c r="F27" s="1341"/>
      <c r="G27" s="1341"/>
      <c r="H27" s="1341"/>
      <c r="I27" s="1348"/>
    </row>
    <row r="28" spans="1:12" ht="15.75">
      <c r="A28" s="1358" t="s">
        <v>647</v>
      </c>
      <c r="B28" s="1326">
        <v>5</v>
      </c>
      <c r="C28" s="1359">
        <v>430</v>
      </c>
      <c r="D28" s="1333" t="s">
        <v>877</v>
      </c>
      <c r="E28" s="1345"/>
      <c r="F28" s="1341"/>
      <c r="G28" s="1341"/>
      <c r="H28" s="1341"/>
      <c r="I28" s="1348"/>
    </row>
    <row r="29" spans="1:12" ht="15.75">
      <c r="A29" s="1358" t="s">
        <v>648</v>
      </c>
      <c r="B29" s="1326">
        <v>5</v>
      </c>
      <c r="C29" s="1359">
        <v>324.5</v>
      </c>
      <c r="D29" s="1326" t="s">
        <v>878</v>
      </c>
      <c r="E29" s="1345"/>
      <c r="F29" s="1341"/>
      <c r="G29" s="1341"/>
      <c r="H29" s="1341"/>
      <c r="I29" s="1348"/>
    </row>
    <row r="30" spans="1:12" ht="15.75">
      <c r="A30" s="1358" t="s">
        <v>649</v>
      </c>
      <c r="B30" s="1361">
        <v>3</v>
      </c>
      <c r="C30" s="1359">
        <v>123.5</v>
      </c>
      <c r="D30" s="1326" t="s">
        <v>879</v>
      </c>
      <c r="E30" s="1345"/>
      <c r="F30" s="1341"/>
      <c r="G30" s="1341"/>
      <c r="H30" s="1341"/>
      <c r="I30" s="1348"/>
    </row>
    <row r="31" spans="1:12" ht="15.75">
      <c r="A31" s="1358" t="s">
        <v>880</v>
      </c>
      <c r="B31" s="1361" t="s">
        <v>661</v>
      </c>
      <c r="C31" s="1361" t="s">
        <v>661</v>
      </c>
      <c r="D31" s="1326" t="s">
        <v>661</v>
      </c>
      <c r="E31" s="1345"/>
      <c r="F31" s="1341"/>
      <c r="G31" s="1341"/>
      <c r="H31" s="1341"/>
      <c r="I31" s="1348"/>
    </row>
    <row r="32" spans="1:12" ht="15.75" hidden="1">
      <c r="A32" s="1362"/>
      <c r="B32" s="1361" t="s">
        <v>661</v>
      </c>
      <c r="C32" s="1361" t="s">
        <v>661</v>
      </c>
      <c r="D32" s="1326" t="s">
        <v>661</v>
      </c>
      <c r="E32" s="1345"/>
      <c r="F32" s="1341"/>
      <c r="G32" s="1341"/>
      <c r="H32" s="1341"/>
      <c r="I32" s="1348"/>
    </row>
    <row r="33" spans="1:9" ht="3.75" customHeight="1" thickBot="1">
      <c r="A33" s="1363"/>
      <c r="B33" s="1364" t="s">
        <v>661</v>
      </c>
      <c r="C33" s="1365"/>
      <c r="D33" s="1366"/>
      <c r="E33" s="1345"/>
      <c r="F33" s="1367"/>
      <c r="G33" s="1341"/>
      <c r="H33" s="1341"/>
      <c r="I33" s="1348"/>
    </row>
    <row r="34" spans="1:9" ht="24" hidden="1" customHeight="1">
      <c r="A34" s="1368">
        <v>37347</v>
      </c>
      <c r="B34" s="1326">
        <v>29</v>
      </c>
      <c r="C34" s="1359">
        <v>187.3</v>
      </c>
      <c r="D34" s="1369" t="s">
        <v>881</v>
      </c>
      <c r="E34" s="1345"/>
      <c r="F34" s="1341"/>
      <c r="G34" s="1341"/>
      <c r="H34" s="1341"/>
      <c r="I34" s="1348"/>
    </row>
    <row r="35" spans="1:9" ht="18" hidden="1" customHeight="1">
      <c r="A35" s="1368">
        <v>37377</v>
      </c>
      <c r="B35" s="1326">
        <v>25</v>
      </c>
      <c r="C35" s="1359">
        <v>73.3</v>
      </c>
      <c r="D35" s="1369" t="s">
        <v>882</v>
      </c>
      <c r="E35" s="1345"/>
      <c r="F35" s="1341"/>
      <c r="G35" s="1341"/>
      <c r="H35" s="1341"/>
      <c r="I35" s="1348"/>
    </row>
    <row r="36" spans="1:9" ht="18" hidden="1" customHeight="1">
      <c r="A36" s="1368">
        <v>37408</v>
      </c>
      <c r="B36" s="1326">
        <v>22</v>
      </c>
      <c r="C36" s="1359">
        <v>628.5</v>
      </c>
      <c r="D36" s="1369" t="s">
        <v>883</v>
      </c>
      <c r="E36" s="1345"/>
      <c r="F36" s="1341"/>
      <c r="G36" s="1341"/>
      <c r="H36" s="1341"/>
      <c r="I36" s="1348"/>
    </row>
    <row r="37" spans="1:9" ht="18" hidden="1" customHeight="1">
      <c r="A37" s="1368">
        <v>37438</v>
      </c>
      <c r="B37" s="1326">
        <v>35</v>
      </c>
      <c r="C37" s="1359">
        <v>137</v>
      </c>
      <c r="D37" s="1369" t="s">
        <v>884</v>
      </c>
      <c r="E37" s="1345"/>
      <c r="F37" s="1341"/>
      <c r="G37" s="1341"/>
      <c r="H37" s="1341"/>
      <c r="I37" s="1348"/>
    </row>
    <row r="38" spans="1:9" ht="18" hidden="1" customHeight="1">
      <c r="A38" s="1368">
        <v>37469</v>
      </c>
      <c r="B38" s="1326">
        <v>35</v>
      </c>
      <c r="C38" s="1359">
        <v>436.1</v>
      </c>
      <c r="D38" s="1369" t="s">
        <v>885</v>
      </c>
      <c r="E38" s="1345"/>
      <c r="F38" s="1341"/>
      <c r="G38" s="1341"/>
      <c r="H38" s="1341"/>
      <c r="I38" s="1348"/>
    </row>
    <row r="39" spans="1:9" ht="18" hidden="1" customHeight="1">
      <c r="A39" s="1368">
        <v>37500</v>
      </c>
      <c r="B39" s="1326">
        <v>13</v>
      </c>
      <c r="C39" s="1359">
        <v>201.7</v>
      </c>
      <c r="D39" s="1369" t="s">
        <v>886</v>
      </c>
      <c r="E39" s="1345"/>
      <c r="F39" s="1341"/>
      <c r="G39" s="1341"/>
      <c r="H39" s="1341"/>
      <c r="I39" s="1348"/>
    </row>
    <row r="40" spans="1:9" ht="18" hidden="1" customHeight="1">
      <c r="A40" s="1368">
        <v>37530</v>
      </c>
      <c r="B40" s="1326">
        <v>101</v>
      </c>
      <c r="C40" s="1359">
        <v>859.5</v>
      </c>
      <c r="D40" s="1369" t="s">
        <v>887</v>
      </c>
      <c r="E40" s="1345"/>
      <c r="F40" s="1341"/>
      <c r="G40" s="1341"/>
      <c r="H40" s="1341"/>
      <c r="I40" s="1348"/>
    </row>
    <row r="41" spans="1:9" ht="18" hidden="1" customHeight="1">
      <c r="A41" s="1368">
        <v>37561</v>
      </c>
      <c r="B41" s="1326">
        <v>116</v>
      </c>
      <c r="C41" s="1359">
        <v>716</v>
      </c>
      <c r="D41" s="1369" t="s">
        <v>888</v>
      </c>
      <c r="E41" s="1345"/>
      <c r="F41" s="1341"/>
      <c r="G41" s="1341"/>
      <c r="H41" s="1341"/>
      <c r="I41" s="1348"/>
    </row>
    <row r="42" spans="1:9" ht="18" hidden="1" customHeight="1">
      <c r="A42" s="1368">
        <v>37591</v>
      </c>
      <c r="B42" s="1326">
        <v>196</v>
      </c>
      <c r="C42" s="1359">
        <v>1139.9000000000001</v>
      </c>
      <c r="D42" s="1369" t="s">
        <v>889</v>
      </c>
      <c r="E42" s="1345"/>
      <c r="F42" s="1341"/>
      <c r="G42" s="1341"/>
      <c r="H42" s="1341"/>
      <c r="I42" s="1348"/>
    </row>
    <row r="43" spans="1:9" ht="18" hidden="1" customHeight="1">
      <c r="A43" s="1368">
        <v>37622</v>
      </c>
      <c r="B43" s="1326">
        <v>251</v>
      </c>
      <c r="C43" s="1359">
        <v>1278.4000000000001</v>
      </c>
      <c r="D43" s="1369" t="s">
        <v>890</v>
      </c>
      <c r="E43" s="1345"/>
      <c r="F43" s="1341"/>
      <c r="G43" s="1341"/>
      <c r="H43" s="1341"/>
      <c r="I43" s="1348"/>
    </row>
    <row r="44" spans="1:9" ht="18" hidden="1" customHeight="1">
      <c r="A44" s="1368">
        <v>37653</v>
      </c>
      <c r="B44" s="1326">
        <v>191</v>
      </c>
      <c r="C44" s="1359">
        <v>956.7</v>
      </c>
      <c r="D44" s="1369" t="s">
        <v>891</v>
      </c>
      <c r="E44" s="1345"/>
      <c r="F44" s="1341"/>
      <c r="G44" s="1341"/>
      <c r="H44" s="1341"/>
      <c r="I44" s="1348"/>
    </row>
    <row r="45" spans="1:9" ht="18" hidden="1" customHeight="1">
      <c r="A45" s="1368">
        <v>37681</v>
      </c>
      <c r="B45" s="1326">
        <v>235</v>
      </c>
      <c r="C45" s="1359">
        <v>2219.4</v>
      </c>
      <c r="D45" s="1369" t="s">
        <v>892</v>
      </c>
      <c r="E45" s="1345"/>
      <c r="F45" s="1341"/>
      <c r="G45" s="1341"/>
      <c r="H45" s="1341"/>
      <c r="I45" s="1348"/>
    </row>
    <row r="46" spans="1:9" ht="18" hidden="1" customHeight="1">
      <c r="A46" s="1368">
        <v>37712</v>
      </c>
      <c r="B46" s="1326">
        <v>223</v>
      </c>
      <c r="C46" s="1359">
        <v>1211.5999999999999</v>
      </c>
      <c r="D46" s="1369" t="s">
        <v>893</v>
      </c>
      <c r="E46" s="1345"/>
      <c r="F46" s="1341"/>
      <c r="G46" s="1341"/>
      <c r="H46" s="1341"/>
      <c r="I46" s="1348"/>
    </row>
    <row r="47" spans="1:9" ht="18" hidden="1" customHeight="1">
      <c r="A47" s="1368">
        <v>37742</v>
      </c>
      <c r="B47" s="1326">
        <v>234</v>
      </c>
      <c r="C47" s="1359">
        <v>906.8</v>
      </c>
      <c r="D47" s="1369" t="s">
        <v>894</v>
      </c>
      <c r="E47" s="1345"/>
      <c r="F47" s="1341"/>
      <c r="G47" s="1341"/>
      <c r="H47" s="1341"/>
      <c r="I47" s="1348"/>
    </row>
    <row r="48" spans="1:9" ht="18" hidden="1" customHeight="1">
      <c r="A48" s="1368">
        <v>37773</v>
      </c>
      <c r="B48" s="1326">
        <v>203</v>
      </c>
      <c r="C48" s="1359">
        <v>1531.7</v>
      </c>
      <c r="D48" s="1369" t="s">
        <v>895</v>
      </c>
      <c r="E48" s="1345"/>
      <c r="F48" s="1341"/>
      <c r="G48" s="1341"/>
      <c r="H48" s="1341"/>
      <c r="I48" s="1348"/>
    </row>
    <row r="49" spans="1:9" ht="18" hidden="1" customHeight="1">
      <c r="A49" s="1368">
        <v>37803</v>
      </c>
      <c r="B49" s="1326">
        <v>202</v>
      </c>
      <c r="C49" s="1359">
        <v>1136.3</v>
      </c>
      <c r="D49" s="1369" t="s">
        <v>896</v>
      </c>
      <c r="E49" s="1345"/>
      <c r="F49" s="1341"/>
      <c r="G49" s="1341"/>
      <c r="H49" s="1341"/>
      <c r="I49" s="1348"/>
    </row>
    <row r="50" spans="1:9" ht="18" hidden="1" customHeight="1">
      <c r="A50" s="1368">
        <v>37834</v>
      </c>
      <c r="B50" s="1326">
        <v>196</v>
      </c>
      <c r="C50" s="1359">
        <v>921.4</v>
      </c>
      <c r="D50" s="1369" t="s">
        <v>897</v>
      </c>
      <c r="E50" s="1345"/>
      <c r="F50" s="1341"/>
      <c r="G50" s="1341"/>
      <c r="H50" s="1341"/>
      <c r="I50" s="1348"/>
    </row>
    <row r="51" spans="1:9" ht="18" hidden="1" customHeight="1">
      <c r="A51" s="1368">
        <v>37865</v>
      </c>
      <c r="B51" s="1326">
        <v>184</v>
      </c>
      <c r="C51" s="1359">
        <v>1119.0999999999999</v>
      </c>
      <c r="D51" s="1369" t="s">
        <v>898</v>
      </c>
      <c r="E51" s="1345"/>
      <c r="F51" s="1341"/>
      <c r="G51" s="1341"/>
      <c r="H51" s="1341"/>
      <c r="I51" s="1348"/>
    </row>
    <row r="52" spans="1:9" ht="18" hidden="1" customHeight="1">
      <c r="A52" s="1368">
        <v>37895</v>
      </c>
      <c r="B52" s="1326">
        <v>246</v>
      </c>
      <c r="C52" s="1359">
        <v>1514.7</v>
      </c>
      <c r="D52" s="1369" t="s">
        <v>899</v>
      </c>
      <c r="E52" s="1345"/>
      <c r="F52" s="1341"/>
      <c r="G52" s="1341"/>
      <c r="H52" s="1341"/>
      <c r="I52" s="1348"/>
    </row>
    <row r="53" spans="1:9" ht="18" hidden="1" customHeight="1">
      <c r="A53" s="1368">
        <v>37926</v>
      </c>
      <c r="B53" s="1326">
        <v>183</v>
      </c>
      <c r="C53" s="1359">
        <v>833.9</v>
      </c>
      <c r="D53" s="1369" t="s">
        <v>900</v>
      </c>
      <c r="E53" s="1345"/>
      <c r="F53" s="1341"/>
      <c r="G53" s="1341"/>
      <c r="H53" s="1341"/>
      <c r="I53" s="1348"/>
    </row>
    <row r="54" spans="1:9" ht="18" hidden="1" customHeight="1">
      <c r="A54" s="1368">
        <v>37956</v>
      </c>
      <c r="B54" s="1326">
        <v>240</v>
      </c>
      <c r="C54" s="1359">
        <v>1636.4</v>
      </c>
      <c r="D54" s="1369" t="s">
        <v>901</v>
      </c>
      <c r="E54" s="1345"/>
      <c r="F54" s="1341"/>
      <c r="G54" s="1341"/>
      <c r="H54" s="1341"/>
      <c r="I54" s="1348"/>
    </row>
    <row r="55" spans="1:9" ht="18" hidden="1" customHeight="1">
      <c r="A55" s="1368">
        <v>37987</v>
      </c>
      <c r="B55" s="1326">
        <v>226</v>
      </c>
      <c r="C55" s="1359">
        <v>1834.9</v>
      </c>
      <c r="D55" s="1369" t="s">
        <v>902</v>
      </c>
      <c r="E55" s="1345"/>
      <c r="F55" s="1341"/>
      <c r="G55" s="1341"/>
      <c r="H55" s="1341"/>
      <c r="I55" s="1348"/>
    </row>
    <row r="56" spans="1:9" ht="18" hidden="1" customHeight="1">
      <c r="A56" s="1368">
        <v>38018</v>
      </c>
      <c r="B56" s="1326">
        <v>140</v>
      </c>
      <c r="C56" s="1359">
        <v>1196.0999999999999</v>
      </c>
      <c r="D56" s="1369" t="s">
        <v>903</v>
      </c>
      <c r="E56" s="1345"/>
      <c r="F56" s="1341"/>
      <c r="G56" s="1341"/>
      <c r="H56" s="1341"/>
      <c r="I56" s="1348"/>
    </row>
    <row r="57" spans="1:9" ht="18" hidden="1" customHeight="1">
      <c r="A57" s="1368">
        <v>38047</v>
      </c>
      <c r="B57" s="1326">
        <v>113</v>
      </c>
      <c r="C57" s="1359">
        <v>1247.7</v>
      </c>
      <c r="D57" s="1369" t="s">
        <v>904</v>
      </c>
      <c r="E57" s="1345"/>
      <c r="F57" s="1341"/>
      <c r="G57" s="1341"/>
      <c r="H57" s="1341"/>
      <c r="I57" s="1348"/>
    </row>
    <row r="58" spans="1:9" ht="18" hidden="1" customHeight="1">
      <c r="A58" s="1368">
        <v>38078</v>
      </c>
      <c r="B58" s="1326">
        <v>82</v>
      </c>
      <c r="C58" s="1359">
        <v>1185.5999999999999</v>
      </c>
      <c r="D58" s="1369" t="s">
        <v>905</v>
      </c>
      <c r="E58" s="1345"/>
      <c r="F58" s="1341"/>
      <c r="G58" s="1341"/>
      <c r="H58" s="1341"/>
      <c r="I58" s="1348"/>
    </row>
    <row r="59" spans="1:9" ht="18" hidden="1" customHeight="1">
      <c r="A59" s="1368">
        <v>38108</v>
      </c>
      <c r="B59" s="1326">
        <v>32</v>
      </c>
      <c r="C59" s="1359">
        <v>421.9</v>
      </c>
      <c r="D59" s="1369" t="s">
        <v>906</v>
      </c>
      <c r="E59" s="1345"/>
      <c r="F59" s="1341"/>
      <c r="G59" s="1341"/>
      <c r="H59" s="1341"/>
      <c r="I59" s="1348"/>
    </row>
    <row r="60" spans="1:9" ht="18" hidden="1" customHeight="1">
      <c r="A60" s="1368">
        <v>38139</v>
      </c>
      <c r="B60" s="1326">
        <v>95</v>
      </c>
      <c r="C60" s="1359">
        <v>1510.9</v>
      </c>
      <c r="D60" s="1369" t="s">
        <v>907</v>
      </c>
      <c r="E60" s="1345"/>
      <c r="F60" s="1341"/>
      <c r="G60" s="1341"/>
      <c r="H60" s="1341"/>
      <c r="I60" s="1348"/>
    </row>
    <row r="61" spans="1:9" ht="18" hidden="1" customHeight="1">
      <c r="A61" s="1368">
        <v>38169</v>
      </c>
      <c r="B61" s="1326">
        <v>87</v>
      </c>
      <c r="C61" s="1359">
        <v>687</v>
      </c>
      <c r="D61" s="1369" t="s">
        <v>908</v>
      </c>
      <c r="E61" s="1345"/>
      <c r="F61" s="1341"/>
      <c r="G61" s="1341"/>
      <c r="H61" s="1341"/>
      <c r="I61" s="1348"/>
    </row>
    <row r="62" spans="1:9" ht="18" hidden="1" customHeight="1">
      <c r="A62" s="1368">
        <v>38200</v>
      </c>
      <c r="B62" s="1326">
        <v>120</v>
      </c>
      <c r="C62" s="1359">
        <v>692.9</v>
      </c>
      <c r="D62" s="1369" t="s">
        <v>909</v>
      </c>
      <c r="E62" s="1345"/>
      <c r="F62" s="1341"/>
      <c r="G62" s="1341"/>
      <c r="H62" s="1341"/>
      <c r="I62" s="1348"/>
    </row>
    <row r="63" spans="1:9" ht="18" hidden="1" customHeight="1">
      <c r="A63" s="1368">
        <v>38231</v>
      </c>
      <c r="B63" s="1326">
        <v>124</v>
      </c>
      <c r="C63" s="1359">
        <v>906</v>
      </c>
      <c r="D63" s="1369" t="s">
        <v>910</v>
      </c>
      <c r="E63" s="1345"/>
      <c r="F63" s="1341"/>
      <c r="G63" s="1341"/>
      <c r="H63" s="1341"/>
      <c r="I63" s="1348"/>
    </row>
    <row r="64" spans="1:9" ht="18" hidden="1" customHeight="1">
      <c r="A64" s="1368">
        <v>38261</v>
      </c>
      <c r="B64" s="1326">
        <v>78</v>
      </c>
      <c r="C64" s="1359">
        <v>574.5</v>
      </c>
      <c r="D64" s="1369" t="s">
        <v>911</v>
      </c>
      <c r="E64" s="1345"/>
      <c r="F64" s="1341"/>
      <c r="G64" s="1341"/>
      <c r="H64" s="1341"/>
      <c r="I64" s="1348"/>
    </row>
    <row r="65" spans="1:9" ht="18" hidden="1" customHeight="1">
      <c r="A65" s="1368">
        <v>38292</v>
      </c>
      <c r="B65" s="1326">
        <v>65</v>
      </c>
      <c r="C65" s="1359">
        <v>273.3</v>
      </c>
      <c r="D65" s="1369" t="s">
        <v>912</v>
      </c>
      <c r="E65" s="1345"/>
      <c r="F65" s="1341"/>
      <c r="G65" s="1341"/>
      <c r="H65" s="1341"/>
      <c r="I65" s="1348"/>
    </row>
    <row r="66" spans="1:9" ht="18" hidden="1" customHeight="1">
      <c r="A66" s="1368">
        <v>38322</v>
      </c>
      <c r="B66" s="1326">
        <v>87</v>
      </c>
      <c r="C66" s="1359">
        <v>968.8</v>
      </c>
      <c r="D66" s="1369" t="s">
        <v>913</v>
      </c>
      <c r="E66" s="1345"/>
      <c r="F66" s="1341"/>
      <c r="G66" s="1341"/>
      <c r="H66" s="1341"/>
      <c r="I66" s="1348"/>
    </row>
    <row r="67" spans="1:9" ht="18" hidden="1" customHeight="1">
      <c r="A67" s="1368">
        <v>38353</v>
      </c>
      <c r="B67" s="1326">
        <v>108</v>
      </c>
      <c r="C67" s="1359">
        <v>636.9</v>
      </c>
      <c r="D67" s="1369" t="s">
        <v>914</v>
      </c>
      <c r="E67" s="1345"/>
      <c r="F67" s="1341"/>
      <c r="G67" s="1341"/>
      <c r="H67" s="1341"/>
      <c r="I67" s="1348"/>
    </row>
    <row r="68" spans="1:9" ht="18" hidden="1" customHeight="1">
      <c r="A68" s="1368">
        <v>38384</v>
      </c>
      <c r="B68" s="1326">
        <v>75</v>
      </c>
      <c r="C68" s="1359">
        <v>309.5</v>
      </c>
      <c r="D68" s="1369" t="s">
        <v>915</v>
      </c>
      <c r="E68" s="1345"/>
      <c r="F68" s="1341"/>
      <c r="G68" s="1341"/>
      <c r="H68" s="1341"/>
      <c r="I68" s="1348"/>
    </row>
    <row r="69" spans="1:9" ht="18" hidden="1" customHeight="1">
      <c r="A69" s="1368">
        <v>38412</v>
      </c>
      <c r="B69" s="1326">
        <v>104</v>
      </c>
      <c r="C69" s="1359">
        <v>1111.2</v>
      </c>
      <c r="D69" s="1369" t="s">
        <v>916</v>
      </c>
      <c r="E69" s="1345"/>
      <c r="F69" s="1341"/>
      <c r="G69" s="1341"/>
      <c r="H69" s="1341"/>
      <c r="I69" s="1348"/>
    </row>
    <row r="70" spans="1:9" ht="18" hidden="1" customHeight="1">
      <c r="A70" s="1368">
        <v>38443</v>
      </c>
      <c r="B70" s="1326">
        <v>139</v>
      </c>
      <c r="C70" s="1359">
        <v>1118.2</v>
      </c>
      <c r="D70" s="1369" t="s">
        <v>917</v>
      </c>
      <c r="E70" s="1345"/>
      <c r="F70" s="1341"/>
      <c r="G70" s="1341"/>
      <c r="H70" s="1341"/>
      <c r="I70" s="1348"/>
    </row>
    <row r="71" spans="1:9" ht="18" hidden="1" customHeight="1">
      <c r="A71" s="1368">
        <v>38473</v>
      </c>
      <c r="B71" s="1326">
        <v>93</v>
      </c>
      <c r="C71" s="1359">
        <v>595.6</v>
      </c>
      <c r="D71" s="1369" t="s">
        <v>918</v>
      </c>
      <c r="E71" s="1345"/>
      <c r="F71" s="1341"/>
      <c r="G71" s="1341"/>
      <c r="H71" s="1341"/>
      <c r="I71" s="1348"/>
    </row>
    <row r="72" spans="1:9" ht="18" hidden="1" customHeight="1">
      <c r="A72" s="1368">
        <v>38504</v>
      </c>
      <c r="B72" s="1326">
        <v>90</v>
      </c>
      <c r="C72" s="1359">
        <v>939.6</v>
      </c>
      <c r="D72" s="1369" t="s">
        <v>919</v>
      </c>
      <c r="E72" s="1345"/>
      <c r="F72" s="1341"/>
      <c r="G72" s="1341"/>
      <c r="H72" s="1341"/>
      <c r="I72" s="1348"/>
    </row>
    <row r="73" spans="1:9" ht="18" hidden="1" customHeight="1">
      <c r="A73" s="1368">
        <v>38534</v>
      </c>
      <c r="B73" s="1326">
        <v>59</v>
      </c>
      <c r="C73" s="1359">
        <v>360</v>
      </c>
      <c r="D73" s="1369" t="s">
        <v>920</v>
      </c>
      <c r="E73" s="1345"/>
      <c r="F73" s="1341"/>
      <c r="G73" s="1341"/>
      <c r="H73" s="1341"/>
      <c r="I73" s="1348"/>
    </row>
    <row r="74" spans="1:9" ht="18" hidden="1" customHeight="1">
      <c r="A74" s="1368">
        <v>38565</v>
      </c>
      <c r="B74" s="1326">
        <v>80</v>
      </c>
      <c r="C74" s="1359">
        <v>682.7</v>
      </c>
      <c r="D74" s="1369" t="s">
        <v>921</v>
      </c>
      <c r="E74" s="1345"/>
      <c r="F74" s="1341"/>
      <c r="G74" s="1341"/>
      <c r="H74" s="1341"/>
      <c r="I74" s="1348"/>
    </row>
    <row r="75" spans="1:9" ht="18" hidden="1" customHeight="1">
      <c r="A75" s="1368">
        <v>38626</v>
      </c>
      <c r="B75" s="1326">
        <v>73</v>
      </c>
      <c r="C75" s="1359">
        <v>354.3</v>
      </c>
      <c r="D75" s="1369" t="s">
        <v>922</v>
      </c>
      <c r="E75" s="1345"/>
      <c r="F75" s="1341"/>
      <c r="G75" s="1341"/>
      <c r="H75" s="1341"/>
      <c r="I75" s="1348"/>
    </row>
    <row r="76" spans="1:9" ht="18" hidden="1" customHeight="1">
      <c r="A76" s="1368">
        <v>38657</v>
      </c>
      <c r="B76" s="1326">
        <v>57</v>
      </c>
      <c r="C76" s="1359">
        <v>444.8</v>
      </c>
      <c r="D76" s="1369" t="s">
        <v>923</v>
      </c>
      <c r="E76" s="1345"/>
      <c r="F76" s="1341"/>
      <c r="G76" s="1341"/>
      <c r="H76" s="1341"/>
      <c r="I76" s="1348"/>
    </row>
    <row r="77" spans="1:9" ht="18" hidden="1" customHeight="1">
      <c r="A77" s="1368">
        <v>38687</v>
      </c>
      <c r="B77" s="1326">
        <v>97</v>
      </c>
      <c r="C77" s="1359">
        <v>1001.7</v>
      </c>
      <c r="D77" s="1369" t="s">
        <v>924</v>
      </c>
      <c r="E77" s="1345"/>
      <c r="F77" s="1341"/>
      <c r="G77" s="1341"/>
      <c r="H77" s="1341"/>
      <c r="I77" s="1348"/>
    </row>
    <row r="78" spans="1:9" ht="18" hidden="1" customHeight="1">
      <c r="A78" s="1368">
        <v>38718</v>
      </c>
      <c r="B78" s="1326">
        <v>115</v>
      </c>
      <c r="C78" s="1359">
        <v>1182.5</v>
      </c>
      <c r="D78" s="1369" t="s">
        <v>925</v>
      </c>
      <c r="E78" s="1345"/>
      <c r="F78" s="1341"/>
      <c r="G78" s="1341"/>
      <c r="H78" s="1341"/>
      <c r="I78" s="1348"/>
    </row>
    <row r="79" spans="1:9" ht="18" hidden="1" customHeight="1">
      <c r="A79" s="1368">
        <v>38749</v>
      </c>
      <c r="B79" s="1326">
        <v>84</v>
      </c>
      <c r="C79" s="1359">
        <v>658.4</v>
      </c>
      <c r="D79" s="1369" t="s">
        <v>926</v>
      </c>
      <c r="E79" s="1345"/>
      <c r="F79" s="1341"/>
      <c r="G79" s="1341"/>
      <c r="H79" s="1341"/>
      <c r="I79" s="1348"/>
    </row>
    <row r="80" spans="1:9" ht="16.5" hidden="1" thickTop="1">
      <c r="A80" s="1368">
        <v>38777</v>
      </c>
      <c r="B80" s="1326">
        <v>98</v>
      </c>
      <c r="C80" s="1359">
        <v>724.6</v>
      </c>
      <c r="D80" s="1369" t="s">
        <v>927</v>
      </c>
      <c r="E80" s="1345"/>
      <c r="F80" s="1341"/>
      <c r="G80" s="1341"/>
      <c r="H80" s="1341"/>
      <c r="I80" s="1348"/>
    </row>
    <row r="81" spans="1:9" ht="16.5" hidden="1" thickTop="1">
      <c r="A81" s="1368">
        <v>38808</v>
      </c>
      <c r="B81" s="1326">
        <v>70</v>
      </c>
      <c r="C81" s="1359">
        <v>417.4</v>
      </c>
      <c r="D81" s="1369" t="s">
        <v>928</v>
      </c>
      <c r="E81" s="1345"/>
      <c r="F81" s="1341"/>
      <c r="G81" s="1341"/>
      <c r="H81" s="1341"/>
      <c r="I81" s="1348"/>
    </row>
    <row r="82" spans="1:9" ht="16.5" hidden="1" thickTop="1">
      <c r="A82" s="1368">
        <v>38838</v>
      </c>
      <c r="B82" s="1326">
        <v>53</v>
      </c>
      <c r="C82" s="1359">
        <v>558.20000000000005</v>
      </c>
      <c r="D82" s="1369" t="s">
        <v>929</v>
      </c>
      <c r="E82" s="1345"/>
      <c r="F82" s="1341"/>
      <c r="G82" s="1341"/>
      <c r="H82" s="1341"/>
      <c r="I82" s="1348"/>
    </row>
    <row r="83" spans="1:9" ht="16.5" hidden="1" thickTop="1">
      <c r="A83" s="1368">
        <v>38869</v>
      </c>
      <c r="B83" s="1326">
        <v>45</v>
      </c>
      <c r="C83" s="1359">
        <v>510.8</v>
      </c>
      <c r="D83" s="1369" t="s">
        <v>930</v>
      </c>
      <c r="E83" s="1345"/>
      <c r="F83" s="1341"/>
      <c r="G83" s="1341"/>
      <c r="H83" s="1341"/>
      <c r="I83" s="1348"/>
    </row>
    <row r="84" spans="1:9" ht="16.5" hidden="1" thickTop="1">
      <c r="A84" s="1368">
        <v>38899</v>
      </c>
      <c r="B84" s="1326">
        <v>47</v>
      </c>
      <c r="C84" s="1359">
        <v>575.79999999999995</v>
      </c>
      <c r="D84" s="1369" t="s">
        <v>931</v>
      </c>
      <c r="E84" s="1345"/>
      <c r="F84" s="1341"/>
      <c r="G84" s="1341"/>
      <c r="H84" s="1341"/>
      <c r="I84" s="1348"/>
    </row>
    <row r="85" spans="1:9" ht="16.5" hidden="1" thickTop="1">
      <c r="A85" s="1368">
        <v>38930</v>
      </c>
      <c r="B85" s="1326">
        <v>26</v>
      </c>
      <c r="C85" s="1359">
        <v>228.7</v>
      </c>
      <c r="D85" s="1369" t="s">
        <v>932</v>
      </c>
      <c r="E85" s="1345"/>
      <c r="F85" s="1341"/>
      <c r="G85" s="1341"/>
      <c r="H85" s="1341"/>
      <c r="I85" s="1348"/>
    </row>
    <row r="86" spans="1:9" ht="16.5" hidden="1" thickTop="1">
      <c r="A86" s="1368">
        <v>38961</v>
      </c>
      <c r="B86" s="1326">
        <v>84</v>
      </c>
      <c r="C86" s="1359">
        <v>853.5</v>
      </c>
      <c r="D86" s="1369" t="s">
        <v>933</v>
      </c>
      <c r="E86" s="1345"/>
      <c r="F86" s="1341"/>
      <c r="G86" s="1341"/>
      <c r="H86" s="1341"/>
      <c r="I86" s="1348"/>
    </row>
    <row r="87" spans="1:9" ht="16.5" hidden="1" thickTop="1">
      <c r="A87" s="1368">
        <v>38991</v>
      </c>
      <c r="B87" s="1326">
        <v>93</v>
      </c>
      <c r="C87" s="1359">
        <v>835.6</v>
      </c>
      <c r="D87" s="1369" t="s">
        <v>934</v>
      </c>
      <c r="E87" s="1345"/>
      <c r="F87" s="1341"/>
      <c r="G87" s="1341"/>
      <c r="H87" s="1341"/>
      <c r="I87" s="1348"/>
    </row>
    <row r="88" spans="1:9" ht="16.5" hidden="1" thickTop="1">
      <c r="A88" s="1368">
        <v>39022</v>
      </c>
      <c r="B88" s="1326">
        <v>58</v>
      </c>
      <c r="C88" s="1359">
        <v>1222.0999999999999</v>
      </c>
      <c r="D88" s="1369" t="s">
        <v>935</v>
      </c>
      <c r="E88" s="1345"/>
      <c r="F88" s="1341"/>
      <c r="G88" s="1341"/>
      <c r="H88" s="1341"/>
      <c r="I88" s="1348"/>
    </row>
    <row r="89" spans="1:9" ht="16.5" hidden="1" thickTop="1">
      <c r="A89" s="1368">
        <v>39052</v>
      </c>
      <c r="B89" s="1326">
        <v>153</v>
      </c>
      <c r="C89" s="1359">
        <v>1513.7</v>
      </c>
      <c r="D89" s="1369" t="s">
        <v>936</v>
      </c>
      <c r="E89" s="1345"/>
      <c r="F89" s="1341"/>
      <c r="G89" s="1341"/>
      <c r="H89" s="1341"/>
      <c r="I89" s="1348"/>
    </row>
    <row r="90" spans="1:9" ht="16.5" hidden="1" thickTop="1">
      <c r="A90" s="1368">
        <v>39083</v>
      </c>
      <c r="B90" s="1326">
        <v>151</v>
      </c>
      <c r="C90" s="1359">
        <v>1325.1</v>
      </c>
      <c r="D90" s="1369" t="s">
        <v>937</v>
      </c>
      <c r="E90" s="1345"/>
      <c r="F90" s="1341"/>
      <c r="G90" s="1341"/>
      <c r="H90" s="1341"/>
      <c r="I90" s="1348"/>
    </row>
    <row r="91" spans="1:9" ht="16.5" hidden="1" thickTop="1">
      <c r="A91" s="1368">
        <v>39114</v>
      </c>
      <c r="B91" s="1326">
        <v>141</v>
      </c>
      <c r="C91" s="1359">
        <v>844.4</v>
      </c>
      <c r="D91" s="1369" t="s">
        <v>938</v>
      </c>
      <c r="E91" s="1345"/>
      <c r="F91" s="1341"/>
      <c r="G91" s="1341"/>
      <c r="H91" s="1341"/>
      <c r="I91" s="1348"/>
    </row>
    <row r="92" spans="1:9" ht="16.5" hidden="1" thickTop="1">
      <c r="A92" s="1368">
        <v>39142</v>
      </c>
      <c r="B92" s="1326">
        <v>195</v>
      </c>
      <c r="C92" s="1359">
        <v>1708</v>
      </c>
      <c r="D92" s="1369" t="s">
        <v>939</v>
      </c>
      <c r="E92" s="1345"/>
      <c r="F92" s="1341"/>
      <c r="G92" s="1341"/>
      <c r="H92" s="1341"/>
      <c r="I92" s="1348"/>
    </row>
    <row r="93" spans="1:9" ht="16.5" hidden="1" thickTop="1">
      <c r="A93" s="1368">
        <v>39173</v>
      </c>
      <c r="B93" s="1326">
        <v>159</v>
      </c>
      <c r="C93" s="1359">
        <v>1569.5</v>
      </c>
      <c r="D93" s="1369" t="s">
        <v>940</v>
      </c>
      <c r="E93" s="1345"/>
      <c r="F93" s="1341"/>
      <c r="G93" s="1341"/>
      <c r="H93" s="1341"/>
      <c r="I93" s="1348"/>
    </row>
    <row r="94" spans="1:9" ht="16.5" hidden="1" thickTop="1">
      <c r="A94" s="1368">
        <v>39203</v>
      </c>
      <c r="B94" s="1326">
        <v>95</v>
      </c>
      <c r="C94" s="1359">
        <v>990.2</v>
      </c>
      <c r="D94" s="1369" t="s">
        <v>941</v>
      </c>
      <c r="E94" s="1345"/>
      <c r="F94" s="1341"/>
      <c r="G94" s="1341"/>
      <c r="H94" s="1341"/>
      <c r="I94" s="1348"/>
    </row>
    <row r="95" spans="1:9" ht="16.5" hidden="1" thickTop="1">
      <c r="A95" s="1368">
        <v>39234</v>
      </c>
      <c r="B95" s="1326">
        <v>133</v>
      </c>
      <c r="C95" s="1359">
        <v>1782.3</v>
      </c>
      <c r="D95" s="1369" t="s">
        <v>942</v>
      </c>
      <c r="E95" s="1345"/>
      <c r="F95" s="1341"/>
      <c r="G95" s="1341"/>
      <c r="H95" s="1341"/>
      <c r="I95" s="1348"/>
    </row>
    <row r="96" spans="1:9" ht="16.5" hidden="1" thickTop="1">
      <c r="A96" s="1368">
        <v>39264</v>
      </c>
      <c r="B96" s="1326">
        <v>110</v>
      </c>
      <c r="C96" s="1359">
        <v>3606.2</v>
      </c>
      <c r="D96" s="1369" t="s">
        <v>943</v>
      </c>
      <c r="E96" s="1345"/>
      <c r="F96" s="1341"/>
      <c r="G96" s="1341"/>
      <c r="H96" s="1341"/>
      <c r="I96" s="1348"/>
    </row>
    <row r="97" spans="1:9" ht="16.5" hidden="1" thickTop="1">
      <c r="A97" s="1368">
        <v>39295</v>
      </c>
      <c r="B97" s="1326">
        <v>66</v>
      </c>
      <c r="C97" s="1359">
        <v>1370.5</v>
      </c>
      <c r="D97" s="1369" t="s">
        <v>944</v>
      </c>
      <c r="E97" s="1345"/>
      <c r="F97" s="1341"/>
      <c r="G97" s="1341"/>
      <c r="H97" s="1341"/>
      <c r="I97" s="1348"/>
    </row>
    <row r="98" spans="1:9" ht="16.5" hidden="1" thickTop="1">
      <c r="A98" s="1368">
        <v>39326</v>
      </c>
      <c r="B98" s="1326">
        <v>55</v>
      </c>
      <c r="C98" s="1359">
        <v>999.5</v>
      </c>
      <c r="D98" s="1369" t="s">
        <v>945</v>
      </c>
      <c r="E98" s="1345"/>
      <c r="F98" s="1341"/>
      <c r="G98" s="1341"/>
      <c r="H98" s="1341"/>
      <c r="I98" s="1348"/>
    </row>
    <row r="99" spans="1:9" ht="16.5" hidden="1" thickTop="1">
      <c r="A99" s="1368">
        <v>39356</v>
      </c>
      <c r="B99" s="1326">
        <v>26</v>
      </c>
      <c r="C99" s="1359">
        <v>92.6</v>
      </c>
      <c r="D99" s="1369" t="s">
        <v>946</v>
      </c>
      <c r="E99" s="1345"/>
      <c r="F99" s="1341"/>
      <c r="G99" s="1341"/>
      <c r="H99" s="1341"/>
      <c r="I99" s="1348"/>
    </row>
    <row r="100" spans="1:9" ht="16.5" hidden="1" thickTop="1">
      <c r="A100" s="1368">
        <v>39387</v>
      </c>
      <c r="B100" s="1326">
        <v>20</v>
      </c>
      <c r="C100" s="1359">
        <v>91.8</v>
      </c>
      <c r="D100" s="1369" t="s">
        <v>947</v>
      </c>
      <c r="E100" s="1345"/>
      <c r="F100" s="1341"/>
      <c r="G100" s="1341"/>
      <c r="H100" s="1341"/>
      <c r="I100" s="1348"/>
    </row>
    <row r="101" spans="1:9" ht="16.5" hidden="1" thickTop="1">
      <c r="A101" s="1368">
        <v>39417</v>
      </c>
      <c r="B101" s="1326">
        <v>37</v>
      </c>
      <c r="C101" s="1359">
        <v>299.39999999999998</v>
      </c>
      <c r="D101" s="1333" t="s">
        <v>948</v>
      </c>
      <c r="E101" s="1345"/>
      <c r="F101" s="1341" t="s">
        <v>28</v>
      </c>
      <c r="G101" s="1341"/>
      <c r="H101" s="1341"/>
      <c r="I101" s="1348"/>
    </row>
    <row r="102" spans="1:9" ht="16.5" hidden="1" thickTop="1">
      <c r="A102" s="1368">
        <v>39448</v>
      </c>
      <c r="B102" s="1326">
        <v>34</v>
      </c>
      <c r="C102" s="1359">
        <v>223.6</v>
      </c>
      <c r="D102" s="1333" t="s">
        <v>949</v>
      </c>
      <c r="E102" s="1345"/>
      <c r="F102" s="1341"/>
      <c r="G102" s="1341"/>
      <c r="H102" s="1341"/>
      <c r="I102" s="1348"/>
    </row>
    <row r="103" spans="1:9" ht="16.5" hidden="1" thickTop="1">
      <c r="A103" s="1368">
        <v>39479</v>
      </c>
      <c r="B103" s="1326">
        <v>27</v>
      </c>
      <c r="C103" s="1359">
        <v>149.30000000000001</v>
      </c>
      <c r="D103" s="1333" t="s">
        <v>950</v>
      </c>
      <c r="E103" s="1345"/>
      <c r="F103" s="1341"/>
      <c r="G103" s="1341"/>
      <c r="H103" s="1341"/>
      <c r="I103" s="1348"/>
    </row>
    <row r="104" spans="1:9" ht="16.5" hidden="1" thickTop="1">
      <c r="A104" s="1368">
        <v>39508</v>
      </c>
      <c r="B104" s="1326">
        <v>8</v>
      </c>
      <c r="C104" s="1359">
        <v>23.3</v>
      </c>
      <c r="D104" s="1333" t="s">
        <v>951</v>
      </c>
      <c r="E104" s="1345"/>
      <c r="F104" s="1341"/>
      <c r="G104" s="1341"/>
      <c r="H104" s="1341"/>
      <c r="I104" s="1348"/>
    </row>
    <row r="105" spans="1:9" ht="16.5" hidden="1" thickTop="1">
      <c r="A105" s="1368">
        <v>39539</v>
      </c>
      <c r="B105" s="1326">
        <v>15</v>
      </c>
      <c r="C105" s="1359">
        <v>185.8</v>
      </c>
      <c r="D105" s="1333" t="s">
        <v>952</v>
      </c>
      <c r="E105" s="1345"/>
      <c r="F105" s="1341"/>
      <c r="G105" s="1341"/>
      <c r="H105" s="1341"/>
      <c r="I105" s="1348"/>
    </row>
    <row r="106" spans="1:9" ht="16.5" hidden="1" thickTop="1">
      <c r="A106" s="1368">
        <v>39569</v>
      </c>
      <c r="B106" s="1326">
        <v>27</v>
      </c>
      <c r="C106" s="1359">
        <v>402.1</v>
      </c>
      <c r="D106" s="1333" t="s">
        <v>953</v>
      </c>
      <c r="E106" s="1345"/>
      <c r="F106" s="1341"/>
      <c r="G106" s="1341"/>
      <c r="H106" s="1341"/>
      <c r="I106" s="1348"/>
    </row>
    <row r="107" spans="1:9" ht="16.5" hidden="1" thickTop="1">
      <c r="A107" s="1368">
        <v>39600</v>
      </c>
      <c r="B107" s="1370">
        <v>11</v>
      </c>
      <c r="C107" s="1371">
        <v>187.5</v>
      </c>
      <c r="D107" s="1333" t="s">
        <v>954</v>
      </c>
      <c r="E107" s="1345"/>
      <c r="F107" s="1341"/>
      <c r="G107" s="1341"/>
      <c r="H107" s="1341"/>
      <c r="I107" s="1348"/>
    </row>
    <row r="108" spans="1:9" ht="16.5" hidden="1" thickTop="1">
      <c r="A108" s="1368">
        <v>39630</v>
      </c>
      <c r="B108" s="1370">
        <v>17</v>
      </c>
      <c r="C108" s="1371">
        <v>169</v>
      </c>
      <c r="D108" s="1333" t="s">
        <v>955</v>
      </c>
      <c r="E108" s="1345"/>
      <c r="F108" s="1341"/>
      <c r="G108" s="1341"/>
      <c r="H108" s="1341"/>
      <c r="I108" s="1348"/>
    </row>
    <row r="109" spans="1:9" ht="16.5" hidden="1" thickTop="1">
      <c r="A109" s="1368">
        <v>39661</v>
      </c>
      <c r="B109" s="1370">
        <v>16</v>
      </c>
      <c r="C109" s="1371">
        <v>410.2</v>
      </c>
      <c r="D109" s="1333" t="s">
        <v>956</v>
      </c>
      <c r="E109" s="1345"/>
      <c r="F109" s="1341"/>
      <c r="G109" s="1341"/>
      <c r="H109" s="1341"/>
      <c r="I109" s="1348"/>
    </row>
    <row r="110" spans="1:9" ht="16.5" hidden="1" thickTop="1">
      <c r="A110" s="1368">
        <v>39692</v>
      </c>
      <c r="B110" s="1370">
        <v>73</v>
      </c>
      <c r="C110" s="1371">
        <v>674.3</v>
      </c>
      <c r="D110" s="1333" t="s">
        <v>957</v>
      </c>
      <c r="E110" s="1345"/>
      <c r="F110" s="1341"/>
      <c r="G110" s="1341"/>
      <c r="H110" s="1341"/>
      <c r="I110" s="1348"/>
    </row>
    <row r="111" spans="1:9" ht="16.5" hidden="1" thickTop="1">
      <c r="A111" s="1368">
        <v>39722</v>
      </c>
      <c r="B111" s="1370">
        <v>67</v>
      </c>
      <c r="C111" s="1371">
        <v>728.8</v>
      </c>
      <c r="D111" s="1333" t="s">
        <v>958</v>
      </c>
      <c r="E111" s="1345"/>
      <c r="F111" s="1341"/>
      <c r="G111" s="1341"/>
      <c r="H111" s="1341"/>
      <c r="I111" s="1348"/>
    </row>
    <row r="112" spans="1:9" ht="16.5" hidden="1" thickTop="1">
      <c r="A112" s="1368">
        <v>39753</v>
      </c>
      <c r="B112" s="1370">
        <v>65</v>
      </c>
      <c r="C112" s="1371">
        <v>519</v>
      </c>
      <c r="D112" s="1333" t="s">
        <v>959</v>
      </c>
      <c r="E112" s="1345"/>
      <c r="F112" s="1341"/>
      <c r="G112" s="1341"/>
      <c r="H112" s="1341"/>
      <c r="I112" s="1348"/>
    </row>
    <row r="113" spans="1:9" ht="16.5" hidden="1" thickTop="1">
      <c r="A113" s="1368">
        <v>39783</v>
      </c>
      <c r="B113" s="1370">
        <v>60</v>
      </c>
      <c r="C113" s="1371">
        <v>342.3</v>
      </c>
      <c r="D113" s="1333" t="s">
        <v>960</v>
      </c>
      <c r="E113" s="1345"/>
      <c r="F113" s="1341"/>
      <c r="G113" s="1341"/>
      <c r="H113" s="1341"/>
      <c r="I113" s="1348"/>
    </row>
    <row r="114" spans="1:9" ht="16.5" hidden="1" thickTop="1">
      <c r="A114" s="1368">
        <v>39814</v>
      </c>
      <c r="B114" s="1370">
        <v>76</v>
      </c>
      <c r="C114" s="1371">
        <v>562.9</v>
      </c>
      <c r="D114" s="1333" t="s">
        <v>961</v>
      </c>
      <c r="E114" s="1345"/>
      <c r="F114" s="1341"/>
      <c r="G114" s="1341"/>
      <c r="H114" s="1341"/>
      <c r="I114" s="1348"/>
    </row>
    <row r="115" spans="1:9" ht="16.5" hidden="1" thickTop="1">
      <c r="A115" s="1368">
        <v>39845</v>
      </c>
      <c r="B115" s="1370">
        <v>26</v>
      </c>
      <c r="C115" s="1371">
        <v>334</v>
      </c>
      <c r="D115" s="1333" t="s">
        <v>962</v>
      </c>
      <c r="E115" s="1345"/>
      <c r="F115" s="1341"/>
      <c r="G115" s="1341"/>
      <c r="H115" s="1341"/>
      <c r="I115" s="1348"/>
    </row>
    <row r="116" spans="1:9" ht="16.5" hidden="1" thickTop="1">
      <c r="A116" s="1368">
        <v>39873</v>
      </c>
      <c r="B116" s="1370">
        <v>12</v>
      </c>
      <c r="C116" s="1371">
        <v>87.1</v>
      </c>
      <c r="D116" s="1333" t="s">
        <v>963</v>
      </c>
      <c r="E116" s="1345"/>
      <c r="F116" s="1341"/>
      <c r="G116" s="1341"/>
      <c r="H116" s="1341"/>
      <c r="I116" s="1348"/>
    </row>
    <row r="117" spans="1:9" ht="16.5" hidden="1" thickTop="1">
      <c r="A117" s="1368">
        <v>39904</v>
      </c>
      <c r="B117" s="1370">
        <v>12</v>
      </c>
      <c r="C117" s="1371">
        <v>79.2</v>
      </c>
      <c r="D117" s="1333" t="s">
        <v>964</v>
      </c>
      <c r="E117" s="1345"/>
      <c r="F117" s="1341"/>
      <c r="G117" s="1341"/>
      <c r="H117" s="1341"/>
      <c r="I117" s="1348"/>
    </row>
    <row r="118" spans="1:9" ht="16.5" hidden="1" thickTop="1">
      <c r="A118" s="1368">
        <v>39934</v>
      </c>
      <c r="B118" s="1370">
        <v>7</v>
      </c>
      <c r="C118" s="1371">
        <v>10.3</v>
      </c>
      <c r="D118" s="1333" t="s">
        <v>965</v>
      </c>
      <c r="E118" s="1345"/>
      <c r="F118" s="1341"/>
      <c r="G118" s="1341"/>
      <c r="H118" s="1341"/>
      <c r="I118" s="1348"/>
    </row>
    <row r="119" spans="1:9" ht="16.5" hidden="1" thickTop="1">
      <c r="A119" s="1368">
        <v>39965</v>
      </c>
      <c r="B119" s="1370">
        <v>3</v>
      </c>
      <c r="C119" s="1371">
        <v>42.5</v>
      </c>
      <c r="D119" s="1333" t="s">
        <v>966</v>
      </c>
      <c r="E119" s="1345"/>
      <c r="F119" s="1341"/>
      <c r="G119" s="1341"/>
      <c r="H119" s="1341"/>
      <c r="I119" s="1348"/>
    </row>
    <row r="120" spans="1:9" ht="16.5" hidden="1" thickTop="1">
      <c r="A120" s="1368">
        <v>39995</v>
      </c>
      <c r="B120" s="1370">
        <v>13</v>
      </c>
      <c r="C120" s="1371">
        <v>208.6</v>
      </c>
      <c r="D120" s="1333" t="s">
        <v>967</v>
      </c>
      <c r="E120" s="1345"/>
      <c r="F120" s="1341"/>
      <c r="G120" s="1341"/>
      <c r="H120" s="1341"/>
      <c r="I120" s="1348"/>
    </row>
    <row r="121" spans="1:9" ht="16.5" hidden="1" thickTop="1">
      <c r="A121" s="1368">
        <v>40026</v>
      </c>
      <c r="B121" s="1370">
        <v>12</v>
      </c>
      <c r="C121" s="1371">
        <v>333.9</v>
      </c>
      <c r="D121" s="1333" t="s">
        <v>968</v>
      </c>
      <c r="E121" s="1345"/>
      <c r="F121" s="1341"/>
      <c r="G121" s="1341"/>
      <c r="H121" s="1341"/>
      <c r="I121" s="1348"/>
    </row>
    <row r="122" spans="1:9" ht="16.5" hidden="1" thickTop="1">
      <c r="A122" s="1368">
        <v>40057</v>
      </c>
      <c r="B122" s="1370">
        <v>14</v>
      </c>
      <c r="C122" s="1371">
        <v>120.8</v>
      </c>
      <c r="D122" s="1333" t="s">
        <v>969</v>
      </c>
      <c r="E122" s="1345"/>
      <c r="F122" s="1341"/>
      <c r="G122" s="1341"/>
      <c r="H122" s="1341"/>
      <c r="I122" s="1348"/>
    </row>
    <row r="123" spans="1:9" ht="16.5" hidden="1" thickTop="1">
      <c r="A123" s="1368">
        <v>40087</v>
      </c>
      <c r="B123" s="1370">
        <v>18</v>
      </c>
      <c r="C123" s="1371">
        <v>91.7</v>
      </c>
      <c r="D123" s="1333" t="s">
        <v>970</v>
      </c>
      <c r="E123" s="1345"/>
      <c r="F123" s="1341"/>
      <c r="G123" s="1341"/>
      <c r="H123" s="1341"/>
      <c r="I123" s="1348"/>
    </row>
    <row r="124" spans="1:9" ht="16.5" hidden="1" thickTop="1">
      <c r="A124" s="1368">
        <v>40118</v>
      </c>
      <c r="B124" s="1370">
        <v>16</v>
      </c>
      <c r="C124" s="1371">
        <v>256.5</v>
      </c>
      <c r="D124" s="1333" t="s">
        <v>971</v>
      </c>
      <c r="E124" s="1345"/>
      <c r="F124" s="1341"/>
      <c r="G124" s="1341"/>
      <c r="H124" s="1341"/>
      <c r="I124" s="1348"/>
    </row>
    <row r="125" spans="1:9" ht="16.5" hidden="1" thickTop="1">
      <c r="A125" s="1368">
        <v>40148</v>
      </c>
      <c r="B125" s="1370">
        <v>23</v>
      </c>
      <c r="C125" s="1371">
        <v>117.8</v>
      </c>
      <c r="D125" s="1333" t="s">
        <v>972</v>
      </c>
      <c r="E125" s="1345"/>
      <c r="F125" s="1341"/>
      <c r="G125" s="1341"/>
      <c r="H125" s="1341"/>
      <c r="I125" s="1348"/>
    </row>
    <row r="126" spans="1:9" ht="16.5" hidden="1" thickTop="1">
      <c r="A126" s="1368">
        <v>40179</v>
      </c>
      <c r="B126" s="1370">
        <v>16</v>
      </c>
      <c r="C126" s="1371">
        <v>69.900000000000006</v>
      </c>
      <c r="D126" s="1333" t="s">
        <v>973</v>
      </c>
      <c r="E126" s="1345"/>
      <c r="F126" s="1341"/>
      <c r="G126" s="1341"/>
      <c r="H126" s="1341"/>
      <c r="I126" s="1348"/>
    </row>
    <row r="127" spans="1:9" ht="16.5" hidden="1" thickTop="1">
      <c r="A127" s="1368">
        <v>40210</v>
      </c>
      <c r="B127" s="1370">
        <v>9</v>
      </c>
      <c r="C127" s="1371">
        <v>171.9</v>
      </c>
      <c r="D127" s="1333" t="s">
        <v>974</v>
      </c>
      <c r="E127" s="1345"/>
      <c r="F127" s="1341"/>
      <c r="G127" s="1341"/>
      <c r="H127" s="1341"/>
      <c r="I127" s="1348"/>
    </row>
    <row r="128" spans="1:9" ht="16.5" hidden="1" thickTop="1">
      <c r="A128" s="1368">
        <v>40238</v>
      </c>
      <c r="B128" s="1370">
        <v>10</v>
      </c>
      <c r="C128" s="1371">
        <v>142.6</v>
      </c>
      <c r="D128" s="1333" t="s">
        <v>975</v>
      </c>
      <c r="E128" s="1345"/>
      <c r="F128" s="1341"/>
      <c r="G128" s="1341"/>
      <c r="H128" s="1341"/>
      <c r="I128" s="1348"/>
    </row>
    <row r="129" spans="1:9" ht="16.5" hidden="1" thickTop="1">
      <c r="A129" s="1368">
        <v>40269</v>
      </c>
      <c r="B129" s="1370">
        <v>8</v>
      </c>
      <c r="C129" s="1372">
        <v>721</v>
      </c>
      <c r="D129" s="1333" t="s">
        <v>976</v>
      </c>
      <c r="E129" s="1345"/>
      <c r="F129" s="1341"/>
      <c r="G129" s="1341"/>
      <c r="H129" s="1341"/>
      <c r="I129" s="1348"/>
    </row>
    <row r="130" spans="1:9" ht="16.5" hidden="1" thickTop="1">
      <c r="A130" s="1368">
        <v>40299</v>
      </c>
      <c r="B130" s="1370">
        <v>6</v>
      </c>
      <c r="C130" s="1372">
        <v>356.9</v>
      </c>
      <c r="D130" s="1333" t="s">
        <v>977</v>
      </c>
      <c r="E130" s="1345"/>
      <c r="F130" s="1341"/>
      <c r="G130" s="1341"/>
      <c r="H130" s="1341"/>
      <c r="I130" s="1348"/>
    </row>
    <row r="131" spans="1:9" ht="16.5" hidden="1" thickTop="1">
      <c r="A131" s="1368">
        <v>40330</v>
      </c>
      <c r="B131" s="1370">
        <v>13</v>
      </c>
      <c r="C131" s="1372">
        <v>277.5</v>
      </c>
      <c r="D131" s="1333" t="s">
        <v>978</v>
      </c>
      <c r="E131" s="1345"/>
      <c r="F131" s="1341"/>
      <c r="G131" s="1341"/>
      <c r="H131" s="1341"/>
      <c r="I131" s="1348"/>
    </row>
    <row r="132" spans="1:9" ht="16.5" hidden="1" thickTop="1">
      <c r="A132" s="1368">
        <v>40360</v>
      </c>
      <c r="B132" s="1370">
        <v>11</v>
      </c>
      <c r="C132" s="1372">
        <v>199.6</v>
      </c>
      <c r="D132" s="1333" t="s">
        <v>979</v>
      </c>
      <c r="E132" s="1345"/>
      <c r="F132" s="1341"/>
      <c r="G132" s="1341"/>
      <c r="H132" s="1341"/>
      <c r="I132" s="1348"/>
    </row>
    <row r="133" spans="1:9" ht="16.5" hidden="1" thickTop="1">
      <c r="A133" s="1368">
        <v>40391</v>
      </c>
      <c r="B133" s="1370">
        <v>4</v>
      </c>
      <c r="C133" s="1372">
        <v>2.2000000000000002</v>
      </c>
      <c r="D133" s="1333" t="s">
        <v>980</v>
      </c>
      <c r="E133" s="1345"/>
      <c r="F133" s="1341"/>
      <c r="G133" s="1341"/>
      <c r="H133" s="1341"/>
      <c r="I133" s="1348"/>
    </row>
    <row r="134" spans="1:9" ht="16.5" hidden="1" thickTop="1">
      <c r="A134" s="1368">
        <v>40422</v>
      </c>
      <c r="B134" s="1370">
        <v>6</v>
      </c>
      <c r="C134" s="1372">
        <v>174</v>
      </c>
      <c r="D134" s="1333" t="s">
        <v>981</v>
      </c>
      <c r="E134" s="1345"/>
      <c r="F134" s="1341"/>
      <c r="G134" s="1341"/>
      <c r="H134" s="1341"/>
      <c r="I134" s="1348"/>
    </row>
    <row r="135" spans="1:9" ht="16.5" hidden="1" thickTop="1">
      <c r="A135" s="1368">
        <v>40452</v>
      </c>
      <c r="B135" s="1370">
        <v>16</v>
      </c>
      <c r="C135" s="1372">
        <v>264.60000000000002</v>
      </c>
      <c r="D135" s="1333" t="s">
        <v>982</v>
      </c>
      <c r="E135" s="1345"/>
      <c r="F135" s="1341"/>
      <c r="G135" s="1341"/>
      <c r="H135" s="1341"/>
      <c r="I135" s="1348"/>
    </row>
    <row r="136" spans="1:9" ht="16.5" hidden="1" thickTop="1">
      <c r="A136" s="1368">
        <v>40483</v>
      </c>
      <c r="B136" s="1370">
        <v>9</v>
      </c>
      <c r="C136" s="1372">
        <v>384.4</v>
      </c>
      <c r="D136" s="1333" t="s">
        <v>983</v>
      </c>
      <c r="E136" s="1345"/>
      <c r="F136" s="1341"/>
      <c r="G136" s="1341"/>
      <c r="H136" s="1341"/>
      <c r="I136" s="1348"/>
    </row>
    <row r="137" spans="1:9" ht="16.5" hidden="1" thickTop="1">
      <c r="A137" s="1368">
        <v>40513</v>
      </c>
      <c r="B137" s="1370">
        <v>10</v>
      </c>
      <c r="C137" s="1372">
        <v>276.60000000000002</v>
      </c>
      <c r="D137" s="1333" t="s">
        <v>984</v>
      </c>
      <c r="E137" s="1345"/>
      <c r="F137" s="1341"/>
      <c r="G137" s="1341"/>
      <c r="H137" s="1341"/>
      <c r="I137" s="1348"/>
    </row>
    <row r="138" spans="1:9" ht="16.5" hidden="1" thickTop="1">
      <c r="A138" s="1368">
        <v>40544</v>
      </c>
      <c r="B138" s="1370">
        <v>7</v>
      </c>
      <c r="C138" s="1372">
        <v>299.2</v>
      </c>
      <c r="D138" s="1333" t="s">
        <v>985</v>
      </c>
      <c r="E138" s="1345"/>
      <c r="F138" s="1341"/>
      <c r="G138" s="1341"/>
      <c r="H138" s="1341"/>
      <c r="I138" s="1348"/>
    </row>
    <row r="139" spans="1:9" ht="16.5" hidden="1" thickTop="1">
      <c r="A139" s="1368">
        <v>40575</v>
      </c>
      <c r="B139" s="1370">
        <v>4</v>
      </c>
      <c r="C139" s="1372">
        <v>148</v>
      </c>
      <c r="D139" s="1333" t="s">
        <v>986</v>
      </c>
      <c r="E139" s="1345"/>
      <c r="F139" s="1341"/>
      <c r="G139" s="1341"/>
      <c r="H139" s="1341"/>
      <c r="I139" s="1348"/>
    </row>
    <row r="140" spans="1:9" ht="16.5" hidden="1" thickTop="1">
      <c r="A140" s="1368">
        <v>40603</v>
      </c>
      <c r="B140" s="1370" t="s">
        <v>661</v>
      </c>
      <c r="C140" s="1372" t="s">
        <v>661</v>
      </c>
      <c r="D140" s="1333" t="s">
        <v>661</v>
      </c>
      <c r="E140" s="1345"/>
      <c r="F140" s="1341"/>
      <c r="G140" s="1341"/>
      <c r="H140" s="1341"/>
      <c r="I140" s="1348"/>
    </row>
    <row r="141" spans="1:9" ht="16.5" hidden="1" thickTop="1">
      <c r="A141" s="1368">
        <v>40634</v>
      </c>
      <c r="B141" s="1370">
        <v>5</v>
      </c>
      <c r="C141" s="1372">
        <v>75.5</v>
      </c>
      <c r="D141" s="1333" t="s">
        <v>987</v>
      </c>
      <c r="E141" s="1345"/>
      <c r="F141" s="1341"/>
      <c r="G141" s="1341"/>
      <c r="H141" s="1341"/>
      <c r="I141" s="1348"/>
    </row>
    <row r="142" spans="1:9" ht="16.5" hidden="1" thickTop="1">
      <c r="A142" s="1368">
        <v>40664</v>
      </c>
      <c r="B142" s="1370">
        <v>6</v>
      </c>
      <c r="C142" s="1372">
        <v>331.6</v>
      </c>
      <c r="D142" s="1333" t="s">
        <v>988</v>
      </c>
      <c r="E142" s="1345"/>
      <c r="F142" s="1341"/>
      <c r="G142" s="1341"/>
      <c r="H142" s="1341"/>
      <c r="I142" s="1348"/>
    </row>
    <row r="143" spans="1:9" ht="16.5" hidden="1" thickTop="1">
      <c r="A143" s="1368">
        <v>40695</v>
      </c>
      <c r="B143" s="1370">
        <v>21</v>
      </c>
      <c r="C143" s="1372">
        <v>160.9</v>
      </c>
      <c r="D143" s="1333" t="s">
        <v>989</v>
      </c>
      <c r="E143" s="1345"/>
      <c r="F143" s="1341"/>
      <c r="G143" s="1341"/>
      <c r="H143" s="1341"/>
      <c r="I143" s="1348"/>
    </row>
    <row r="144" spans="1:9" ht="16.5" hidden="1" thickTop="1">
      <c r="A144" s="1368">
        <v>40725</v>
      </c>
      <c r="B144" s="1370">
        <v>18</v>
      </c>
      <c r="C144" s="1372">
        <v>464.1</v>
      </c>
      <c r="D144" s="1333" t="s">
        <v>990</v>
      </c>
      <c r="E144" s="1345"/>
      <c r="F144" s="1341"/>
      <c r="G144" s="1341"/>
      <c r="H144" s="1341"/>
      <c r="I144" s="1348"/>
    </row>
    <row r="145" spans="1:9" ht="16.5" hidden="1" thickTop="1">
      <c r="A145" s="1368">
        <v>40756</v>
      </c>
      <c r="B145" s="1370">
        <v>6</v>
      </c>
      <c r="C145" s="1372">
        <v>102.4</v>
      </c>
      <c r="D145" s="1333" t="s">
        <v>991</v>
      </c>
      <c r="E145" s="1345"/>
      <c r="F145" s="1341"/>
      <c r="G145" s="1341"/>
      <c r="H145" s="1341"/>
      <c r="I145" s="1348"/>
    </row>
    <row r="146" spans="1:9" ht="16.5" hidden="1" thickTop="1">
      <c r="A146" s="1368">
        <v>40787</v>
      </c>
      <c r="B146" s="1370">
        <v>10</v>
      </c>
      <c r="C146" s="1372">
        <v>175.9</v>
      </c>
      <c r="D146" s="1333" t="s">
        <v>992</v>
      </c>
      <c r="E146" s="1345"/>
      <c r="F146" s="1341"/>
      <c r="G146" s="1341"/>
      <c r="H146" s="1341"/>
      <c r="I146" s="1348"/>
    </row>
    <row r="147" spans="1:9" ht="16.5" hidden="1" thickTop="1">
      <c r="A147" s="1368">
        <v>40817</v>
      </c>
      <c r="B147" s="1370">
        <v>20</v>
      </c>
      <c r="C147" s="1372">
        <v>407.8</v>
      </c>
      <c r="D147" s="1333" t="s">
        <v>993</v>
      </c>
      <c r="E147" s="1345"/>
      <c r="F147" s="1341"/>
      <c r="G147" s="1341"/>
      <c r="H147" s="1341"/>
      <c r="I147" s="1348"/>
    </row>
    <row r="148" spans="1:9" ht="16.5" hidden="1" thickTop="1">
      <c r="A148" s="1368">
        <v>40848</v>
      </c>
      <c r="B148" s="1370">
        <v>17</v>
      </c>
      <c r="C148" s="1372">
        <v>126.3</v>
      </c>
      <c r="D148" s="1333" t="s">
        <v>994</v>
      </c>
      <c r="E148" s="1345"/>
      <c r="F148" s="1341"/>
      <c r="G148" s="1341"/>
      <c r="H148" s="1341"/>
      <c r="I148" s="1348"/>
    </row>
    <row r="149" spans="1:9" ht="16.5" hidden="1" thickTop="1">
      <c r="A149" s="1368">
        <v>40878</v>
      </c>
      <c r="B149" s="1370">
        <v>11</v>
      </c>
      <c r="C149" s="1372">
        <v>228.6</v>
      </c>
      <c r="D149" s="1333" t="s">
        <v>995</v>
      </c>
      <c r="E149" s="1345"/>
      <c r="F149" s="1341"/>
      <c r="G149" s="1341"/>
      <c r="H149" s="1341"/>
      <c r="I149" s="1348"/>
    </row>
    <row r="150" spans="1:9" ht="16.5" hidden="1" thickTop="1">
      <c r="A150" s="1368">
        <v>40909</v>
      </c>
      <c r="B150" s="1370">
        <v>10</v>
      </c>
      <c r="C150" s="1372">
        <v>163</v>
      </c>
      <c r="D150" s="1333" t="s">
        <v>996</v>
      </c>
      <c r="E150" s="1345"/>
      <c r="F150" s="1341"/>
      <c r="G150" s="1341"/>
      <c r="H150" s="1341"/>
      <c r="I150" s="1348"/>
    </row>
    <row r="151" spans="1:9" ht="16.5" hidden="1" thickTop="1">
      <c r="A151" s="1368">
        <v>40940</v>
      </c>
      <c r="B151" s="1370">
        <v>7</v>
      </c>
      <c r="C151" s="1372">
        <v>84.4</v>
      </c>
      <c r="D151" s="1333" t="s">
        <v>997</v>
      </c>
      <c r="E151" s="1345"/>
      <c r="F151" s="1341"/>
      <c r="G151" s="1341"/>
      <c r="H151" s="1341"/>
      <c r="I151" s="1348"/>
    </row>
    <row r="152" spans="1:9" ht="16.5" hidden="1" thickTop="1">
      <c r="A152" s="1368">
        <v>40969</v>
      </c>
      <c r="B152" s="1370">
        <v>25</v>
      </c>
      <c r="C152" s="1372">
        <v>318.39999999999998</v>
      </c>
      <c r="D152" s="1333" t="s">
        <v>998</v>
      </c>
      <c r="E152" s="1345"/>
      <c r="F152" s="1341"/>
      <c r="G152" s="1341"/>
      <c r="H152" s="1341"/>
      <c r="I152" s="1348"/>
    </row>
    <row r="153" spans="1:9" ht="16.5" hidden="1" thickTop="1">
      <c r="A153" s="1368">
        <v>41000</v>
      </c>
      <c r="B153" s="1370">
        <v>31</v>
      </c>
      <c r="C153" s="1359">
        <v>1063.3</v>
      </c>
      <c r="D153" s="1333" t="s">
        <v>999</v>
      </c>
      <c r="E153" s="1345"/>
      <c r="F153" s="1341"/>
      <c r="G153" s="1341"/>
      <c r="H153" s="1341"/>
      <c r="I153" s="1348"/>
    </row>
    <row r="154" spans="1:9" ht="16.5" hidden="1" thickTop="1">
      <c r="A154" s="1368">
        <v>41030</v>
      </c>
      <c r="B154" s="1370">
        <v>13</v>
      </c>
      <c r="C154" s="1359">
        <v>394.8</v>
      </c>
      <c r="D154" s="1333" t="s">
        <v>1000</v>
      </c>
      <c r="E154" s="1345"/>
      <c r="F154" s="1341"/>
      <c r="G154" s="1341"/>
      <c r="H154" s="1341"/>
      <c r="I154" s="1348"/>
    </row>
    <row r="155" spans="1:9" ht="16.5" hidden="1" thickTop="1">
      <c r="A155" s="1368">
        <v>41061</v>
      </c>
      <c r="B155" s="1370">
        <v>25</v>
      </c>
      <c r="C155" s="1359">
        <v>891.5</v>
      </c>
      <c r="D155" s="1333" t="s">
        <v>1001</v>
      </c>
      <c r="E155" s="1345"/>
      <c r="F155" s="1341"/>
      <c r="G155" s="1341"/>
      <c r="H155" s="1341"/>
      <c r="I155" s="1348"/>
    </row>
    <row r="156" spans="1:9" ht="16.5" hidden="1" thickTop="1">
      <c r="A156" s="1368">
        <v>41091</v>
      </c>
      <c r="B156" s="1370">
        <v>30</v>
      </c>
      <c r="C156" s="1359">
        <v>424.3</v>
      </c>
      <c r="D156" s="1333" t="s">
        <v>1002</v>
      </c>
      <c r="E156" s="1345"/>
      <c r="F156" s="1341"/>
      <c r="G156" s="1341"/>
      <c r="H156" s="1341"/>
      <c r="I156" s="1348"/>
    </row>
    <row r="157" spans="1:9" ht="16.5" hidden="1" thickTop="1">
      <c r="A157" s="1368">
        <v>41122</v>
      </c>
      <c r="B157" s="1370">
        <v>6</v>
      </c>
      <c r="C157" s="1359">
        <v>103.2</v>
      </c>
      <c r="D157" s="1333" t="s">
        <v>1003</v>
      </c>
      <c r="E157" s="1345"/>
      <c r="F157" s="1341"/>
      <c r="G157" s="1341"/>
      <c r="H157" s="1341"/>
      <c r="I157" s="1348"/>
    </row>
    <row r="158" spans="1:9" ht="16.5" hidden="1" thickTop="1">
      <c r="A158" s="1368">
        <v>41153</v>
      </c>
      <c r="B158" s="1370">
        <v>20</v>
      </c>
      <c r="C158" s="1359">
        <v>184.6</v>
      </c>
      <c r="D158" s="1333" t="s">
        <v>1004</v>
      </c>
      <c r="E158" s="1345"/>
      <c r="F158" s="1341"/>
      <c r="G158" s="1341"/>
      <c r="H158" s="1341"/>
      <c r="I158" s="1348"/>
    </row>
    <row r="159" spans="1:9" ht="16.5" hidden="1" thickTop="1">
      <c r="A159" s="1368">
        <v>41183</v>
      </c>
      <c r="B159" s="1370">
        <v>15</v>
      </c>
      <c r="C159" s="1359">
        <v>217.4</v>
      </c>
      <c r="D159" s="1333" t="s">
        <v>1005</v>
      </c>
      <c r="E159" s="1345"/>
      <c r="F159" s="1341"/>
      <c r="G159" s="1341"/>
      <c r="H159" s="1341"/>
      <c r="I159" s="1348"/>
    </row>
    <row r="160" spans="1:9" ht="16.5" hidden="1" thickTop="1">
      <c r="A160" s="1368">
        <v>41214</v>
      </c>
      <c r="B160" s="1370">
        <v>11</v>
      </c>
      <c r="C160" s="1359">
        <v>62.4</v>
      </c>
      <c r="D160" s="1333" t="s">
        <v>1006</v>
      </c>
      <c r="E160" s="1345"/>
      <c r="F160" s="1341"/>
      <c r="G160" s="1341"/>
      <c r="H160" s="1341"/>
      <c r="I160" s="1348"/>
    </row>
    <row r="161" spans="1:9" ht="16.5" hidden="1" thickTop="1">
      <c r="A161" s="1368">
        <v>41244</v>
      </c>
      <c r="B161" s="1370">
        <v>22</v>
      </c>
      <c r="C161" s="1359">
        <v>406.7</v>
      </c>
      <c r="D161" s="1333" t="s">
        <v>1007</v>
      </c>
      <c r="E161" s="1345"/>
      <c r="F161" s="1341"/>
      <c r="G161" s="1341"/>
      <c r="H161" s="1341"/>
      <c r="I161" s="1348"/>
    </row>
    <row r="162" spans="1:9" ht="16.5" hidden="1" thickTop="1">
      <c r="A162" s="1368">
        <v>41275</v>
      </c>
      <c r="B162" s="1370">
        <v>40</v>
      </c>
      <c r="C162" s="1359">
        <v>1828.7</v>
      </c>
      <c r="D162" s="1333" t="s">
        <v>1008</v>
      </c>
      <c r="E162" s="1345"/>
      <c r="F162" s="1341"/>
      <c r="G162" s="1341"/>
      <c r="H162" s="1341"/>
      <c r="I162" s="1348"/>
    </row>
    <row r="163" spans="1:9" ht="16.5" hidden="1" thickTop="1">
      <c r="A163" s="1368">
        <v>41306</v>
      </c>
      <c r="B163" s="1370">
        <v>22</v>
      </c>
      <c r="C163" s="1359">
        <v>915</v>
      </c>
      <c r="D163" s="1333" t="s">
        <v>1009</v>
      </c>
      <c r="E163" s="1345"/>
      <c r="F163" s="1341"/>
      <c r="G163" s="1341"/>
      <c r="H163" s="1341"/>
      <c r="I163" s="1348"/>
    </row>
    <row r="164" spans="1:9" ht="16.5" hidden="1" thickTop="1">
      <c r="A164" s="1368">
        <v>41334</v>
      </c>
      <c r="B164" s="1370">
        <v>22</v>
      </c>
      <c r="C164" s="1359">
        <v>1904.6</v>
      </c>
      <c r="D164" s="1333" t="s">
        <v>1010</v>
      </c>
      <c r="E164" s="1345"/>
      <c r="F164" s="1341"/>
      <c r="G164" s="1341"/>
      <c r="H164" s="1341"/>
      <c r="I164" s="1348"/>
    </row>
    <row r="165" spans="1:9" ht="16.5" hidden="1" thickTop="1">
      <c r="A165" s="1368">
        <v>41365</v>
      </c>
      <c r="B165" s="1370">
        <v>29</v>
      </c>
      <c r="C165" s="1359">
        <v>800.6</v>
      </c>
      <c r="D165" s="1333" t="s">
        <v>1011</v>
      </c>
      <c r="E165" s="1345"/>
      <c r="F165" s="1341"/>
      <c r="G165" s="1341"/>
      <c r="H165" s="1341"/>
      <c r="I165" s="1348"/>
    </row>
    <row r="166" spans="1:9" ht="16.5" hidden="1" thickTop="1">
      <c r="A166" s="1368">
        <v>41395</v>
      </c>
      <c r="B166" s="1370">
        <v>9</v>
      </c>
      <c r="C166" s="1359">
        <v>387.8</v>
      </c>
      <c r="D166" s="1333" t="s">
        <v>1012</v>
      </c>
      <c r="E166" s="1345"/>
      <c r="F166" s="1341"/>
      <c r="G166" s="1341"/>
      <c r="H166" s="1341"/>
      <c r="I166" s="1348"/>
    </row>
    <row r="167" spans="1:9" ht="15.75" hidden="1" customHeight="1" thickTop="1">
      <c r="A167" s="1368">
        <v>41426</v>
      </c>
      <c r="B167" s="1370">
        <v>25</v>
      </c>
      <c r="C167" s="1359">
        <v>1318.7</v>
      </c>
      <c r="D167" s="1333" t="s">
        <v>1013</v>
      </c>
      <c r="E167" s="1345"/>
      <c r="F167" s="1341"/>
      <c r="G167" s="1341"/>
      <c r="H167" s="1341"/>
      <c r="I167" s="1348"/>
    </row>
    <row r="168" spans="1:9" ht="15" hidden="1" customHeight="1">
      <c r="A168" s="1368">
        <v>41456</v>
      </c>
      <c r="B168" s="1373"/>
      <c r="C168" s="1374"/>
      <c r="D168" s="1373"/>
      <c r="E168" s="1345"/>
      <c r="F168" s="1346"/>
      <c r="G168" s="1341"/>
      <c r="H168" s="1341"/>
    </row>
    <row r="169" spans="1:9" ht="15" hidden="1" customHeight="1">
      <c r="A169" s="1368">
        <v>41487</v>
      </c>
      <c r="B169" s="1373"/>
      <c r="C169" s="1374"/>
      <c r="D169" s="1373"/>
      <c r="E169" s="1345"/>
      <c r="F169" s="1346"/>
      <c r="G169" s="1341"/>
      <c r="H169" s="1341"/>
    </row>
    <row r="170" spans="1:9" ht="15" hidden="1" customHeight="1">
      <c r="A170" s="1368">
        <v>41518</v>
      </c>
      <c r="B170" s="1373"/>
      <c r="C170" s="1374"/>
      <c r="D170" s="1373"/>
      <c r="E170" s="1345"/>
      <c r="F170" s="1346"/>
      <c r="G170" s="1341"/>
      <c r="H170" s="1341"/>
    </row>
    <row r="171" spans="1:9" ht="20.25" customHeight="1" thickTop="1">
      <c r="A171" s="1368">
        <v>41456</v>
      </c>
      <c r="B171" s="1370">
        <v>11</v>
      </c>
      <c r="C171" s="1371">
        <v>44.7</v>
      </c>
      <c r="D171" s="1370" t="s">
        <v>1014</v>
      </c>
      <c r="E171" s="1345"/>
      <c r="F171" s="1346"/>
      <c r="G171" s="1341"/>
      <c r="H171" s="1341"/>
    </row>
    <row r="172" spans="1:9" ht="20.25" customHeight="1">
      <c r="A172" s="1368">
        <v>41487</v>
      </c>
      <c r="B172" s="1370">
        <v>4</v>
      </c>
      <c r="C172" s="1371">
        <v>17.2</v>
      </c>
      <c r="D172" s="1370" t="s">
        <v>1015</v>
      </c>
      <c r="E172" s="1345"/>
      <c r="F172" s="1346"/>
      <c r="G172" s="1341"/>
      <c r="H172" s="1341"/>
    </row>
    <row r="173" spans="1:9" ht="20.25" customHeight="1">
      <c r="A173" s="1368">
        <v>41518</v>
      </c>
      <c r="B173" s="1370">
        <v>16</v>
      </c>
      <c r="C173" s="1371">
        <v>595.20000000000005</v>
      </c>
      <c r="D173" s="1370" t="s">
        <v>1016</v>
      </c>
      <c r="E173" s="1345"/>
      <c r="F173" s="1346"/>
      <c r="G173" s="1341"/>
      <c r="H173" s="1341"/>
    </row>
    <row r="174" spans="1:9" ht="20.25" customHeight="1">
      <c r="A174" s="1368">
        <v>41548</v>
      </c>
      <c r="B174" s="1370">
        <v>1</v>
      </c>
      <c r="C174" s="1371">
        <v>1.1000000000000001</v>
      </c>
      <c r="D174" s="1375">
        <v>2.4</v>
      </c>
      <c r="E174" s="1345"/>
      <c r="F174" s="1346"/>
      <c r="G174" s="1341"/>
      <c r="H174" s="1341"/>
    </row>
    <row r="175" spans="1:9" ht="20.25" customHeight="1">
      <c r="A175" s="1368">
        <v>41579</v>
      </c>
      <c r="B175" s="1370">
        <v>9</v>
      </c>
      <c r="C175" s="1371">
        <v>339.8</v>
      </c>
      <c r="D175" s="1375" t="s">
        <v>1017</v>
      </c>
      <c r="E175" s="1345"/>
      <c r="F175" s="1346"/>
      <c r="G175" s="1341"/>
      <c r="H175" s="1341"/>
    </row>
    <row r="176" spans="1:9" ht="20.25" customHeight="1">
      <c r="A176" s="1368">
        <v>41609</v>
      </c>
      <c r="B176" s="1370">
        <v>16</v>
      </c>
      <c r="C176" s="1371">
        <v>110.7</v>
      </c>
      <c r="D176" s="1375" t="s">
        <v>1018</v>
      </c>
      <c r="E176" s="1345"/>
      <c r="F176" s="1346"/>
      <c r="G176" s="1341"/>
      <c r="H176" s="1341"/>
    </row>
    <row r="177" spans="1:8" ht="20.25" customHeight="1">
      <c r="A177" s="1368">
        <v>41640</v>
      </c>
      <c r="B177" s="1370">
        <v>11</v>
      </c>
      <c r="C177" s="1371">
        <v>430.6</v>
      </c>
      <c r="D177" s="1375" t="s">
        <v>1019</v>
      </c>
      <c r="E177" s="1345"/>
      <c r="F177" s="1346"/>
      <c r="G177" s="1341"/>
      <c r="H177" s="1341"/>
    </row>
    <row r="178" spans="1:8" ht="20.25" customHeight="1">
      <c r="A178" s="1368">
        <v>41671</v>
      </c>
      <c r="B178" s="1370">
        <v>17</v>
      </c>
      <c r="C178" s="1371">
        <v>527.20000000000005</v>
      </c>
      <c r="D178" s="1375" t="s">
        <v>1020</v>
      </c>
      <c r="E178" s="1345"/>
      <c r="F178" s="1346"/>
      <c r="G178" s="1341"/>
      <c r="H178" s="1341"/>
    </row>
    <row r="179" spans="1:8" ht="20.25" customHeight="1">
      <c r="A179" s="1368">
        <v>41699</v>
      </c>
      <c r="B179" s="1370">
        <v>8</v>
      </c>
      <c r="C179" s="1371">
        <v>830</v>
      </c>
      <c r="D179" s="1375" t="s">
        <v>1021</v>
      </c>
      <c r="E179" s="1345"/>
      <c r="F179" s="1346"/>
      <c r="G179" s="1341"/>
      <c r="H179" s="1341"/>
    </row>
    <row r="180" spans="1:8" ht="20.25" customHeight="1">
      <c r="A180" s="1368">
        <v>41730</v>
      </c>
      <c r="B180" s="1370">
        <v>30</v>
      </c>
      <c r="C180" s="1376">
        <v>1546.4</v>
      </c>
      <c r="D180" s="1375" t="s">
        <v>1022</v>
      </c>
      <c r="E180" s="1345"/>
      <c r="F180" s="1346"/>
      <c r="G180" s="1341"/>
      <c r="H180" s="1341"/>
    </row>
    <row r="181" spans="1:8" ht="20.25" customHeight="1">
      <c r="A181" s="1368">
        <v>41760</v>
      </c>
      <c r="B181" s="1370">
        <v>15</v>
      </c>
      <c r="C181" s="1376">
        <v>1237.7</v>
      </c>
      <c r="D181" s="1375" t="s">
        <v>1023</v>
      </c>
      <c r="E181" s="1345"/>
      <c r="F181" s="1346"/>
      <c r="G181" s="1341"/>
      <c r="H181" s="1341"/>
    </row>
    <row r="182" spans="1:8" ht="20.25" customHeight="1">
      <c r="A182" s="1368">
        <v>41791</v>
      </c>
      <c r="B182" s="1370">
        <v>20</v>
      </c>
      <c r="C182" s="1376">
        <f>1556.3+8.1</f>
        <v>1564.3999999999999</v>
      </c>
      <c r="D182" s="1375" t="s">
        <v>1024</v>
      </c>
      <c r="E182" s="1345"/>
      <c r="F182" s="1346"/>
      <c r="G182" s="1341"/>
      <c r="H182" s="1341"/>
    </row>
    <row r="183" spans="1:8" ht="20.25" customHeight="1" thickBot="1">
      <c r="A183" s="1377">
        <v>41821</v>
      </c>
      <c r="B183" s="1335">
        <v>30</v>
      </c>
      <c r="C183" s="1378">
        <v>1580.2</v>
      </c>
      <c r="D183" s="1379" t="s">
        <v>874</v>
      </c>
      <c r="E183" s="1345"/>
      <c r="F183" s="1346"/>
      <c r="G183" s="1341"/>
      <c r="H183" s="1341"/>
    </row>
    <row r="184" spans="1:8" ht="13.5" customHeight="1">
      <c r="A184" s="1380"/>
      <c r="B184" s="1380"/>
      <c r="C184" s="1380"/>
      <c r="D184" s="1381"/>
      <c r="E184" s="1345"/>
      <c r="F184" s="1346"/>
      <c r="G184" s="1341"/>
      <c r="H184" s="1341"/>
    </row>
    <row r="185" spans="1:8" ht="13.5" customHeight="1">
      <c r="A185" s="1382" t="s">
        <v>1025</v>
      </c>
      <c r="B185" s="1380"/>
      <c r="C185" s="1380"/>
      <c r="D185" s="1381"/>
      <c r="E185" s="1345"/>
      <c r="F185" s="1346"/>
      <c r="G185" s="1341"/>
      <c r="H185" s="1341"/>
    </row>
    <row r="186" spans="1:8" ht="15" customHeight="1">
      <c r="A186" s="1342" t="s">
        <v>655</v>
      </c>
      <c r="B186" s="1343"/>
      <c r="C186" s="1343"/>
      <c r="D186" s="1344"/>
      <c r="E186" s="1345"/>
      <c r="F186" s="1346"/>
      <c r="G186" s="1341"/>
      <c r="H186" s="1341"/>
    </row>
    <row r="187" spans="1:8" ht="18" customHeight="1">
      <c r="F187" s="1383" t="s">
        <v>28</v>
      </c>
      <c r="G187" s="1318"/>
      <c r="H187" s="1384"/>
    </row>
    <row r="188" spans="1:8">
      <c r="E188" s="1383"/>
      <c r="F188" s="1383"/>
      <c r="G188" s="1383"/>
      <c r="H188" s="1383"/>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L22" sqref="L22"/>
    </sheetView>
  </sheetViews>
  <sheetFormatPr defaultColWidth="11.42578125" defaultRowHeight="12.75"/>
  <cols>
    <col min="1" max="1" width="14.85546875" style="1394" customWidth="1"/>
    <col min="2" max="3" width="12.5703125" style="1394" customWidth="1"/>
    <col min="4" max="4" width="12.140625" style="1394" customWidth="1"/>
    <col min="5" max="5" width="14" style="1394" bestFit="1" customWidth="1"/>
    <col min="6" max="6" width="13.5703125" style="1394" bestFit="1" customWidth="1"/>
    <col min="7" max="7" width="10.5703125" style="1394" bestFit="1" customWidth="1"/>
    <col min="8" max="8" width="11.85546875" style="1394" bestFit="1" customWidth="1"/>
    <col min="9" max="9" width="5.7109375" style="1394" customWidth="1"/>
    <col min="10" max="10" width="11.42578125" style="1394" customWidth="1"/>
    <col min="11" max="20" width="11.42578125" style="1389" customWidth="1"/>
    <col min="21" max="256" width="11.42578125" style="1394"/>
    <col min="257" max="257" width="14.85546875" style="1394" customWidth="1"/>
    <col min="258" max="259" width="12.5703125" style="1394" customWidth="1"/>
    <col min="260" max="260" width="12.140625" style="1394" customWidth="1"/>
    <col min="261" max="261" width="14" style="1394" bestFit="1" customWidth="1"/>
    <col min="262" max="262" width="13.5703125" style="1394" bestFit="1" customWidth="1"/>
    <col min="263" max="263" width="10.5703125" style="1394" bestFit="1" customWidth="1"/>
    <col min="264" max="264" width="11.85546875" style="1394" bestFit="1" customWidth="1"/>
    <col min="265" max="265" width="5.7109375" style="1394" customWidth="1"/>
    <col min="266" max="276" width="11.42578125" style="1394" customWidth="1"/>
    <col min="277" max="512" width="11.42578125" style="1394"/>
    <col min="513" max="513" width="14.85546875" style="1394" customWidth="1"/>
    <col min="514" max="515" width="12.5703125" style="1394" customWidth="1"/>
    <col min="516" max="516" width="12.140625" style="1394" customWidth="1"/>
    <col min="517" max="517" width="14" style="1394" bestFit="1" customWidth="1"/>
    <col min="518" max="518" width="13.5703125" style="1394" bestFit="1" customWidth="1"/>
    <col min="519" max="519" width="10.5703125" style="1394" bestFit="1" customWidth="1"/>
    <col min="520" max="520" width="11.85546875" style="1394" bestFit="1" customWidth="1"/>
    <col min="521" max="521" width="5.7109375" style="1394" customWidth="1"/>
    <col min="522" max="532" width="11.42578125" style="1394" customWidth="1"/>
    <col min="533" max="768" width="11.42578125" style="1394"/>
    <col min="769" max="769" width="14.85546875" style="1394" customWidth="1"/>
    <col min="770" max="771" width="12.5703125" style="1394" customWidth="1"/>
    <col min="772" max="772" width="12.140625" style="1394" customWidth="1"/>
    <col min="773" max="773" width="14" style="1394" bestFit="1" customWidth="1"/>
    <col min="774" max="774" width="13.5703125" style="1394" bestFit="1" customWidth="1"/>
    <col min="775" max="775" width="10.5703125" style="1394" bestFit="1" customWidth="1"/>
    <col min="776" max="776" width="11.85546875" style="1394" bestFit="1" customWidth="1"/>
    <col min="777" max="777" width="5.7109375" style="1394" customWidth="1"/>
    <col min="778" max="788" width="11.42578125" style="1394" customWidth="1"/>
    <col min="789" max="1024" width="11.42578125" style="1394"/>
    <col min="1025" max="1025" width="14.85546875" style="1394" customWidth="1"/>
    <col min="1026" max="1027" width="12.5703125" style="1394" customWidth="1"/>
    <col min="1028" max="1028" width="12.140625" style="1394" customWidth="1"/>
    <col min="1029" max="1029" width="14" style="1394" bestFit="1" customWidth="1"/>
    <col min="1030" max="1030" width="13.5703125" style="1394" bestFit="1" customWidth="1"/>
    <col min="1031" max="1031" width="10.5703125" style="1394" bestFit="1" customWidth="1"/>
    <col min="1032" max="1032" width="11.85546875" style="1394" bestFit="1" customWidth="1"/>
    <col min="1033" max="1033" width="5.7109375" style="1394" customWidth="1"/>
    <col min="1034" max="1044" width="11.42578125" style="1394" customWidth="1"/>
    <col min="1045" max="1280" width="11.42578125" style="1394"/>
    <col min="1281" max="1281" width="14.85546875" style="1394" customWidth="1"/>
    <col min="1282" max="1283" width="12.5703125" style="1394" customWidth="1"/>
    <col min="1284" max="1284" width="12.140625" style="1394" customWidth="1"/>
    <col min="1285" max="1285" width="14" style="1394" bestFit="1" customWidth="1"/>
    <col min="1286" max="1286" width="13.5703125" style="1394" bestFit="1" customWidth="1"/>
    <col min="1287" max="1287" width="10.5703125" style="1394" bestFit="1" customWidth="1"/>
    <col min="1288" max="1288" width="11.85546875" style="1394" bestFit="1" customWidth="1"/>
    <col min="1289" max="1289" width="5.7109375" style="1394" customWidth="1"/>
    <col min="1290" max="1300" width="11.42578125" style="1394" customWidth="1"/>
    <col min="1301" max="1536" width="11.42578125" style="1394"/>
    <col min="1537" max="1537" width="14.85546875" style="1394" customWidth="1"/>
    <col min="1538" max="1539" width="12.5703125" style="1394" customWidth="1"/>
    <col min="1540" max="1540" width="12.140625" style="1394" customWidth="1"/>
    <col min="1541" max="1541" width="14" style="1394" bestFit="1" customWidth="1"/>
    <col min="1542" max="1542" width="13.5703125" style="1394" bestFit="1" customWidth="1"/>
    <col min="1543" max="1543" width="10.5703125" style="1394" bestFit="1" customWidth="1"/>
    <col min="1544" max="1544" width="11.85546875" style="1394" bestFit="1" customWidth="1"/>
    <col min="1545" max="1545" width="5.7109375" style="1394" customWidth="1"/>
    <col min="1546" max="1556" width="11.42578125" style="1394" customWidth="1"/>
    <col min="1557" max="1792" width="11.42578125" style="1394"/>
    <col min="1793" max="1793" width="14.85546875" style="1394" customWidth="1"/>
    <col min="1794" max="1795" width="12.5703125" style="1394" customWidth="1"/>
    <col min="1796" max="1796" width="12.140625" style="1394" customWidth="1"/>
    <col min="1797" max="1797" width="14" style="1394" bestFit="1" customWidth="1"/>
    <col min="1798" max="1798" width="13.5703125" style="1394" bestFit="1" customWidth="1"/>
    <col min="1799" max="1799" width="10.5703125" style="1394" bestFit="1" customWidth="1"/>
    <col min="1800" max="1800" width="11.85546875" style="1394" bestFit="1" customWidth="1"/>
    <col min="1801" max="1801" width="5.7109375" style="1394" customWidth="1"/>
    <col min="1802" max="1812" width="11.42578125" style="1394" customWidth="1"/>
    <col min="1813" max="2048" width="11.42578125" style="1394"/>
    <col min="2049" max="2049" width="14.85546875" style="1394" customWidth="1"/>
    <col min="2050" max="2051" width="12.5703125" style="1394" customWidth="1"/>
    <col min="2052" max="2052" width="12.140625" style="1394" customWidth="1"/>
    <col min="2053" max="2053" width="14" style="1394" bestFit="1" customWidth="1"/>
    <col min="2054" max="2054" width="13.5703125" style="1394" bestFit="1" customWidth="1"/>
    <col min="2055" max="2055" width="10.5703125" style="1394" bestFit="1" customWidth="1"/>
    <col min="2056" max="2056" width="11.85546875" style="1394" bestFit="1" customWidth="1"/>
    <col min="2057" max="2057" width="5.7109375" style="1394" customWidth="1"/>
    <col min="2058" max="2068" width="11.42578125" style="1394" customWidth="1"/>
    <col min="2069" max="2304" width="11.42578125" style="1394"/>
    <col min="2305" max="2305" width="14.85546875" style="1394" customWidth="1"/>
    <col min="2306" max="2307" width="12.5703125" style="1394" customWidth="1"/>
    <col min="2308" max="2308" width="12.140625" style="1394" customWidth="1"/>
    <col min="2309" max="2309" width="14" style="1394" bestFit="1" customWidth="1"/>
    <col min="2310" max="2310" width="13.5703125" style="1394" bestFit="1" customWidth="1"/>
    <col min="2311" max="2311" width="10.5703125" style="1394" bestFit="1" customWidth="1"/>
    <col min="2312" max="2312" width="11.85546875" style="1394" bestFit="1" customWidth="1"/>
    <col min="2313" max="2313" width="5.7109375" style="1394" customWidth="1"/>
    <col min="2314" max="2324" width="11.42578125" style="1394" customWidth="1"/>
    <col min="2325" max="2560" width="11.42578125" style="1394"/>
    <col min="2561" max="2561" width="14.85546875" style="1394" customWidth="1"/>
    <col min="2562" max="2563" width="12.5703125" style="1394" customWidth="1"/>
    <col min="2564" max="2564" width="12.140625" style="1394" customWidth="1"/>
    <col min="2565" max="2565" width="14" style="1394" bestFit="1" customWidth="1"/>
    <col min="2566" max="2566" width="13.5703125" style="1394" bestFit="1" customWidth="1"/>
    <col min="2567" max="2567" width="10.5703125" style="1394" bestFit="1" customWidth="1"/>
    <col min="2568" max="2568" width="11.85546875" style="1394" bestFit="1" customWidth="1"/>
    <col min="2569" max="2569" width="5.7109375" style="1394" customWidth="1"/>
    <col min="2570" max="2580" width="11.42578125" style="1394" customWidth="1"/>
    <col min="2581" max="2816" width="11.42578125" style="1394"/>
    <col min="2817" max="2817" width="14.85546875" style="1394" customWidth="1"/>
    <col min="2818" max="2819" width="12.5703125" style="1394" customWidth="1"/>
    <col min="2820" max="2820" width="12.140625" style="1394" customWidth="1"/>
    <col min="2821" max="2821" width="14" style="1394" bestFit="1" customWidth="1"/>
    <col min="2822" max="2822" width="13.5703125" style="1394" bestFit="1" customWidth="1"/>
    <col min="2823" max="2823" width="10.5703125" style="1394" bestFit="1" customWidth="1"/>
    <col min="2824" max="2824" width="11.85546875" style="1394" bestFit="1" customWidth="1"/>
    <col min="2825" max="2825" width="5.7109375" style="1394" customWidth="1"/>
    <col min="2826" max="2836" width="11.42578125" style="1394" customWidth="1"/>
    <col min="2837" max="3072" width="11.42578125" style="1394"/>
    <col min="3073" max="3073" width="14.85546875" style="1394" customWidth="1"/>
    <col min="3074" max="3075" width="12.5703125" style="1394" customWidth="1"/>
    <col min="3076" max="3076" width="12.140625" style="1394" customWidth="1"/>
    <col min="3077" max="3077" width="14" style="1394" bestFit="1" customWidth="1"/>
    <col min="3078" max="3078" width="13.5703125" style="1394" bestFit="1" customWidth="1"/>
    <col min="3079" max="3079" width="10.5703125" style="1394" bestFit="1" customWidth="1"/>
    <col min="3080" max="3080" width="11.85546875" style="1394" bestFit="1" customWidth="1"/>
    <col min="3081" max="3081" width="5.7109375" style="1394" customWidth="1"/>
    <col min="3082" max="3092" width="11.42578125" style="1394" customWidth="1"/>
    <col min="3093" max="3328" width="11.42578125" style="1394"/>
    <col min="3329" max="3329" width="14.85546875" style="1394" customWidth="1"/>
    <col min="3330" max="3331" width="12.5703125" style="1394" customWidth="1"/>
    <col min="3332" max="3332" width="12.140625" style="1394" customWidth="1"/>
    <col min="3333" max="3333" width="14" style="1394" bestFit="1" customWidth="1"/>
    <col min="3334" max="3334" width="13.5703125" style="1394" bestFit="1" customWidth="1"/>
    <col min="3335" max="3335" width="10.5703125" style="1394" bestFit="1" customWidth="1"/>
    <col min="3336" max="3336" width="11.85546875" style="1394" bestFit="1" customWidth="1"/>
    <col min="3337" max="3337" width="5.7109375" style="1394" customWidth="1"/>
    <col min="3338" max="3348" width="11.42578125" style="1394" customWidth="1"/>
    <col min="3349" max="3584" width="11.42578125" style="1394"/>
    <col min="3585" max="3585" width="14.85546875" style="1394" customWidth="1"/>
    <col min="3586" max="3587" width="12.5703125" style="1394" customWidth="1"/>
    <col min="3588" max="3588" width="12.140625" style="1394" customWidth="1"/>
    <col min="3589" max="3589" width="14" style="1394" bestFit="1" customWidth="1"/>
    <col min="3590" max="3590" width="13.5703125" style="1394" bestFit="1" customWidth="1"/>
    <col min="3591" max="3591" width="10.5703125" style="1394" bestFit="1" customWidth="1"/>
    <col min="3592" max="3592" width="11.85546875" style="1394" bestFit="1" customWidth="1"/>
    <col min="3593" max="3593" width="5.7109375" style="1394" customWidth="1"/>
    <col min="3594" max="3604" width="11.42578125" style="1394" customWidth="1"/>
    <col min="3605" max="3840" width="11.42578125" style="1394"/>
    <col min="3841" max="3841" width="14.85546875" style="1394" customWidth="1"/>
    <col min="3842" max="3843" width="12.5703125" style="1394" customWidth="1"/>
    <col min="3844" max="3844" width="12.140625" style="1394" customWidth="1"/>
    <col min="3845" max="3845" width="14" style="1394" bestFit="1" customWidth="1"/>
    <col min="3846" max="3846" width="13.5703125" style="1394" bestFit="1" customWidth="1"/>
    <col min="3847" max="3847" width="10.5703125" style="1394" bestFit="1" customWidth="1"/>
    <col min="3848" max="3848" width="11.85546875" style="1394" bestFit="1" customWidth="1"/>
    <col min="3849" max="3849" width="5.7109375" style="1394" customWidth="1"/>
    <col min="3850" max="3860" width="11.42578125" style="1394" customWidth="1"/>
    <col min="3861" max="4096" width="11.42578125" style="1394"/>
    <col min="4097" max="4097" width="14.85546875" style="1394" customWidth="1"/>
    <col min="4098" max="4099" width="12.5703125" style="1394" customWidth="1"/>
    <col min="4100" max="4100" width="12.140625" style="1394" customWidth="1"/>
    <col min="4101" max="4101" width="14" style="1394" bestFit="1" customWidth="1"/>
    <col min="4102" max="4102" width="13.5703125" style="1394" bestFit="1" customWidth="1"/>
    <col min="4103" max="4103" width="10.5703125" style="1394" bestFit="1" customWidth="1"/>
    <col min="4104" max="4104" width="11.85546875" style="1394" bestFit="1" customWidth="1"/>
    <col min="4105" max="4105" width="5.7109375" style="1394" customWidth="1"/>
    <col min="4106" max="4116" width="11.42578125" style="1394" customWidth="1"/>
    <col min="4117" max="4352" width="11.42578125" style="1394"/>
    <col min="4353" max="4353" width="14.85546875" style="1394" customWidth="1"/>
    <col min="4354" max="4355" width="12.5703125" style="1394" customWidth="1"/>
    <col min="4356" max="4356" width="12.140625" style="1394" customWidth="1"/>
    <col min="4357" max="4357" width="14" style="1394" bestFit="1" customWidth="1"/>
    <col min="4358" max="4358" width="13.5703125" style="1394" bestFit="1" customWidth="1"/>
    <col min="4359" max="4359" width="10.5703125" style="1394" bestFit="1" customWidth="1"/>
    <col min="4360" max="4360" width="11.85546875" style="1394" bestFit="1" customWidth="1"/>
    <col min="4361" max="4361" width="5.7109375" style="1394" customWidth="1"/>
    <col min="4362" max="4372" width="11.42578125" style="1394" customWidth="1"/>
    <col min="4373" max="4608" width="11.42578125" style="1394"/>
    <col min="4609" max="4609" width="14.85546875" style="1394" customWidth="1"/>
    <col min="4610" max="4611" width="12.5703125" style="1394" customWidth="1"/>
    <col min="4612" max="4612" width="12.140625" style="1394" customWidth="1"/>
    <col min="4613" max="4613" width="14" style="1394" bestFit="1" customWidth="1"/>
    <col min="4614" max="4614" width="13.5703125" style="1394" bestFit="1" customWidth="1"/>
    <col min="4615" max="4615" width="10.5703125" style="1394" bestFit="1" customWidth="1"/>
    <col min="4616" max="4616" width="11.85546875" style="1394" bestFit="1" customWidth="1"/>
    <col min="4617" max="4617" width="5.7109375" style="1394" customWidth="1"/>
    <col min="4618" max="4628" width="11.42578125" style="1394" customWidth="1"/>
    <col min="4629" max="4864" width="11.42578125" style="1394"/>
    <col min="4865" max="4865" width="14.85546875" style="1394" customWidth="1"/>
    <col min="4866" max="4867" width="12.5703125" style="1394" customWidth="1"/>
    <col min="4868" max="4868" width="12.140625" style="1394" customWidth="1"/>
    <col min="4869" max="4869" width="14" style="1394" bestFit="1" customWidth="1"/>
    <col min="4870" max="4870" width="13.5703125" style="1394" bestFit="1" customWidth="1"/>
    <col min="4871" max="4871" width="10.5703125" style="1394" bestFit="1" customWidth="1"/>
    <col min="4872" max="4872" width="11.85546875" style="1394" bestFit="1" customWidth="1"/>
    <col min="4873" max="4873" width="5.7109375" style="1394" customWidth="1"/>
    <col min="4874" max="4884" width="11.42578125" style="1394" customWidth="1"/>
    <col min="4885" max="5120" width="11.42578125" style="1394"/>
    <col min="5121" max="5121" width="14.85546875" style="1394" customWidth="1"/>
    <col min="5122" max="5123" width="12.5703125" style="1394" customWidth="1"/>
    <col min="5124" max="5124" width="12.140625" style="1394" customWidth="1"/>
    <col min="5125" max="5125" width="14" style="1394" bestFit="1" customWidth="1"/>
    <col min="5126" max="5126" width="13.5703125" style="1394" bestFit="1" customWidth="1"/>
    <col min="5127" max="5127" width="10.5703125" style="1394" bestFit="1" customWidth="1"/>
    <col min="5128" max="5128" width="11.85546875" style="1394" bestFit="1" customWidth="1"/>
    <col min="5129" max="5129" width="5.7109375" style="1394" customWidth="1"/>
    <col min="5130" max="5140" width="11.42578125" style="1394" customWidth="1"/>
    <col min="5141" max="5376" width="11.42578125" style="1394"/>
    <col min="5377" max="5377" width="14.85546875" style="1394" customWidth="1"/>
    <col min="5378" max="5379" width="12.5703125" style="1394" customWidth="1"/>
    <col min="5380" max="5380" width="12.140625" style="1394" customWidth="1"/>
    <col min="5381" max="5381" width="14" style="1394" bestFit="1" customWidth="1"/>
    <col min="5382" max="5382" width="13.5703125" style="1394" bestFit="1" customWidth="1"/>
    <col min="5383" max="5383" width="10.5703125" style="1394" bestFit="1" customWidth="1"/>
    <col min="5384" max="5384" width="11.85546875" style="1394" bestFit="1" customWidth="1"/>
    <col min="5385" max="5385" width="5.7109375" style="1394" customWidth="1"/>
    <col min="5386" max="5396" width="11.42578125" style="1394" customWidth="1"/>
    <col min="5397" max="5632" width="11.42578125" style="1394"/>
    <col min="5633" max="5633" width="14.85546875" style="1394" customWidth="1"/>
    <col min="5634" max="5635" width="12.5703125" style="1394" customWidth="1"/>
    <col min="5636" max="5636" width="12.140625" style="1394" customWidth="1"/>
    <col min="5637" max="5637" width="14" style="1394" bestFit="1" customWidth="1"/>
    <col min="5638" max="5638" width="13.5703125" style="1394" bestFit="1" customWidth="1"/>
    <col min="5639" max="5639" width="10.5703125" style="1394" bestFit="1" customWidth="1"/>
    <col min="5640" max="5640" width="11.85546875" style="1394" bestFit="1" customWidth="1"/>
    <col min="5641" max="5641" width="5.7109375" style="1394" customWidth="1"/>
    <col min="5642" max="5652" width="11.42578125" style="1394" customWidth="1"/>
    <col min="5653" max="5888" width="11.42578125" style="1394"/>
    <col min="5889" max="5889" width="14.85546875" style="1394" customWidth="1"/>
    <col min="5890" max="5891" width="12.5703125" style="1394" customWidth="1"/>
    <col min="5892" max="5892" width="12.140625" style="1394" customWidth="1"/>
    <col min="5893" max="5893" width="14" style="1394" bestFit="1" customWidth="1"/>
    <col min="5894" max="5894" width="13.5703125" style="1394" bestFit="1" customWidth="1"/>
    <col min="5895" max="5895" width="10.5703125" style="1394" bestFit="1" customWidth="1"/>
    <col min="5896" max="5896" width="11.85546875" style="1394" bestFit="1" customWidth="1"/>
    <col min="5897" max="5897" width="5.7109375" style="1394" customWidth="1"/>
    <col min="5898" max="5908" width="11.42578125" style="1394" customWidth="1"/>
    <col min="5909" max="6144" width="11.42578125" style="1394"/>
    <col min="6145" max="6145" width="14.85546875" style="1394" customWidth="1"/>
    <col min="6146" max="6147" width="12.5703125" style="1394" customWidth="1"/>
    <col min="6148" max="6148" width="12.140625" style="1394" customWidth="1"/>
    <col min="6149" max="6149" width="14" style="1394" bestFit="1" customWidth="1"/>
    <col min="6150" max="6150" width="13.5703125" style="1394" bestFit="1" customWidth="1"/>
    <col min="6151" max="6151" width="10.5703125" style="1394" bestFit="1" customWidth="1"/>
    <col min="6152" max="6152" width="11.85546875" style="1394" bestFit="1" customWidth="1"/>
    <col min="6153" max="6153" width="5.7109375" style="1394" customWidth="1"/>
    <col min="6154" max="6164" width="11.42578125" style="1394" customWidth="1"/>
    <col min="6165" max="6400" width="11.42578125" style="1394"/>
    <col min="6401" max="6401" width="14.85546875" style="1394" customWidth="1"/>
    <col min="6402" max="6403" width="12.5703125" style="1394" customWidth="1"/>
    <col min="6404" max="6404" width="12.140625" style="1394" customWidth="1"/>
    <col min="6405" max="6405" width="14" style="1394" bestFit="1" customWidth="1"/>
    <col min="6406" max="6406" width="13.5703125" style="1394" bestFit="1" customWidth="1"/>
    <col min="6407" max="6407" width="10.5703125" style="1394" bestFit="1" customWidth="1"/>
    <col min="6408" max="6408" width="11.85546875" style="1394" bestFit="1" customWidth="1"/>
    <col min="6409" max="6409" width="5.7109375" style="1394" customWidth="1"/>
    <col min="6410" max="6420" width="11.42578125" style="1394" customWidth="1"/>
    <col min="6421" max="6656" width="11.42578125" style="1394"/>
    <col min="6657" max="6657" width="14.85546875" style="1394" customWidth="1"/>
    <col min="6658" max="6659" width="12.5703125" style="1394" customWidth="1"/>
    <col min="6660" max="6660" width="12.140625" style="1394" customWidth="1"/>
    <col min="6661" max="6661" width="14" style="1394" bestFit="1" customWidth="1"/>
    <col min="6662" max="6662" width="13.5703125" style="1394" bestFit="1" customWidth="1"/>
    <col min="6663" max="6663" width="10.5703125" style="1394" bestFit="1" customWidth="1"/>
    <col min="6664" max="6664" width="11.85546875" style="1394" bestFit="1" customWidth="1"/>
    <col min="6665" max="6665" width="5.7109375" style="1394" customWidth="1"/>
    <col min="6666" max="6676" width="11.42578125" style="1394" customWidth="1"/>
    <col min="6677" max="6912" width="11.42578125" style="1394"/>
    <col min="6913" max="6913" width="14.85546875" style="1394" customWidth="1"/>
    <col min="6914" max="6915" width="12.5703125" style="1394" customWidth="1"/>
    <col min="6916" max="6916" width="12.140625" style="1394" customWidth="1"/>
    <col min="6917" max="6917" width="14" style="1394" bestFit="1" customWidth="1"/>
    <col min="6918" max="6918" width="13.5703125" style="1394" bestFit="1" customWidth="1"/>
    <col min="6919" max="6919" width="10.5703125" style="1394" bestFit="1" customWidth="1"/>
    <col min="6920" max="6920" width="11.85546875" style="1394" bestFit="1" customWidth="1"/>
    <col min="6921" max="6921" width="5.7109375" style="1394" customWidth="1"/>
    <col min="6922" max="6932" width="11.42578125" style="1394" customWidth="1"/>
    <col min="6933" max="7168" width="11.42578125" style="1394"/>
    <col min="7169" max="7169" width="14.85546875" style="1394" customWidth="1"/>
    <col min="7170" max="7171" width="12.5703125" style="1394" customWidth="1"/>
    <col min="7172" max="7172" width="12.140625" style="1394" customWidth="1"/>
    <col min="7173" max="7173" width="14" style="1394" bestFit="1" customWidth="1"/>
    <col min="7174" max="7174" width="13.5703125" style="1394" bestFit="1" customWidth="1"/>
    <col min="7175" max="7175" width="10.5703125" style="1394" bestFit="1" customWidth="1"/>
    <col min="7176" max="7176" width="11.85546875" style="1394" bestFit="1" customWidth="1"/>
    <col min="7177" max="7177" width="5.7109375" style="1394" customWidth="1"/>
    <col min="7178" max="7188" width="11.42578125" style="1394" customWidth="1"/>
    <col min="7189" max="7424" width="11.42578125" style="1394"/>
    <col min="7425" max="7425" width="14.85546875" style="1394" customWidth="1"/>
    <col min="7426" max="7427" width="12.5703125" style="1394" customWidth="1"/>
    <col min="7428" max="7428" width="12.140625" style="1394" customWidth="1"/>
    <col min="7429" max="7429" width="14" style="1394" bestFit="1" customWidth="1"/>
    <col min="7430" max="7430" width="13.5703125" style="1394" bestFit="1" customWidth="1"/>
    <col min="7431" max="7431" width="10.5703125" style="1394" bestFit="1" customWidth="1"/>
    <col min="7432" max="7432" width="11.85546875" style="1394" bestFit="1" customWidth="1"/>
    <col min="7433" max="7433" width="5.7109375" style="1394" customWidth="1"/>
    <col min="7434" max="7444" width="11.42578125" style="1394" customWidth="1"/>
    <col min="7445" max="7680" width="11.42578125" style="1394"/>
    <col min="7681" max="7681" width="14.85546875" style="1394" customWidth="1"/>
    <col min="7682" max="7683" width="12.5703125" style="1394" customWidth="1"/>
    <col min="7684" max="7684" width="12.140625" style="1394" customWidth="1"/>
    <col min="7685" max="7685" width="14" style="1394" bestFit="1" customWidth="1"/>
    <col min="7686" max="7686" width="13.5703125" style="1394" bestFit="1" customWidth="1"/>
    <col min="7687" max="7687" width="10.5703125" style="1394" bestFit="1" customWidth="1"/>
    <col min="7688" max="7688" width="11.85546875" style="1394" bestFit="1" customWidth="1"/>
    <col min="7689" max="7689" width="5.7109375" style="1394" customWidth="1"/>
    <col min="7690" max="7700" width="11.42578125" style="1394" customWidth="1"/>
    <col min="7701" max="7936" width="11.42578125" style="1394"/>
    <col min="7937" max="7937" width="14.85546875" style="1394" customWidth="1"/>
    <col min="7938" max="7939" width="12.5703125" style="1394" customWidth="1"/>
    <col min="7940" max="7940" width="12.140625" style="1394" customWidth="1"/>
    <col min="7941" max="7941" width="14" style="1394" bestFit="1" customWidth="1"/>
    <col min="7942" max="7942" width="13.5703125" style="1394" bestFit="1" customWidth="1"/>
    <col min="7943" max="7943" width="10.5703125" style="1394" bestFit="1" customWidth="1"/>
    <col min="7944" max="7944" width="11.85546875" style="1394" bestFit="1" customWidth="1"/>
    <col min="7945" max="7945" width="5.7109375" style="1394" customWidth="1"/>
    <col min="7946" max="7956" width="11.42578125" style="1394" customWidth="1"/>
    <col min="7957" max="8192" width="11.42578125" style="1394"/>
    <col min="8193" max="8193" width="14.85546875" style="1394" customWidth="1"/>
    <col min="8194" max="8195" width="12.5703125" style="1394" customWidth="1"/>
    <col min="8196" max="8196" width="12.140625" style="1394" customWidth="1"/>
    <col min="8197" max="8197" width="14" style="1394" bestFit="1" customWidth="1"/>
    <col min="8198" max="8198" width="13.5703125" style="1394" bestFit="1" customWidth="1"/>
    <col min="8199" max="8199" width="10.5703125" style="1394" bestFit="1" customWidth="1"/>
    <col min="8200" max="8200" width="11.85546875" style="1394" bestFit="1" customWidth="1"/>
    <col min="8201" max="8201" width="5.7109375" style="1394" customWidth="1"/>
    <col min="8202" max="8212" width="11.42578125" style="1394" customWidth="1"/>
    <col min="8213" max="8448" width="11.42578125" style="1394"/>
    <col min="8449" max="8449" width="14.85546875" style="1394" customWidth="1"/>
    <col min="8450" max="8451" width="12.5703125" style="1394" customWidth="1"/>
    <col min="8452" max="8452" width="12.140625" style="1394" customWidth="1"/>
    <col min="8453" max="8453" width="14" style="1394" bestFit="1" customWidth="1"/>
    <col min="8454" max="8454" width="13.5703125" style="1394" bestFit="1" customWidth="1"/>
    <col min="8455" max="8455" width="10.5703125" style="1394" bestFit="1" customWidth="1"/>
    <col min="8456" max="8456" width="11.85546875" style="1394" bestFit="1" customWidth="1"/>
    <col min="8457" max="8457" width="5.7109375" style="1394" customWidth="1"/>
    <col min="8458" max="8468" width="11.42578125" style="1394" customWidth="1"/>
    <col min="8469" max="8704" width="11.42578125" style="1394"/>
    <col min="8705" max="8705" width="14.85546875" style="1394" customWidth="1"/>
    <col min="8706" max="8707" width="12.5703125" style="1394" customWidth="1"/>
    <col min="8708" max="8708" width="12.140625" style="1394" customWidth="1"/>
    <col min="8709" max="8709" width="14" style="1394" bestFit="1" customWidth="1"/>
    <col min="8710" max="8710" width="13.5703125" style="1394" bestFit="1" customWidth="1"/>
    <col min="8711" max="8711" width="10.5703125" style="1394" bestFit="1" customWidth="1"/>
    <col min="8712" max="8712" width="11.85546875" style="1394" bestFit="1" customWidth="1"/>
    <col min="8713" max="8713" width="5.7109375" style="1394" customWidth="1"/>
    <col min="8714" max="8724" width="11.42578125" style="1394" customWidth="1"/>
    <col min="8725" max="8960" width="11.42578125" style="1394"/>
    <col min="8961" max="8961" width="14.85546875" style="1394" customWidth="1"/>
    <col min="8962" max="8963" width="12.5703125" style="1394" customWidth="1"/>
    <col min="8964" max="8964" width="12.140625" style="1394" customWidth="1"/>
    <col min="8965" max="8965" width="14" style="1394" bestFit="1" customWidth="1"/>
    <col min="8966" max="8966" width="13.5703125" style="1394" bestFit="1" customWidth="1"/>
    <col min="8967" max="8967" width="10.5703125" style="1394" bestFit="1" customWidth="1"/>
    <col min="8968" max="8968" width="11.85546875" style="1394" bestFit="1" customWidth="1"/>
    <col min="8969" max="8969" width="5.7109375" style="1394" customWidth="1"/>
    <col min="8970" max="8980" width="11.42578125" style="1394" customWidth="1"/>
    <col min="8981" max="9216" width="11.42578125" style="1394"/>
    <col min="9217" max="9217" width="14.85546875" style="1394" customWidth="1"/>
    <col min="9218" max="9219" width="12.5703125" style="1394" customWidth="1"/>
    <col min="9220" max="9220" width="12.140625" style="1394" customWidth="1"/>
    <col min="9221" max="9221" width="14" style="1394" bestFit="1" customWidth="1"/>
    <col min="9222" max="9222" width="13.5703125" style="1394" bestFit="1" customWidth="1"/>
    <col min="9223" max="9223" width="10.5703125" style="1394" bestFit="1" customWidth="1"/>
    <col min="9224" max="9224" width="11.85546875" style="1394" bestFit="1" customWidth="1"/>
    <col min="9225" max="9225" width="5.7109375" style="1394" customWidth="1"/>
    <col min="9226" max="9236" width="11.42578125" style="1394" customWidth="1"/>
    <col min="9237" max="9472" width="11.42578125" style="1394"/>
    <col min="9473" max="9473" width="14.85546875" style="1394" customWidth="1"/>
    <col min="9474" max="9475" width="12.5703125" style="1394" customWidth="1"/>
    <col min="9476" max="9476" width="12.140625" style="1394" customWidth="1"/>
    <col min="9477" max="9477" width="14" style="1394" bestFit="1" customWidth="1"/>
    <col min="9478" max="9478" width="13.5703125" style="1394" bestFit="1" customWidth="1"/>
    <col min="9479" max="9479" width="10.5703125" style="1394" bestFit="1" customWidth="1"/>
    <col min="9480" max="9480" width="11.85546875" style="1394" bestFit="1" customWidth="1"/>
    <col min="9481" max="9481" width="5.7109375" style="1394" customWidth="1"/>
    <col min="9482" max="9492" width="11.42578125" style="1394" customWidth="1"/>
    <col min="9493" max="9728" width="11.42578125" style="1394"/>
    <col min="9729" max="9729" width="14.85546875" style="1394" customWidth="1"/>
    <col min="9730" max="9731" width="12.5703125" style="1394" customWidth="1"/>
    <col min="9732" max="9732" width="12.140625" style="1394" customWidth="1"/>
    <col min="9733" max="9733" width="14" style="1394" bestFit="1" customWidth="1"/>
    <col min="9734" max="9734" width="13.5703125" style="1394" bestFit="1" customWidth="1"/>
    <col min="9735" max="9735" width="10.5703125" style="1394" bestFit="1" customWidth="1"/>
    <col min="9736" max="9736" width="11.85546875" style="1394" bestFit="1" customWidth="1"/>
    <col min="9737" max="9737" width="5.7109375" style="1394" customWidth="1"/>
    <col min="9738" max="9748" width="11.42578125" style="1394" customWidth="1"/>
    <col min="9749" max="9984" width="11.42578125" style="1394"/>
    <col min="9985" max="9985" width="14.85546875" style="1394" customWidth="1"/>
    <col min="9986" max="9987" width="12.5703125" style="1394" customWidth="1"/>
    <col min="9988" max="9988" width="12.140625" style="1394" customWidth="1"/>
    <col min="9989" max="9989" width="14" style="1394" bestFit="1" customWidth="1"/>
    <col min="9990" max="9990" width="13.5703125" style="1394" bestFit="1" customWidth="1"/>
    <col min="9991" max="9991" width="10.5703125" style="1394" bestFit="1" customWidth="1"/>
    <col min="9992" max="9992" width="11.85546875" style="1394" bestFit="1" customWidth="1"/>
    <col min="9993" max="9993" width="5.7109375" style="1394" customWidth="1"/>
    <col min="9994" max="10004" width="11.42578125" style="1394" customWidth="1"/>
    <col min="10005" max="10240" width="11.42578125" style="1394"/>
    <col min="10241" max="10241" width="14.85546875" style="1394" customWidth="1"/>
    <col min="10242" max="10243" width="12.5703125" style="1394" customWidth="1"/>
    <col min="10244" max="10244" width="12.140625" style="1394" customWidth="1"/>
    <col min="10245" max="10245" width="14" style="1394" bestFit="1" customWidth="1"/>
    <col min="10246" max="10246" width="13.5703125" style="1394" bestFit="1" customWidth="1"/>
    <col min="10247" max="10247" width="10.5703125" style="1394" bestFit="1" customWidth="1"/>
    <col min="10248" max="10248" width="11.85546875" style="1394" bestFit="1" customWidth="1"/>
    <col min="10249" max="10249" width="5.7109375" style="1394" customWidth="1"/>
    <col min="10250" max="10260" width="11.42578125" style="1394" customWidth="1"/>
    <col min="10261" max="10496" width="11.42578125" style="1394"/>
    <col min="10497" max="10497" width="14.85546875" style="1394" customWidth="1"/>
    <col min="10498" max="10499" width="12.5703125" style="1394" customWidth="1"/>
    <col min="10500" max="10500" width="12.140625" style="1394" customWidth="1"/>
    <col min="10501" max="10501" width="14" style="1394" bestFit="1" customWidth="1"/>
    <col min="10502" max="10502" width="13.5703125" style="1394" bestFit="1" customWidth="1"/>
    <col min="10503" max="10503" width="10.5703125" style="1394" bestFit="1" customWidth="1"/>
    <col min="10504" max="10504" width="11.85546875" style="1394" bestFit="1" customWidth="1"/>
    <col min="10505" max="10505" width="5.7109375" style="1394" customWidth="1"/>
    <col min="10506" max="10516" width="11.42578125" style="1394" customWidth="1"/>
    <col min="10517" max="10752" width="11.42578125" style="1394"/>
    <col min="10753" max="10753" width="14.85546875" style="1394" customWidth="1"/>
    <col min="10754" max="10755" width="12.5703125" style="1394" customWidth="1"/>
    <col min="10756" max="10756" width="12.140625" style="1394" customWidth="1"/>
    <col min="10757" max="10757" width="14" style="1394" bestFit="1" customWidth="1"/>
    <col min="10758" max="10758" width="13.5703125" style="1394" bestFit="1" customWidth="1"/>
    <col min="10759" max="10759" width="10.5703125" style="1394" bestFit="1" customWidth="1"/>
    <col min="10760" max="10760" width="11.85546875" style="1394" bestFit="1" customWidth="1"/>
    <col min="10761" max="10761" width="5.7109375" style="1394" customWidth="1"/>
    <col min="10762" max="10772" width="11.42578125" style="1394" customWidth="1"/>
    <col min="10773" max="11008" width="11.42578125" style="1394"/>
    <col min="11009" max="11009" width="14.85546875" style="1394" customWidth="1"/>
    <col min="11010" max="11011" width="12.5703125" style="1394" customWidth="1"/>
    <col min="11012" max="11012" width="12.140625" style="1394" customWidth="1"/>
    <col min="11013" max="11013" width="14" style="1394" bestFit="1" customWidth="1"/>
    <col min="11014" max="11014" width="13.5703125" style="1394" bestFit="1" customWidth="1"/>
    <col min="11015" max="11015" width="10.5703125" style="1394" bestFit="1" customWidth="1"/>
    <col min="11016" max="11016" width="11.85546875" style="1394" bestFit="1" customWidth="1"/>
    <col min="11017" max="11017" width="5.7109375" style="1394" customWidth="1"/>
    <col min="11018" max="11028" width="11.42578125" style="1394" customWidth="1"/>
    <col min="11029" max="11264" width="11.42578125" style="1394"/>
    <col min="11265" max="11265" width="14.85546875" style="1394" customWidth="1"/>
    <col min="11266" max="11267" width="12.5703125" style="1394" customWidth="1"/>
    <col min="11268" max="11268" width="12.140625" style="1394" customWidth="1"/>
    <col min="11269" max="11269" width="14" style="1394" bestFit="1" customWidth="1"/>
    <col min="11270" max="11270" width="13.5703125" style="1394" bestFit="1" customWidth="1"/>
    <col min="11271" max="11271" width="10.5703125" style="1394" bestFit="1" customWidth="1"/>
    <col min="11272" max="11272" width="11.85546875" style="1394" bestFit="1" customWidth="1"/>
    <col min="11273" max="11273" width="5.7109375" style="1394" customWidth="1"/>
    <col min="11274" max="11284" width="11.42578125" style="1394" customWidth="1"/>
    <col min="11285" max="11520" width="11.42578125" style="1394"/>
    <col min="11521" max="11521" width="14.85546875" style="1394" customWidth="1"/>
    <col min="11522" max="11523" width="12.5703125" style="1394" customWidth="1"/>
    <col min="11524" max="11524" width="12.140625" style="1394" customWidth="1"/>
    <col min="11525" max="11525" width="14" style="1394" bestFit="1" customWidth="1"/>
    <col min="11526" max="11526" width="13.5703125" style="1394" bestFit="1" customWidth="1"/>
    <col min="11527" max="11527" width="10.5703125" style="1394" bestFit="1" customWidth="1"/>
    <col min="11528" max="11528" width="11.85546875" style="1394" bestFit="1" customWidth="1"/>
    <col min="11529" max="11529" width="5.7109375" style="1394" customWidth="1"/>
    <col min="11530" max="11540" width="11.42578125" style="1394" customWidth="1"/>
    <col min="11541" max="11776" width="11.42578125" style="1394"/>
    <col min="11777" max="11777" width="14.85546875" style="1394" customWidth="1"/>
    <col min="11778" max="11779" width="12.5703125" style="1394" customWidth="1"/>
    <col min="11780" max="11780" width="12.140625" style="1394" customWidth="1"/>
    <col min="11781" max="11781" width="14" style="1394" bestFit="1" customWidth="1"/>
    <col min="11782" max="11782" width="13.5703125" style="1394" bestFit="1" customWidth="1"/>
    <col min="11783" max="11783" width="10.5703125" style="1394" bestFit="1" customWidth="1"/>
    <col min="11784" max="11784" width="11.85546875" style="1394" bestFit="1" customWidth="1"/>
    <col min="11785" max="11785" width="5.7109375" style="1394" customWidth="1"/>
    <col min="11786" max="11796" width="11.42578125" style="1394" customWidth="1"/>
    <col min="11797" max="12032" width="11.42578125" style="1394"/>
    <col min="12033" max="12033" width="14.85546875" style="1394" customWidth="1"/>
    <col min="12034" max="12035" width="12.5703125" style="1394" customWidth="1"/>
    <col min="12036" max="12036" width="12.140625" style="1394" customWidth="1"/>
    <col min="12037" max="12037" width="14" style="1394" bestFit="1" customWidth="1"/>
    <col min="12038" max="12038" width="13.5703125" style="1394" bestFit="1" customWidth="1"/>
    <col min="12039" max="12039" width="10.5703125" style="1394" bestFit="1" customWidth="1"/>
    <col min="12040" max="12040" width="11.85546875" style="1394" bestFit="1" customWidth="1"/>
    <col min="12041" max="12041" width="5.7109375" style="1394" customWidth="1"/>
    <col min="12042" max="12052" width="11.42578125" style="1394" customWidth="1"/>
    <col min="12053" max="12288" width="11.42578125" style="1394"/>
    <col min="12289" max="12289" width="14.85546875" style="1394" customWidth="1"/>
    <col min="12290" max="12291" width="12.5703125" style="1394" customWidth="1"/>
    <col min="12292" max="12292" width="12.140625" style="1394" customWidth="1"/>
    <col min="12293" max="12293" width="14" style="1394" bestFit="1" customWidth="1"/>
    <col min="12294" max="12294" width="13.5703125" style="1394" bestFit="1" customWidth="1"/>
    <col min="12295" max="12295" width="10.5703125" style="1394" bestFit="1" customWidth="1"/>
    <col min="12296" max="12296" width="11.85546875" style="1394" bestFit="1" customWidth="1"/>
    <col min="12297" max="12297" width="5.7109375" style="1394" customWidth="1"/>
    <col min="12298" max="12308" width="11.42578125" style="1394" customWidth="1"/>
    <col min="12309" max="12544" width="11.42578125" style="1394"/>
    <col min="12545" max="12545" width="14.85546875" style="1394" customWidth="1"/>
    <col min="12546" max="12547" width="12.5703125" style="1394" customWidth="1"/>
    <col min="12548" max="12548" width="12.140625" style="1394" customWidth="1"/>
    <col min="12549" max="12549" width="14" style="1394" bestFit="1" customWidth="1"/>
    <col min="12550" max="12550" width="13.5703125" style="1394" bestFit="1" customWidth="1"/>
    <col min="12551" max="12551" width="10.5703125" style="1394" bestFit="1" customWidth="1"/>
    <col min="12552" max="12552" width="11.85546875" style="1394" bestFit="1" customWidth="1"/>
    <col min="12553" max="12553" width="5.7109375" style="1394" customWidth="1"/>
    <col min="12554" max="12564" width="11.42578125" style="1394" customWidth="1"/>
    <col min="12565" max="12800" width="11.42578125" style="1394"/>
    <col min="12801" max="12801" width="14.85546875" style="1394" customWidth="1"/>
    <col min="12802" max="12803" width="12.5703125" style="1394" customWidth="1"/>
    <col min="12804" max="12804" width="12.140625" style="1394" customWidth="1"/>
    <col min="12805" max="12805" width="14" style="1394" bestFit="1" customWidth="1"/>
    <col min="12806" max="12806" width="13.5703125" style="1394" bestFit="1" customWidth="1"/>
    <col min="12807" max="12807" width="10.5703125" style="1394" bestFit="1" customWidth="1"/>
    <col min="12808" max="12808" width="11.85546875" style="1394" bestFit="1" customWidth="1"/>
    <col min="12809" max="12809" width="5.7109375" style="1394" customWidth="1"/>
    <col min="12810" max="12820" width="11.42578125" style="1394" customWidth="1"/>
    <col min="12821" max="13056" width="11.42578125" style="1394"/>
    <col min="13057" max="13057" width="14.85546875" style="1394" customWidth="1"/>
    <col min="13058" max="13059" width="12.5703125" style="1394" customWidth="1"/>
    <col min="13060" max="13060" width="12.140625" style="1394" customWidth="1"/>
    <col min="13061" max="13061" width="14" style="1394" bestFit="1" customWidth="1"/>
    <col min="13062" max="13062" width="13.5703125" style="1394" bestFit="1" customWidth="1"/>
    <col min="13063" max="13063" width="10.5703125" style="1394" bestFit="1" customWidth="1"/>
    <col min="13064" max="13064" width="11.85546875" style="1394" bestFit="1" customWidth="1"/>
    <col min="13065" max="13065" width="5.7109375" style="1394" customWidth="1"/>
    <col min="13066" max="13076" width="11.42578125" style="1394" customWidth="1"/>
    <col min="13077" max="13312" width="11.42578125" style="1394"/>
    <col min="13313" max="13313" width="14.85546875" style="1394" customWidth="1"/>
    <col min="13314" max="13315" width="12.5703125" style="1394" customWidth="1"/>
    <col min="13316" max="13316" width="12.140625" style="1394" customWidth="1"/>
    <col min="13317" max="13317" width="14" style="1394" bestFit="1" customWidth="1"/>
    <col min="13318" max="13318" width="13.5703125" style="1394" bestFit="1" customWidth="1"/>
    <col min="13319" max="13319" width="10.5703125" style="1394" bestFit="1" customWidth="1"/>
    <col min="13320" max="13320" width="11.85546875" style="1394" bestFit="1" customWidth="1"/>
    <col min="13321" max="13321" width="5.7109375" style="1394" customWidth="1"/>
    <col min="13322" max="13332" width="11.42578125" style="1394" customWidth="1"/>
    <col min="13333" max="13568" width="11.42578125" style="1394"/>
    <col min="13569" max="13569" width="14.85546875" style="1394" customWidth="1"/>
    <col min="13570" max="13571" width="12.5703125" style="1394" customWidth="1"/>
    <col min="13572" max="13572" width="12.140625" style="1394" customWidth="1"/>
    <col min="13573" max="13573" width="14" style="1394" bestFit="1" customWidth="1"/>
    <col min="13574" max="13574" width="13.5703125" style="1394" bestFit="1" customWidth="1"/>
    <col min="13575" max="13575" width="10.5703125" style="1394" bestFit="1" customWidth="1"/>
    <col min="13576" max="13576" width="11.85546875" style="1394" bestFit="1" customWidth="1"/>
    <col min="13577" max="13577" width="5.7109375" style="1394" customWidth="1"/>
    <col min="13578" max="13588" width="11.42578125" style="1394" customWidth="1"/>
    <col min="13589" max="13824" width="11.42578125" style="1394"/>
    <col min="13825" max="13825" width="14.85546875" style="1394" customWidth="1"/>
    <col min="13826" max="13827" width="12.5703125" style="1394" customWidth="1"/>
    <col min="13828" max="13828" width="12.140625" style="1394" customWidth="1"/>
    <col min="13829" max="13829" width="14" style="1394" bestFit="1" customWidth="1"/>
    <col min="13830" max="13830" width="13.5703125" style="1394" bestFit="1" customWidth="1"/>
    <col min="13831" max="13831" width="10.5703125" style="1394" bestFit="1" customWidth="1"/>
    <col min="13832" max="13832" width="11.85546875" style="1394" bestFit="1" customWidth="1"/>
    <col min="13833" max="13833" width="5.7109375" style="1394" customWidth="1"/>
    <col min="13834" max="13844" width="11.42578125" style="1394" customWidth="1"/>
    <col min="13845" max="14080" width="11.42578125" style="1394"/>
    <col min="14081" max="14081" width="14.85546875" style="1394" customWidth="1"/>
    <col min="14082" max="14083" width="12.5703125" style="1394" customWidth="1"/>
    <col min="14084" max="14084" width="12.140625" style="1394" customWidth="1"/>
    <col min="14085" max="14085" width="14" style="1394" bestFit="1" customWidth="1"/>
    <col min="14086" max="14086" width="13.5703125" style="1394" bestFit="1" customWidth="1"/>
    <col min="14087" max="14087" width="10.5703125" style="1394" bestFit="1" customWidth="1"/>
    <col min="14088" max="14088" width="11.85546875" style="1394" bestFit="1" customWidth="1"/>
    <col min="14089" max="14089" width="5.7109375" style="1394" customWidth="1"/>
    <col min="14090" max="14100" width="11.42578125" style="1394" customWidth="1"/>
    <col min="14101" max="14336" width="11.42578125" style="1394"/>
    <col min="14337" max="14337" width="14.85546875" style="1394" customWidth="1"/>
    <col min="14338" max="14339" width="12.5703125" style="1394" customWidth="1"/>
    <col min="14340" max="14340" width="12.140625" style="1394" customWidth="1"/>
    <col min="14341" max="14341" width="14" style="1394" bestFit="1" customWidth="1"/>
    <col min="14342" max="14342" width="13.5703125" style="1394" bestFit="1" customWidth="1"/>
    <col min="14343" max="14343" width="10.5703125" style="1394" bestFit="1" customWidth="1"/>
    <col min="14344" max="14344" width="11.85546875" style="1394" bestFit="1" customWidth="1"/>
    <col min="14345" max="14345" width="5.7109375" style="1394" customWidth="1"/>
    <col min="14346" max="14356" width="11.42578125" style="1394" customWidth="1"/>
    <col min="14357" max="14592" width="11.42578125" style="1394"/>
    <col min="14593" max="14593" width="14.85546875" style="1394" customWidth="1"/>
    <col min="14594" max="14595" width="12.5703125" style="1394" customWidth="1"/>
    <col min="14596" max="14596" width="12.140625" style="1394" customWidth="1"/>
    <col min="14597" max="14597" width="14" style="1394" bestFit="1" customWidth="1"/>
    <col min="14598" max="14598" width="13.5703125" style="1394" bestFit="1" customWidth="1"/>
    <col min="14599" max="14599" width="10.5703125" style="1394" bestFit="1" customWidth="1"/>
    <col min="14600" max="14600" width="11.85546875" style="1394" bestFit="1" customWidth="1"/>
    <col min="14601" max="14601" width="5.7109375" style="1394" customWidth="1"/>
    <col min="14602" max="14612" width="11.42578125" style="1394" customWidth="1"/>
    <col min="14613" max="14848" width="11.42578125" style="1394"/>
    <col min="14849" max="14849" width="14.85546875" style="1394" customWidth="1"/>
    <col min="14850" max="14851" width="12.5703125" style="1394" customWidth="1"/>
    <col min="14852" max="14852" width="12.140625" style="1394" customWidth="1"/>
    <col min="14853" max="14853" width="14" style="1394" bestFit="1" customWidth="1"/>
    <col min="14854" max="14854" width="13.5703125" style="1394" bestFit="1" customWidth="1"/>
    <col min="14855" max="14855" width="10.5703125" style="1394" bestFit="1" customWidth="1"/>
    <col min="14856" max="14856" width="11.85546875" style="1394" bestFit="1" customWidth="1"/>
    <col min="14857" max="14857" width="5.7109375" style="1394" customWidth="1"/>
    <col min="14858" max="14868" width="11.42578125" style="1394" customWidth="1"/>
    <col min="14869" max="15104" width="11.42578125" style="1394"/>
    <col min="15105" max="15105" width="14.85546875" style="1394" customWidth="1"/>
    <col min="15106" max="15107" width="12.5703125" style="1394" customWidth="1"/>
    <col min="15108" max="15108" width="12.140625" style="1394" customWidth="1"/>
    <col min="15109" max="15109" width="14" style="1394" bestFit="1" customWidth="1"/>
    <col min="15110" max="15110" width="13.5703125" style="1394" bestFit="1" customWidth="1"/>
    <col min="15111" max="15111" width="10.5703125" style="1394" bestFit="1" customWidth="1"/>
    <col min="15112" max="15112" width="11.85546875" style="1394" bestFit="1" customWidth="1"/>
    <col min="15113" max="15113" width="5.7109375" style="1394" customWidth="1"/>
    <col min="15114" max="15124" width="11.42578125" style="1394" customWidth="1"/>
    <col min="15125" max="15360" width="11.42578125" style="1394"/>
    <col min="15361" max="15361" width="14.85546875" style="1394" customWidth="1"/>
    <col min="15362" max="15363" width="12.5703125" style="1394" customWidth="1"/>
    <col min="15364" max="15364" width="12.140625" style="1394" customWidth="1"/>
    <col min="15365" max="15365" width="14" style="1394" bestFit="1" customWidth="1"/>
    <col min="15366" max="15366" width="13.5703125" style="1394" bestFit="1" customWidth="1"/>
    <col min="15367" max="15367" width="10.5703125" style="1394" bestFit="1" customWidth="1"/>
    <col min="15368" max="15368" width="11.85546875" style="1394" bestFit="1" customWidth="1"/>
    <col min="15369" max="15369" width="5.7109375" style="1394" customWidth="1"/>
    <col min="15370" max="15380" width="11.42578125" style="1394" customWidth="1"/>
    <col min="15381" max="15616" width="11.42578125" style="1394"/>
    <col min="15617" max="15617" width="14.85546875" style="1394" customWidth="1"/>
    <col min="15618" max="15619" width="12.5703125" style="1394" customWidth="1"/>
    <col min="15620" max="15620" width="12.140625" style="1394" customWidth="1"/>
    <col min="15621" max="15621" width="14" style="1394" bestFit="1" customWidth="1"/>
    <col min="15622" max="15622" width="13.5703125" style="1394" bestFit="1" customWidth="1"/>
    <col min="15623" max="15623" width="10.5703125" style="1394" bestFit="1" customWidth="1"/>
    <col min="15624" max="15624" width="11.85546875" style="1394" bestFit="1" customWidth="1"/>
    <col min="15625" max="15625" width="5.7109375" style="1394" customWidth="1"/>
    <col min="15626" max="15636" width="11.42578125" style="1394" customWidth="1"/>
    <col min="15637" max="15872" width="11.42578125" style="1394"/>
    <col min="15873" max="15873" width="14.85546875" style="1394" customWidth="1"/>
    <col min="15874" max="15875" width="12.5703125" style="1394" customWidth="1"/>
    <col min="15876" max="15876" width="12.140625" style="1394" customWidth="1"/>
    <col min="15877" max="15877" width="14" style="1394" bestFit="1" customWidth="1"/>
    <col min="15878" max="15878" width="13.5703125" style="1394" bestFit="1" customWidth="1"/>
    <col min="15879" max="15879" width="10.5703125" style="1394" bestFit="1" customWidth="1"/>
    <col min="15880" max="15880" width="11.85546875" style="1394" bestFit="1" customWidth="1"/>
    <col min="15881" max="15881" width="5.7109375" style="1394" customWidth="1"/>
    <col min="15882" max="15892" width="11.42578125" style="1394" customWidth="1"/>
    <col min="15893" max="16128" width="11.42578125" style="1394"/>
    <col min="16129" max="16129" width="14.85546875" style="1394" customWidth="1"/>
    <col min="16130" max="16131" width="12.5703125" style="1394" customWidth="1"/>
    <col min="16132" max="16132" width="12.140625" style="1394" customWidth="1"/>
    <col min="16133" max="16133" width="14" style="1394" bestFit="1" customWidth="1"/>
    <col min="16134" max="16134" width="13.5703125" style="1394" bestFit="1" customWidth="1"/>
    <col min="16135" max="16135" width="10.5703125" style="1394" bestFit="1" customWidth="1"/>
    <col min="16136" max="16136" width="11.85546875" style="1394" bestFit="1" customWidth="1"/>
    <col min="16137" max="16137" width="5.7109375" style="1394" customWidth="1"/>
    <col min="16138" max="16148" width="11.42578125" style="1394" customWidth="1"/>
    <col min="16149" max="16384" width="11.42578125" style="1394"/>
  </cols>
  <sheetData>
    <row r="1" spans="1:20" s="1389" customFormat="1" ht="24" customHeight="1">
      <c r="A1" s="1385" t="s">
        <v>1026</v>
      </c>
      <c r="B1" s="1385"/>
      <c r="C1" s="1386"/>
      <c r="D1" s="1386"/>
      <c r="E1" s="1386"/>
      <c r="F1" s="1387"/>
      <c r="G1" s="1388"/>
      <c r="H1" s="1388"/>
      <c r="I1" s="1388"/>
      <c r="J1" s="1388"/>
    </row>
    <row r="2" spans="1:20" s="1389" customFormat="1" ht="14.25" customHeight="1" thickBot="1">
      <c r="F2" s="1390"/>
      <c r="G2" s="1390"/>
      <c r="H2" s="1390"/>
      <c r="I2" s="1390"/>
      <c r="J2" s="1390"/>
    </row>
    <row r="3" spans="1:20">
      <c r="A3" s="1391" t="s">
        <v>212</v>
      </c>
      <c r="B3" s="1392" t="s">
        <v>1027</v>
      </c>
      <c r="C3" s="1392" t="s">
        <v>763</v>
      </c>
      <c r="D3" s="1392" t="s">
        <v>763</v>
      </c>
      <c r="E3" s="1392" t="s">
        <v>763</v>
      </c>
      <c r="F3" s="1392" t="s">
        <v>198</v>
      </c>
      <c r="G3" s="1392" t="s">
        <v>1028</v>
      </c>
      <c r="H3" s="1393" t="s">
        <v>1028</v>
      </c>
    </row>
    <row r="4" spans="1:20">
      <c r="A4" s="1395"/>
      <c r="B4" s="1396" t="s">
        <v>1029</v>
      </c>
      <c r="C4" s="1396" t="s">
        <v>1030</v>
      </c>
      <c r="D4" s="1396" t="s">
        <v>1030</v>
      </c>
      <c r="E4" s="1396" t="s">
        <v>1030</v>
      </c>
      <c r="F4" s="1396" t="s">
        <v>1031</v>
      </c>
      <c r="G4" s="1396" t="s">
        <v>1032</v>
      </c>
      <c r="H4" s="1397" t="s">
        <v>1032</v>
      </c>
    </row>
    <row r="5" spans="1:20">
      <c r="A5" s="1395"/>
      <c r="B5" s="1396" t="s">
        <v>1033</v>
      </c>
      <c r="C5" s="1396" t="s">
        <v>1034</v>
      </c>
      <c r="D5" s="1396" t="s">
        <v>1035</v>
      </c>
      <c r="E5" s="1396" t="s">
        <v>1036</v>
      </c>
      <c r="F5" s="1396" t="s">
        <v>1037</v>
      </c>
      <c r="G5" s="1396" t="s">
        <v>1038</v>
      </c>
      <c r="H5" s="1397" t="s">
        <v>1038</v>
      </c>
    </row>
    <row r="6" spans="1:20" ht="14.25">
      <c r="A6" s="1395"/>
      <c r="B6" s="1396" t="s">
        <v>1039</v>
      </c>
      <c r="C6" s="1396" t="s">
        <v>1040</v>
      </c>
      <c r="D6" s="1396" t="s">
        <v>1041</v>
      </c>
      <c r="E6" s="1396" t="s">
        <v>1042</v>
      </c>
      <c r="F6" s="1396" t="s">
        <v>1043</v>
      </c>
      <c r="G6" s="1396" t="s">
        <v>1044</v>
      </c>
      <c r="H6" s="1397" t="s">
        <v>1045</v>
      </c>
    </row>
    <row r="7" spans="1:20" ht="14.25">
      <c r="A7" s="1395"/>
      <c r="B7" s="1396"/>
      <c r="C7" s="1396" t="s">
        <v>1046</v>
      </c>
      <c r="D7" s="1396" t="s">
        <v>1047</v>
      </c>
      <c r="E7" s="1396"/>
      <c r="F7" s="1396" t="s">
        <v>1048</v>
      </c>
      <c r="G7" s="1396" t="s">
        <v>1049</v>
      </c>
      <c r="H7" s="1397" t="s">
        <v>1049</v>
      </c>
    </row>
    <row r="8" spans="1:20">
      <c r="A8" s="1395"/>
      <c r="B8" s="1398"/>
      <c r="C8" s="1398"/>
      <c r="D8" s="1398"/>
      <c r="E8" s="1398"/>
      <c r="F8" s="1398"/>
      <c r="G8" s="1398"/>
      <c r="H8" s="1399"/>
      <c r="I8" s="1389"/>
    </row>
    <row r="9" spans="1:20" s="1407" customFormat="1" ht="15">
      <c r="A9" s="1400"/>
      <c r="B9" s="1401"/>
      <c r="C9" s="1402"/>
      <c r="D9" s="1403" t="s">
        <v>74</v>
      </c>
      <c r="E9" s="1403"/>
      <c r="F9" s="1404"/>
      <c r="G9" s="1405" t="s">
        <v>767</v>
      </c>
      <c r="H9" s="1406" t="s">
        <v>767</v>
      </c>
      <c r="K9" s="1408"/>
      <c r="L9" s="1408"/>
      <c r="M9" s="1408"/>
      <c r="N9" s="1408"/>
      <c r="O9" s="1408"/>
      <c r="P9" s="1408"/>
      <c r="Q9" s="1408"/>
      <c r="R9" s="1408"/>
      <c r="S9" s="1408"/>
      <c r="T9" s="1408"/>
    </row>
    <row r="10" spans="1:20" s="1407" customFormat="1" ht="18.75" customHeight="1">
      <c r="A10" s="1409">
        <v>41821</v>
      </c>
      <c r="B10" s="1410"/>
      <c r="C10" s="1411"/>
      <c r="D10" s="1411"/>
      <c r="E10" s="1412"/>
      <c r="F10" s="1412"/>
      <c r="G10" s="1412"/>
      <c r="H10" s="1413"/>
      <c r="K10" s="1408"/>
      <c r="L10" s="1408"/>
      <c r="M10" s="1408"/>
      <c r="N10" s="1408"/>
      <c r="O10" s="1408"/>
      <c r="P10" s="1408"/>
      <c r="Q10" s="1408"/>
      <c r="R10" s="1408"/>
      <c r="S10" s="1408"/>
      <c r="T10" s="1408"/>
    </row>
    <row r="11" spans="1:20" s="1407" customFormat="1" ht="18" customHeight="1">
      <c r="A11" s="1414" t="s">
        <v>1050</v>
      </c>
      <c r="B11" s="1415">
        <f>2119+4003.2</f>
        <v>6122.2</v>
      </c>
      <c r="C11" s="1416">
        <v>302.2</v>
      </c>
      <c r="D11" s="1416">
        <v>50</v>
      </c>
      <c r="E11" s="1417">
        <v>6.3</v>
      </c>
      <c r="F11" s="1418">
        <f>SUM(C11:E11)</f>
        <v>358.5</v>
      </c>
      <c r="G11" s="1417">
        <v>3.27</v>
      </c>
      <c r="H11" s="1419">
        <v>3.75</v>
      </c>
      <c r="I11" s="1420"/>
      <c r="K11" s="1408"/>
      <c r="L11" s="1408"/>
      <c r="M11" s="1408"/>
      <c r="N11" s="1408"/>
      <c r="O11" s="1408"/>
      <c r="P11" s="1408"/>
      <c r="Q11" s="1408"/>
      <c r="R11" s="1408"/>
      <c r="S11" s="1408"/>
      <c r="T11" s="1408"/>
    </row>
    <row r="12" spans="1:20" s="1407" customFormat="1" ht="18" customHeight="1">
      <c r="A12" s="1414" t="s">
        <v>1051</v>
      </c>
      <c r="B12" s="1415">
        <f>2109+4003.2</f>
        <v>6112.2</v>
      </c>
      <c r="C12" s="1416">
        <v>830</v>
      </c>
      <c r="D12" s="1416">
        <v>50</v>
      </c>
      <c r="E12" s="1417" t="s">
        <v>661</v>
      </c>
      <c r="F12" s="1418">
        <f>SUM(C12:E12)</f>
        <v>880</v>
      </c>
      <c r="G12" s="1417" t="s">
        <v>661</v>
      </c>
      <c r="H12" s="1419" t="s">
        <v>661</v>
      </c>
      <c r="I12" s="1420"/>
      <c r="K12" s="1421"/>
      <c r="L12" s="1408"/>
      <c r="M12" s="1408"/>
      <c r="N12" s="1408"/>
      <c r="O12" s="1408"/>
      <c r="P12" s="1408"/>
      <c r="Q12" s="1408"/>
      <c r="R12" s="1408"/>
      <c r="S12" s="1408"/>
      <c r="T12" s="1408"/>
    </row>
    <row r="13" spans="1:20" s="1407" customFormat="1" ht="18" customHeight="1">
      <c r="A13" s="1414" t="s">
        <v>1052</v>
      </c>
      <c r="B13" s="1415">
        <f>2099+4003.2</f>
        <v>6102.2</v>
      </c>
      <c r="C13" s="1416">
        <v>323</v>
      </c>
      <c r="D13" s="1416">
        <v>50</v>
      </c>
      <c r="E13" s="1417" t="s">
        <v>661</v>
      </c>
      <c r="F13" s="1418">
        <f>SUM(C13:E13)</f>
        <v>373</v>
      </c>
      <c r="G13" s="1417" t="s">
        <v>661</v>
      </c>
      <c r="H13" s="1419" t="s">
        <v>661</v>
      </c>
      <c r="K13" s="1421"/>
      <c r="L13" s="1408"/>
      <c r="M13" s="1408"/>
      <c r="N13" s="1408"/>
      <c r="O13" s="1408"/>
      <c r="P13" s="1408"/>
      <c r="Q13" s="1408"/>
      <c r="R13" s="1408"/>
      <c r="S13" s="1408"/>
      <c r="T13" s="1408"/>
    </row>
    <row r="14" spans="1:20" s="1407" customFormat="1" ht="18" customHeight="1">
      <c r="A14" s="1414" t="s">
        <v>1053</v>
      </c>
      <c r="B14" s="1415">
        <f>2089+4003.2</f>
        <v>6092.2</v>
      </c>
      <c r="C14" s="1416">
        <v>123.5</v>
      </c>
      <c r="D14" s="1416">
        <v>50</v>
      </c>
      <c r="E14" s="1417" t="s">
        <v>661</v>
      </c>
      <c r="F14" s="1418">
        <f>SUM(C14:E14)</f>
        <v>173.5</v>
      </c>
      <c r="G14" s="1417" t="s">
        <v>661</v>
      </c>
      <c r="H14" s="1422" t="s">
        <v>661</v>
      </c>
      <c r="K14" s="1421"/>
      <c r="L14" s="1408"/>
      <c r="M14" s="1408"/>
      <c r="N14" s="1408"/>
      <c r="O14" s="1408"/>
      <c r="P14" s="1408"/>
      <c r="Q14" s="1408"/>
      <c r="R14" s="1408"/>
      <c r="S14" s="1408"/>
      <c r="T14" s="1408"/>
    </row>
    <row r="15" spans="1:20" s="1407" customFormat="1" ht="18" customHeight="1">
      <c r="A15" s="1414" t="s">
        <v>1054</v>
      </c>
      <c r="B15" s="1423">
        <f>2029+4003.2</f>
        <v>6032.2</v>
      </c>
      <c r="C15" s="1424" t="s">
        <v>661</v>
      </c>
      <c r="D15" s="1424" t="s">
        <v>661</v>
      </c>
      <c r="E15" s="1424" t="s">
        <v>661</v>
      </c>
      <c r="F15" s="1424" t="s">
        <v>661</v>
      </c>
      <c r="G15" s="1425" t="s">
        <v>661</v>
      </c>
      <c r="H15" s="1426" t="s">
        <v>661</v>
      </c>
      <c r="K15" s="1421"/>
      <c r="L15" s="1408"/>
      <c r="M15" s="1408"/>
      <c r="N15" s="1408"/>
      <c r="O15" s="1408"/>
      <c r="P15" s="1408"/>
      <c r="Q15" s="1408"/>
      <c r="R15" s="1408"/>
      <c r="S15" s="1408"/>
      <c r="T15" s="1408"/>
    </row>
    <row r="16" spans="1:20" s="1407" customFormat="1" ht="18" customHeight="1">
      <c r="A16" s="1427">
        <v>41456</v>
      </c>
      <c r="B16" s="1428">
        <v>6540.55</v>
      </c>
      <c r="C16" s="1429">
        <v>26.3</v>
      </c>
      <c r="D16" s="1429">
        <v>240</v>
      </c>
      <c r="E16" s="1429">
        <v>4.05</v>
      </c>
      <c r="F16" s="1429">
        <v>270.35000000000002</v>
      </c>
      <c r="G16" s="1430">
        <v>2.77</v>
      </c>
      <c r="H16" s="1431" t="s">
        <v>661</v>
      </c>
      <c r="J16" s="1432"/>
      <c r="K16" s="1421"/>
      <c r="L16" s="1408"/>
      <c r="M16" s="1408"/>
      <c r="N16" s="1408"/>
      <c r="O16" s="1408"/>
      <c r="P16" s="1408"/>
      <c r="Q16" s="1408"/>
      <c r="R16" s="1408"/>
      <c r="S16" s="1408"/>
      <c r="T16" s="1408"/>
    </row>
    <row r="17" spans="1:20" s="1433" customFormat="1" ht="18" customHeight="1">
      <c r="A17" s="1427">
        <v>41487</v>
      </c>
      <c r="B17" s="1428">
        <v>6441.1500000000005</v>
      </c>
      <c r="C17" s="1429">
        <v>35.599999999999994</v>
      </c>
      <c r="D17" s="1429">
        <v>340</v>
      </c>
      <c r="E17" s="1429">
        <v>0.79999999999999993</v>
      </c>
      <c r="F17" s="1429">
        <v>376.4</v>
      </c>
      <c r="G17" s="1430">
        <v>2.8</v>
      </c>
      <c r="H17" s="1431" t="s">
        <v>661</v>
      </c>
      <c r="J17" s="1434"/>
      <c r="K17" s="1435"/>
      <c r="L17" s="1436"/>
      <c r="M17" s="1436"/>
      <c r="N17" s="1436"/>
      <c r="O17" s="1436"/>
      <c r="P17" s="1436"/>
      <c r="Q17" s="1436"/>
      <c r="R17" s="1436"/>
      <c r="S17" s="1436"/>
      <c r="T17" s="1436"/>
    </row>
    <row r="18" spans="1:20" s="1433" customFormat="1" ht="18" customHeight="1">
      <c r="A18" s="1427">
        <v>41518</v>
      </c>
      <c r="B18" s="1428">
        <v>6302.55</v>
      </c>
      <c r="C18" s="1429">
        <v>595.20000000000005</v>
      </c>
      <c r="D18" s="1429">
        <v>270</v>
      </c>
      <c r="E18" s="1429">
        <v>1.2</v>
      </c>
      <c r="F18" s="1429">
        <v>866.40000000000009</v>
      </c>
      <c r="G18" s="1437">
        <v>2.8</v>
      </c>
      <c r="H18" s="1438" t="s">
        <v>661</v>
      </c>
      <c r="J18" s="1434"/>
      <c r="K18" s="1435"/>
      <c r="L18" s="1436"/>
      <c r="M18" s="1436"/>
      <c r="N18" s="1436"/>
      <c r="O18" s="1436"/>
      <c r="P18" s="1436"/>
      <c r="Q18" s="1436"/>
      <c r="R18" s="1436"/>
      <c r="S18" s="1436"/>
      <c r="T18" s="1436"/>
    </row>
    <row r="19" spans="1:20" s="1433" customFormat="1" ht="18" customHeight="1">
      <c r="A19" s="1427">
        <v>41548</v>
      </c>
      <c r="B19" s="1428">
        <v>6681.45</v>
      </c>
      <c r="C19" s="1429">
        <v>1.1000000000000001</v>
      </c>
      <c r="D19" s="1429">
        <v>1210</v>
      </c>
      <c r="E19" s="1429">
        <v>1.65</v>
      </c>
      <c r="F19" s="1429">
        <v>1212.75</v>
      </c>
      <c r="G19" s="1430">
        <v>2.66</v>
      </c>
      <c r="H19" s="1431">
        <v>4.9000000000000004</v>
      </c>
      <c r="J19" s="1434"/>
      <c r="K19" s="1436"/>
      <c r="L19" s="1436"/>
      <c r="M19" s="1436"/>
      <c r="N19" s="1436"/>
      <c r="O19" s="1436"/>
      <c r="P19" s="1436"/>
      <c r="Q19" s="1436"/>
      <c r="R19" s="1436"/>
      <c r="S19" s="1436"/>
      <c r="T19" s="1436"/>
    </row>
    <row r="20" spans="1:20" s="1433" customFormat="1" ht="18" customHeight="1">
      <c r="A20" s="1427">
        <v>41579</v>
      </c>
      <c r="B20" s="1428">
        <v>6892.5</v>
      </c>
      <c r="C20" s="1429">
        <v>339.80000000000007</v>
      </c>
      <c r="D20" s="1429">
        <v>485</v>
      </c>
      <c r="E20" s="1429">
        <v>2</v>
      </c>
      <c r="F20" s="1429">
        <v>826.80000000000007</v>
      </c>
      <c r="G20" s="1430" t="s">
        <v>661</v>
      </c>
      <c r="H20" s="1431">
        <v>3.6</v>
      </c>
      <c r="J20" s="1434"/>
      <c r="K20" s="1436"/>
      <c r="L20" s="1436"/>
      <c r="M20" s="1436"/>
      <c r="N20" s="1436"/>
      <c r="O20" s="1436"/>
      <c r="P20" s="1436"/>
      <c r="Q20" s="1436"/>
      <c r="R20" s="1436"/>
      <c r="S20" s="1436"/>
      <c r="T20" s="1436"/>
    </row>
    <row r="21" spans="1:20" s="1433" customFormat="1" ht="18" customHeight="1">
      <c r="A21" s="1427">
        <v>41609</v>
      </c>
      <c r="B21" s="1428">
        <v>6822.75</v>
      </c>
      <c r="C21" s="1429">
        <v>110.69999999999999</v>
      </c>
      <c r="D21" s="1429">
        <v>230</v>
      </c>
      <c r="E21" s="1429">
        <v>2.6999999999999997</v>
      </c>
      <c r="F21" s="1429">
        <v>343.4</v>
      </c>
      <c r="G21" s="1430">
        <v>3.2</v>
      </c>
      <c r="H21" s="1431" t="s">
        <v>661</v>
      </c>
      <c r="J21" s="1434"/>
      <c r="K21" s="1436"/>
      <c r="L21" s="1436"/>
      <c r="M21" s="1436"/>
      <c r="N21" s="1436"/>
      <c r="O21" s="1436"/>
      <c r="P21" s="1436"/>
      <c r="Q21" s="1436"/>
      <c r="R21" s="1436"/>
      <c r="S21" s="1436"/>
      <c r="T21" s="1436"/>
    </row>
    <row r="22" spans="1:20" s="1433" customFormat="1" ht="18" customHeight="1">
      <c r="A22" s="1427">
        <v>41640</v>
      </c>
      <c r="B22" s="1428">
        <v>6831.95</v>
      </c>
      <c r="C22" s="1429">
        <v>300</v>
      </c>
      <c r="D22" s="1429">
        <v>300</v>
      </c>
      <c r="E22" s="1429">
        <v>1.6</v>
      </c>
      <c r="F22" s="1429">
        <v>601.6</v>
      </c>
      <c r="G22" s="1430">
        <v>3.1</v>
      </c>
      <c r="H22" s="1431">
        <v>3.75</v>
      </c>
      <c r="J22" s="1434"/>
      <c r="K22" s="1436"/>
      <c r="L22" s="1436"/>
      <c r="M22" s="1436"/>
      <c r="N22" s="1436"/>
      <c r="O22" s="1436"/>
      <c r="P22" s="1436"/>
      <c r="Q22" s="1436"/>
      <c r="R22" s="1436"/>
      <c r="S22" s="1436"/>
      <c r="T22" s="1436"/>
    </row>
    <row r="23" spans="1:20" s="1433" customFormat="1" ht="18" customHeight="1">
      <c r="A23" s="1427">
        <v>41671</v>
      </c>
      <c r="B23" s="1428">
        <v>6646.9999999999991</v>
      </c>
      <c r="C23" s="1429">
        <v>657.8</v>
      </c>
      <c r="D23" s="1429">
        <v>240</v>
      </c>
      <c r="E23" s="1429">
        <v>1.4</v>
      </c>
      <c r="F23" s="1429">
        <v>898.2</v>
      </c>
      <c r="G23" s="1430">
        <v>3.3</v>
      </c>
      <c r="H23" s="1431" t="s">
        <v>661</v>
      </c>
      <c r="J23" s="1434"/>
      <c r="K23" s="1436"/>
      <c r="L23" s="1436"/>
      <c r="M23" s="1436"/>
      <c r="N23" s="1436"/>
      <c r="O23" s="1436"/>
      <c r="P23" s="1436"/>
      <c r="Q23" s="1436"/>
      <c r="R23" s="1436"/>
      <c r="S23" s="1436"/>
      <c r="T23" s="1436"/>
    </row>
    <row r="24" spans="1:20" s="1433" customFormat="1" ht="18" customHeight="1">
      <c r="A24" s="1427">
        <v>41699</v>
      </c>
      <c r="B24" s="1428">
        <v>6626.9999999999991</v>
      </c>
      <c r="C24" s="1429">
        <v>830</v>
      </c>
      <c r="D24" s="1429">
        <v>250</v>
      </c>
      <c r="E24" s="1429" t="s">
        <v>661</v>
      </c>
      <c r="F24" s="1429">
        <v>1080</v>
      </c>
      <c r="G24" s="1430" t="s">
        <v>661</v>
      </c>
      <c r="H24" s="1431" t="s">
        <v>661</v>
      </c>
      <c r="J24" s="1434"/>
      <c r="K24" s="1436"/>
      <c r="L24" s="1436"/>
      <c r="M24" s="1436"/>
      <c r="N24" s="1436"/>
      <c r="O24" s="1436"/>
      <c r="P24" s="1436"/>
      <c r="Q24" s="1436"/>
      <c r="R24" s="1436"/>
      <c r="S24" s="1436"/>
      <c r="T24" s="1436"/>
    </row>
    <row r="25" spans="1:20" s="1433" customFormat="1" ht="18" customHeight="1">
      <c r="A25" s="1427">
        <v>41730</v>
      </c>
      <c r="B25" s="1428">
        <v>6526.9999999999991</v>
      </c>
      <c r="C25" s="1429">
        <v>1486.4</v>
      </c>
      <c r="D25" s="1429">
        <v>240</v>
      </c>
      <c r="E25" s="1429" t="s">
        <v>661</v>
      </c>
      <c r="F25" s="1429">
        <v>1726.65</v>
      </c>
      <c r="G25" s="1430">
        <v>3.1</v>
      </c>
      <c r="H25" s="1431" t="s">
        <v>661</v>
      </c>
      <c r="J25" s="1434"/>
      <c r="K25" s="1436"/>
      <c r="L25" s="1436"/>
      <c r="M25" s="1436"/>
      <c r="N25" s="1436"/>
      <c r="O25" s="1436"/>
      <c r="P25" s="1436"/>
      <c r="Q25" s="1436"/>
      <c r="R25" s="1436"/>
      <c r="S25" s="1436"/>
      <c r="T25" s="1436"/>
    </row>
    <row r="26" spans="1:20" s="1433" customFormat="1" ht="18" customHeight="1">
      <c r="A26" s="1427">
        <v>41760</v>
      </c>
      <c r="B26" s="1428">
        <v>6201.9999999999991</v>
      </c>
      <c r="C26" s="1429">
        <v>1237.7</v>
      </c>
      <c r="D26" s="1429">
        <v>260</v>
      </c>
      <c r="E26" s="1429" t="s">
        <v>661</v>
      </c>
      <c r="F26" s="1429">
        <v>1497.7</v>
      </c>
      <c r="G26" s="1430" t="s">
        <v>661</v>
      </c>
      <c r="H26" s="1431" t="s">
        <v>661</v>
      </c>
      <c r="J26" s="1434"/>
      <c r="K26" s="1436"/>
      <c r="L26" s="1436"/>
      <c r="M26" s="1436"/>
      <c r="N26" s="1436"/>
      <c r="O26" s="1436"/>
      <c r="P26" s="1436"/>
      <c r="Q26" s="1436"/>
      <c r="R26" s="1436"/>
      <c r="S26" s="1436"/>
      <c r="T26" s="1436"/>
    </row>
    <row r="27" spans="1:20" s="1433" customFormat="1" ht="18" customHeight="1">
      <c r="A27" s="1427">
        <v>41791</v>
      </c>
      <c r="B27" s="1439">
        <v>6194.45</v>
      </c>
      <c r="C27" s="1429">
        <v>1556.3</v>
      </c>
      <c r="D27" s="1429">
        <v>200</v>
      </c>
      <c r="E27" s="1429">
        <v>0.6</v>
      </c>
      <c r="F27" s="1429">
        <v>1756.9</v>
      </c>
      <c r="G27" s="1437">
        <v>3.2</v>
      </c>
      <c r="H27" s="1438" t="s">
        <v>661</v>
      </c>
      <c r="J27" s="1434"/>
      <c r="K27" s="1436"/>
      <c r="L27" s="1436"/>
      <c r="M27" s="1436"/>
      <c r="N27" s="1436"/>
      <c r="O27" s="1436"/>
      <c r="P27" s="1436"/>
      <c r="Q27" s="1436"/>
      <c r="R27" s="1436"/>
      <c r="S27" s="1436"/>
      <c r="T27" s="1436"/>
    </row>
    <row r="28" spans="1:20" s="1433" customFormat="1" ht="18" customHeight="1" thickBot="1">
      <c r="A28" s="1440">
        <v>41821</v>
      </c>
      <c r="B28" s="1441">
        <f>B15</f>
        <v>6032.2</v>
      </c>
      <c r="C28" s="1442">
        <f>SUM(C11:C15)</f>
        <v>1578.7</v>
      </c>
      <c r="D28" s="1442">
        <f>SUM(D11:D15)</f>
        <v>200</v>
      </c>
      <c r="E28" s="1442">
        <f>SUM(E11:E15)</f>
        <v>6.3</v>
      </c>
      <c r="F28" s="1442">
        <f>SUM(F11:F15)</f>
        <v>1785</v>
      </c>
      <c r="G28" s="1443">
        <v>3.27</v>
      </c>
      <c r="H28" s="1444">
        <v>3.75</v>
      </c>
      <c r="J28" s="1434"/>
      <c r="K28" s="1436"/>
      <c r="L28" s="1436"/>
      <c r="M28" s="1436"/>
      <c r="N28" s="1436"/>
      <c r="O28" s="1436"/>
      <c r="P28" s="1436"/>
      <c r="Q28" s="1436"/>
      <c r="R28" s="1436"/>
      <c r="S28" s="1436"/>
      <c r="T28" s="1436"/>
    </row>
    <row r="29" spans="1:20" s="1433" customFormat="1" ht="19.5" customHeight="1">
      <c r="A29" s="1445" t="s">
        <v>1055</v>
      </c>
      <c r="B29" s="1446"/>
      <c r="D29" s="1447"/>
      <c r="E29" s="1447"/>
      <c r="F29" s="1447"/>
      <c r="G29" s="1447"/>
      <c r="H29" s="1447"/>
      <c r="K29" s="1448"/>
      <c r="L29" s="1436"/>
      <c r="M29" s="1436"/>
      <c r="N29" s="1436"/>
      <c r="O29" s="1436"/>
      <c r="P29" s="1436"/>
      <c r="Q29" s="1436"/>
      <c r="R29" s="1436"/>
      <c r="S29" s="1436"/>
      <c r="T29" s="1436"/>
    </row>
    <row r="30" spans="1:20" s="1433" customFormat="1" ht="17.25" customHeight="1">
      <c r="A30" s="3337" t="s">
        <v>1056</v>
      </c>
      <c r="B30" s="3337"/>
      <c r="C30" s="3337"/>
      <c r="D30" s="3337"/>
      <c r="E30" s="3337"/>
      <c r="F30" s="3337"/>
      <c r="G30" s="3337"/>
      <c r="H30" s="3337"/>
      <c r="K30" s="1436"/>
      <c r="L30" s="1436"/>
      <c r="M30" s="1436"/>
      <c r="N30" s="1436"/>
      <c r="O30" s="1436"/>
      <c r="P30" s="1436"/>
      <c r="Q30" s="1436"/>
      <c r="R30" s="1436"/>
      <c r="S30" s="1436"/>
      <c r="T30" s="1436"/>
    </row>
    <row r="31" spans="1:20" s="1433" customFormat="1" ht="18" customHeight="1">
      <c r="A31" s="3338" t="s">
        <v>1057</v>
      </c>
      <c r="B31" s="3338"/>
      <c r="C31" s="3338"/>
      <c r="D31" s="3338"/>
      <c r="E31" s="3338" t="s">
        <v>1058</v>
      </c>
      <c r="F31" s="3338"/>
      <c r="G31" s="3338"/>
      <c r="H31" s="3338"/>
      <c r="K31" s="1436"/>
      <c r="L31" s="1436"/>
      <c r="M31" s="1436"/>
      <c r="N31" s="1436"/>
      <c r="O31" s="1436"/>
      <c r="P31" s="1436"/>
      <c r="Q31" s="1436"/>
      <c r="R31" s="1436"/>
      <c r="S31" s="1436"/>
      <c r="T31" s="1436"/>
    </row>
    <row r="32" spans="1:20" s="1449" customFormat="1" ht="18" customHeight="1">
      <c r="A32" s="1449" t="s">
        <v>1059</v>
      </c>
      <c r="K32" s="1450"/>
      <c r="L32" s="1450"/>
      <c r="M32" s="1450"/>
      <c r="N32" s="1450"/>
      <c r="O32" s="1450"/>
      <c r="P32" s="1450"/>
      <c r="Q32" s="1450"/>
      <c r="R32" s="1450"/>
      <c r="S32" s="1450"/>
      <c r="T32" s="1450"/>
    </row>
    <row r="33" spans="1:20" s="1452" customFormat="1">
      <c r="A33" s="1449"/>
      <c r="B33" s="1449"/>
      <c r="C33" s="1449"/>
      <c r="D33" s="1449"/>
      <c r="E33" s="1449"/>
      <c r="F33" s="1451"/>
      <c r="G33" s="1449"/>
      <c r="H33" s="1449"/>
      <c r="I33" s="1449"/>
      <c r="J33" s="1449"/>
    </row>
    <row r="34" spans="1:20" s="1452" customFormat="1">
      <c r="A34" s="1449"/>
      <c r="B34" s="1449"/>
      <c r="C34" s="1449"/>
      <c r="D34" s="1449"/>
      <c r="E34" s="1449"/>
      <c r="F34" s="1449"/>
      <c r="G34" s="1449"/>
      <c r="H34" s="1449"/>
    </row>
    <row r="35" spans="1:20" s="1449" customFormat="1" ht="18" customHeight="1">
      <c r="A35" s="1394"/>
      <c r="B35" s="1394"/>
      <c r="C35" s="1394"/>
      <c r="D35" s="1394"/>
      <c r="E35" s="1394"/>
      <c r="F35" s="1394"/>
      <c r="G35" s="1394"/>
      <c r="H35" s="1394"/>
      <c r="K35" s="1450"/>
      <c r="L35" s="1450"/>
      <c r="M35" s="1450"/>
      <c r="N35" s="1450"/>
      <c r="O35" s="1450"/>
      <c r="P35" s="1450"/>
      <c r="Q35" s="1450"/>
      <c r="R35" s="1450"/>
      <c r="S35" s="1450"/>
      <c r="T35" s="1450"/>
    </row>
  </sheetData>
  <mergeCells count="3">
    <mergeCell ref="A30:H30"/>
    <mergeCell ref="A31:D31"/>
    <mergeCell ref="E31:H31"/>
  </mergeCells>
  <printOptions horizontalCentered="1"/>
  <pageMargins left="0.74803149606299213" right="0.23622047244094491" top="0.59055118110236227" bottom="0.59055118110236227" header="0.86614173228346458" footer="0"/>
  <pageSetup paperSize="9" scale="8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7"/>
  <sheetViews>
    <sheetView zoomScaleNormal="100" workbookViewId="0">
      <selection activeCell="E345" sqref="E345"/>
    </sheetView>
  </sheetViews>
  <sheetFormatPr defaultRowHeight="15"/>
  <cols>
    <col min="1" max="1" width="9.140625" style="873"/>
    <col min="2" max="2" width="15.7109375" style="873" customWidth="1"/>
    <col min="3" max="3" width="9.140625" style="873"/>
    <col min="4" max="4" width="9.5703125" style="873" customWidth="1"/>
    <col min="5" max="5" width="10.5703125" style="873" customWidth="1"/>
    <col min="6" max="6" width="10.42578125" style="873" customWidth="1"/>
    <col min="7" max="7" width="14.42578125" style="873" customWidth="1"/>
    <col min="8" max="8" width="13.85546875" style="873" customWidth="1"/>
    <col min="9" max="9" width="10.140625" style="873" customWidth="1"/>
    <col min="10" max="10" width="4.5703125" style="873" customWidth="1"/>
    <col min="11" max="16384" width="9.140625" style="873"/>
  </cols>
  <sheetData>
    <row r="1" spans="2:15" ht="18.75" customHeight="1">
      <c r="B1" s="1287" t="s">
        <v>1060</v>
      </c>
    </row>
    <row r="2" spans="2:15" ht="9" customHeight="1" thickBot="1">
      <c r="B2" s="875"/>
      <c r="J2" s="873" t="s">
        <v>28</v>
      </c>
    </row>
    <row r="3" spans="2:15" ht="15" customHeight="1" thickTop="1">
      <c r="B3" s="1453" t="s">
        <v>212</v>
      </c>
      <c r="C3" s="1454" t="s">
        <v>1061</v>
      </c>
      <c r="D3" s="1455"/>
      <c r="E3" s="1455"/>
      <c r="F3" s="1456" t="s">
        <v>1062</v>
      </c>
      <c r="G3" s="1456" t="s">
        <v>1063</v>
      </c>
      <c r="H3" s="1456" t="s">
        <v>1064</v>
      </c>
      <c r="I3" s="1457" t="s">
        <v>1065</v>
      </c>
      <c r="J3" s="873" t="s">
        <v>28</v>
      </c>
    </row>
    <row r="4" spans="2:15" ht="17.25" customHeight="1" thickBot="1">
      <c r="B4" s="1458"/>
      <c r="C4" s="1459"/>
      <c r="D4" s="1460"/>
      <c r="E4" s="1461"/>
      <c r="F4" s="1462" t="s">
        <v>1066</v>
      </c>
      <c r="G4" s="1462" t="s">
        <v>244</v>
      </c>
      <c r="H4" s="1462" t="s">
        <v>1067</v>
      </c>
      <c r="I4" s="1463" t="s">
        <v>1068</v>
      </c>
    </row>
    <row r="5" spans="2:15" ht="17.25" customHeight="1" thickBot="1">
      <c r="B5" s="1458"/>
      <c r="C5" s="1464" t="s">
        <v>776</v>
      </c>
      <c r="D5" s="1465" t="s">
        <v>778</v>
      </c>
      <c r="E5" s="1466" t="s">
        <v>198</v>
      </c>
      <c r="F5" s="1467"/>
      <c r="G5" s="1467" t="s">
        <v>1069</v>
      </c>
      <c r="H5" s="1467" t="s">
        <v>1070</v>
      </c>
      <c r="I5" s="1468"/>
    </row>
    <row r="6" spans="2:15" ht="14.1" customHeight="1" thickBot="1">
      <c r="B6" s="1469"/>
      <c r="C6" s="3339" t="s">
        <v>74</v>
      </c>
      <c r="D6" s="3340"/>
      <c r="E6" s="3340"/>
      <c r="F6" s="3341"/>
      <c r="G6" s="3342" t="s">
        <v>788</v>
      </c>
      <c r="H6" s="3340"/>
      <c r="I6" s="3343"/>
    </row>
    <row r="7" spans="2:15" ht="15" customHeight="1" thickTop="1">
      <c r="B7" s="1470">
        <v>41821</v>
      </c>
      <c r="C7" s="1471"/>
      <c r="D7" s="1472"/>
      <c r="E7" s="1473"/>
      <c r="F7" s="1297"/>
      <c r="G7" s="1474"/>
      <c r="H7" s="1474"/>
      <c r="I7" s="1475"/>
    </row>
    <row r="8" spans="2:15" ht="15" customHeight="1">
      <c r="B8" s="1476" t="s">
        <v>1071</v>
      </c>
      <c r="C8" s="1477">
        <v>150</v>
      </c>
      <c r="D8" s="1297">
        <v>290</v>
      </c>
      <c r="E8" s="1478">
        <v>730</v>
      </c>
      <c r="F8" s="1297">
        <v>243.33</v>
      </c>
      <c r="G8" s="1479" t="s">
        <v>1072</v>
      </c>
      <c r="H8" s="1479">
        <v>1.26</v>
      </c>
      <c r="I8" s="1480"/>
      <c r="J8" s="1481"/>
      <c r="K8" s="1482"/>
      <c r="L8" s="1483"/>
      <c r="M8" s="1484"/>
      <c r="N8" s="1485"/>
      <c r="O8" s="1486"/>
    </row>
    <row r="9" spans="2:15" ht="15" customHeight="1">
      <c r="B9" s="1476" t="s">
        <v>1073</v>
      </c>
      <c r="C9" s="1477">
        <v>20</v>
      </c>
      <c r="D9" s="1297">
        <v>600</v>
      </c>
      <c r="E9" s="1478">
        <v>2295</v>
      </c>
      <c r="F9" s="1297">
        <v>382.5</v>
      </c>
      <c r="G9" s="1479">
        <v>1.25</v>
      </c>
      <c r="H9" s="1479">
        <v>1.25</v>
      </c>
      <c r="I9" s="1480"/>
      <c r="J9" s="1481"/>
      <c r="K9" s="1482"/>
      <c r="L9" s="1483"/>
      <c r="M9" s="1484"/>
      <c r="N9" s="1485"/>
      <c r="O9" s="1486"/>
    </row>
    <row r="10" spans="2:15" ht="15" customHeight="1">
      <c r="B10" s="1476" t="s">
        <v>1074</v>
      </c>
      <c r="C10" s="1477">
        <v>100</v>
      </c>
      <c r="D10" s="1297">
        <v>350</v>
      </c>
      <c r="E10" s="1478">
        <v>1325</v>
      </c>
      <c r="F10" s="1297">
        <v>189.29</v>
      </c>
      <c r="G10" s="1479" t="s">
        <v>1075</v>
      </c>
      <c r="H10" s="1479">
        <v>1.36</v>
      </c>
      <c r="I10" s="1480"/>
      <c r="J10" s="1481"/>
      <c r="K10" s="1482"/>
      <c r="L10" s="1483"/>
      <c r="M10" s="1484"/>
      <c r="N10" s="1485"/>
      <c r="O10" s="1486"/>
    </row>
    <row r="11" spans="2:15" ht="15" customHeight="1">
      <c r="B11" s="1476" t="s">
        <v>1076</v>
      </c>
      <c r="C11" s="1477">
        <v>900</v>
      </c>
      <c r="D11" s="1297">
        <v>1300</v>
      </c>
      <c r="E11" s="1478">
        <v>7130</v>
      </c>
      <c r="F11" s="1297">
        <v>1018.57</v>
      </c>
      <c r="G11" s="1479" t="s">
        <v>1077</v>
      </c>
      <c r="H11" s="1479">
        <v>1.18</v>
      </c>
      <c r="I11" s="1480"/>
      <c r="J11" s="1481"/>
      <c r="K11" s="1482"/>
      <c r="L11" s="1484"/>
      <c r="M11" s="1484"/>
      <c r="N11" s="1485"/>
      <c r="O11" s="1486"/>
    </row>
    <row r="12" spans="2:15" ht="15" customHeight="1">
      <c r="B12" s="1476" t="s">
        <v>1078</v>
      </c>
      <c r="C12" s="1477">
        <v>800</v>
      </c>
      <c r="D12" s="1297">
        <v>2385</v>
      </c>
      <c r="E12" s="1478">
        <v>9015</v>
      </c>
      <c r="F12" s="1297">
        <v>1287.8599999999999</v>
      </c>
      <c r="G12" s="1479" t="s">
        <v>1077</v>
      </c>
      <c r="H12" s="1479">
        <v>1.1599999999999999</v>
      </c>
      <c r="I12" s="1480"/>
      <c r="J12" s="1481"/>
      <c r="K12" s="1482"/>
      <c r="L12" s="1484"/>
      <c r="M12" s="1484"/>
      <c r="N12" s="1485"/>
      <c r="O12" s="1486"/>
    </row>
    <row r="13" spans="2:15" ht="9.75" customHeight="1">
      <c r="B13" s="1487"/>
      <c r="C13" s="1488"/>
      <c r="D13" s="1489"/>
      <c r="E13" s="1490"/>
      <c r="F13" s="1489"/>
      <c r="G13" s="1491"/>
      <c r="H13" s="1491"/>
      <c r="I13" s="1492"/>
      <c r="J13" s="1481"/>
      <c r="K13" s="1484"/>
      <c r="L13" s="1484"/>
      <c r="M13" s="1493"/>
      <c r="N13" s="1485"/>
      <c r="O13" s="1486"/>
    </row>
    <row r="14" spans="2:15" ht="15" hidden="1" customHeight="1">
      <c r="B14" s="1494"/>
      <c r="C14" s="1495"/>
      <c r="D14" s="1297"/>
      <c r="E14" s="1473"/>
      <c r="F14" s="1297"/>
      <c r="G14" s="1474"/>
      <c r="H14" s="1474"/>
      <c r="I14" s="1480"/>
      <c r="J14" s="1496"/>
      <c r="K14" s="1485"/>
      <c r="L14" s="1497">
        <f>SUM(L8:L13)</f>
        <v>0</v>
      </c>
      <c r="M14" s="1485"/>
      <c r="N14" s="1497">
        <f>SUM(N8:N13)</f>
        <v>0</v>
      </c>
      <c r="O14" s="1486" t="e">
        <f>N14/L14</f>
        <v>#DIV/0!</v>
      </c>
    </row>
    <row r="15" spans="2:15" ht="15" hidden="1" customHeight="1">
      <c r="B15" s="1498">
        <v>36312</v>
      </c>
      <c r="C15" s="1495">
        <v>10</v>
      </c>
      <c r="D15" s="1297">
        <v>230</v>
      </c>
      <c r="E15" s="1473">
        <v>2385</v>
      </c>
      <c r="F15" s="1297">
        <v>80</v>
      </c>
      <c r="G15" s="1474" t="s">
        <v>1079</v>
      </c>
      <c r="H15" s="1474">
        <v>9.9600000000000009</v>
      </c>
      <c r="I15" s="1480">
        <v>12.61</v>
      </c>
      <c r="J15" s="1496"/>
    </row>
    <row r="16" spans="2:15" ht="15" hidden="1" customHeight="1">
      <c r="B16" s="1498">
        <v>36404</v>
      </c>
      <c r="C16" s="1495">
        <v>10</v>
      </c>
      <c r="D16" s="1297">
        <v>120</v>
      </c>
      <c r="E16" s="1473">
        <v>1223</v>
      </c>
      <c r="F16" s="1297">
        <v>52.96</v>
      </c>
      <c r="G16" s="1474" t="s">
        <v>1080</v>
      </c>
      <c r="H16" s="1474">
        <v>9.5630000000000006</v>
      </c>
      <c r="I16" s="1480">
        <v>12.72</v>
      </c>
      <c r="J16" s="1496"/>
    </row>
    <row r="17" spans="2:10" ht="15" hidden="1" customHeight="1">
      <c r="B17" s="1498">
        <v>36495</v>
      </c>
      <c r="C17" s="1495">
        <v>85</v>
      </c>
      <c r="D17" s="1297">
        <v>500</v>
      </c>
      <c r="E17" s="1473">
        <v>6285</v>
      </c>
      <c r="F17" s="1297">
        <v>273</v>
      </c>
      <c r="G17" s="1474" t="s">
        <v>1081</v>
      </c>
      <c r="H17" s="1474">
        <v>9.67</v>
      </c>
      <c r="I17" s="1480">
        <v>12.36</v>
      </c>
      <c r="J17" s="1496"/>
    </row>
    <row r="18" spans="2:10" ht="15" hidden="1" customHeight="1">
      <c r="B18" s="1499">
        <v>36586</v>
      </c>
      <c r="C18" s="1495">
        <v>10</v>
      </c>
      <c r="D18" s="1297">
        <v>255</v>
      </c>
      <c r="E18" s="1473">
        <v>3163.2</v>
      </c>
      <c r="F18" s="1297">
        <v>102</v>
      </c>
      <c r="G18" s="1474" t="s">
        <v>1082</v>
      </c>
      <c r="H18" s="1474">
        <v>9.1199999999999992</v>
      </c>
      <c r="I18" s="1480">
        <v>11.71</v>
      </c>
      <c r="J18" s="1496"/>
    </row>
    <row r="19" spans="2:10" ht="15" hidden="1" customHeight="1">
      <c r="B19" s="1498">
        <v>36678</v>
      </c>
      <c r="C19" s="1495">
        <v>20</v>
      </c>
      <c r="D19" s="1297">
        <v>600</v>
      </c>
      <c r="E19" s="1297">
        <v>3421</v>
      </c>
      <c r="F19" s="1297">
        <v>118</v>
      </c>
      <c r="G19" s="1474" t="s">
        <v>1083</v>
      </c>
      <c r="H19" s="1474">
        <v>7.27</v>
      </c>
      <c r="I19" s="1480">
        <v>10.039999999999999</v>
      </c>
      <c r="J19" s="1496"/>
    </row>
    <row r="20" spans="2:10" ht="15" hidden="1" customHeight="1">
      <c r="B20" s="1498">
        <v>36708</v>
      </c>
      <c r="C20" s="1495">
        <v>10</v>
      </c>
      <c r="D20" s="1297">
        <v>830</v>
      </c>
      <c r="E20" s="1297">
        <v>6813</v>
      </c>
      <c r="F20" s="1297">
        <v>243</v>
      </c>
      <c r="G20" s="1474" t="s">
        <v>1084</v>
      </c>
      <c r="H20" s="1474">
        <v>7.46</v>
      </c>
      <c r="I20" s="1500">
        <v>10.08</v>
      </c>
      <c r="J20" s="1496"/>
    </row>
    <row r="21" spans="2:10" ht="15" hidden="1" customHeight="1">
      <c r="B21" s="1498">
        <v>36739</v>
      </c>
      <c r="C21" s="1495">
        <v>25</v>
      </c>
      <c r="D21" s="1297">
        <v>460</v>
      </c>
      <c r="E21" s="1297">
        <v>6528</v>
      </c>
      <c r="F21" s="1297">
        <v>211</v>
      </c>
      <c r="G21" s="1474" t="s">
        <v>1085</v>
      </c>
      <c r="H21" s="1474">
        <v>7.03</v>
      </c>
      <c r="I21" s="1500">
        <v>10.32</v>
      </c>
      <c r="J21" s="1496"/>
    </row>
    <row r="22" spans="2:10" ht="15" hidden="1" customHeight="1">
      <c r="B22" s="1498">
        <v>36770</v>
      </c>
      <c r="C22" s="1495">
        <v>30</v>
      </c>
      <c r="D22" s="1297">
        <v>168</v>
      </c>
      <c r="E22" s="1297">
        <v>2859</v>
      </c>
      <c r="F22" s="1297">
        <v>95</v>
      </c>
      <c r="G22" s="1474" t="s">
        <v>1086</v>
      </c>
      <c r="H22" s="1474">
        <v>7.13</v>
      </c>
      <c r="I22" s="1500">
        <v>9.9550000000000001</v>
      </c>
      <c r="J22" s="1496"/>
    </row>
    <row r="23" spans="2:10" ht="15" hidden="1" customHeight="1">
      <c r="B23" s="1498">
        <v>36800</v>
      </c>
      <c r="C23" s="1495">
        <v>30</v>
      </c>
      <c r="D23" s="1297">
        <v>270</v>
      </c>
      <c r="E23" s="1297">
        <v>3581</v>
      </c>
      <c r="F23" s="1297">
        <v>138</v>
      </c>
      <c r="G23" s="1474" t="s">
        <v>1087</v>
      </c>
      <c r="H23" s="1474">
        <v>7.48</v>
      </c>
      <c r="I23" s="1500">
        <v>10.16</v>
      </c>
      <c r="J23" s="1496"/>
    </row>
    <row r="24" spans="2:10" ht="15" hidden="1" customHeight="1">
      <c r="B24" s="1498">
        <v>36831</v>
      </c>
      <c r="C24" s="1495">
        <v>40</v>
      </c>
      <c r="D24" s="1297">
        <v>201</v>
      </c>
      <c r="E24" s="1297">
        <v>2859</v>
      </c>
      <c r="F24" s="1297">
        <v>95</v>
      </c>
      <c r="G24" s="1474" t="s">
        <v>1088</v>
      </c>
      <c r="H24" s="1474">
        <v>7.98</v>
      </c>
      <c r="I24" s="1500">
        <v>10.77</v>
      </c>
      <c r="J24" s="1496"/>
    </row>
    <row r="25" spans="2:10" ht="15" hidden="1" customHeight="1">
      <c r="B25" s="1498">
        <v>36861</v>
      </c>
      <c r="C25" s="1495">
        <v>16</v>
      </c>
      <c r="D25" s="1297">
        <v>398</v>
      </c>
      <c r="E25" s="1297">
        <v>5734</v>
      </c>
      <c r="F25" s="1297">
        <v>185</v>
      </c>
      <c r="G25" s="1474" t="s">
        <v>1089</v>
      </c>
      <c r="H25" s="1474">
        <v>7.96</v>
      </c>
      <c r="I25" s="1500">
        <v>11.29</v>
      </c>
      <c r="J25" s="1496"/>
    </row>
    <row r="26" spans="2:10" ht="15" hidden="1" customHeight="1">
      <c r="B26" s="1498">
        <v>36892</v>
      </c>
      <c r="C26" s="1495">
        <v>10</v>
      </c>
      <c r="D26" s="1297">
        <v>590</v>
      </c>
      <c r="E26" s="1297">
        <v>4252</v>
      </c>
      <c r="F26" s="1297">
        <v>185</v>
      </c>
      <c r="G26" s="1474" t="s">
        <v>1090</v>
      </c>
      <c r="H26" s="1474">
        <v>6.8</v>
      </c>
      <c r="I26" s="1500">
        <v>11.05</v>
      </c>
      <c r="J26" s="1496"/>
    </row>
    <row r="27" spans="2:10" ht="15" hidden="1" customHeight="1">
      <c r="B27" s="1498">
        <v>36923</v>
      </c>
      <c r="C27" s="1495">
        <v>30</v>
      </c>
      <c r="D27" s="1297">
        <v>594</v>
      </c>
      <c r="E27" s="1297">
        <v>4815</v>
      </c>
      <c r="F27" s="1297">
        <v>172</v>
      </c>
      <c r="G27" s="1474" t="s">
        <v>1091</v>
      </c>
      <c r="H27" s="1474">
        <v>7.2584999999999997</v>
      </c>
      <c r="I27" s="1500">
        <v>11.2</v>
      </c>
      <c r="J27" s="1496"/>
    </row>
    <row r="28" spans="2:10" ht="15" hidden="1" customHeight="1">
      <c r="B28" s="1498">
        <v>36951</v>
      </c>
      <c r="C28" s="1495">
        <v>40</v>
      </c>
      <c r="D28" s="1297">
        <v>410</v>
      </c>
      <c r="E28" s="1297">
        <v>4583</v>
      </c>
      <c r="F28" s="1297">
        <v>148</v>
      </c>
      <c r="G28" s="1474" t="s">
        <v>1092</v>
      </c>
      <c r="H28" s="1474">
        <v>7.5</v>
      </c>
      <c r="I28" s="1500">
        <v>10.67</v>
      </c>
      <c r="J28" s="1496"/>
    </row>
    <row r="29" spans="2:10" ht="15" hidden="1" customHeight="1">
      <c r="B29" s="1498">
        <v>36982</v>
      </c>
      <c r="C29" s="1495">
        <v>50</v>
      </c>
      <c r="D29" s="1297">
        <v>560</v>
      </c>
      <c r="E29" s="1297">
        <v>8724</v>
      </c>
      <c r="F29" s="1297">
        <v>291</v>
      </c>
      <c r="G29" s="1474" t="s">
        <v>1093</v>
      </c>
      <c r="H29" s="1474">
        <v>7.8</v>
      </c>
      <c r="I29" s="1500">
        <v>11.01</v>
      </c>
      <c r="J29" s="1496"/>
    </row>
    <row r="30" spans="2:10" ht="15" hidden="1" customHeight="1">
      <c r="B30" s="1498">
        <v>37012</v>
      </c>
      <c r="C30" s="1495">
        <v>80</v>
      </c>
      <c r="D30" s="1297">
        <v>435</v>
      </c>
      <c r="E30" s="1297">
        <v>5942</v>
      </c>
      <c r="F30" s="1297">
        <v>192</v>
      </c>
      <c r="G30" s="1474" t="s">
        <v>1094</v>
      </c>
      <c r="H30" s="1474">
        <v>8.43</v>
      </c>
      <c r="I30" s="1500">
        <v>11.53</v>
      </c>
      <c r="J30" s="1496"/>
    </row>
    <row r="31" spans="2:10" ht="15" hidden="1" customHeight="1">
      <c r="B31" s="1498">
        <v>37043</v>
      </c>
      <c r="C31" s="1495">
        <v>10</v>
      </c>
      <c r="D31" s="1297">
        <v>570</v>
      </c>
      <c r="E31" s="1297">
        <v>5355</v>
      </c>
      <c r="F31" s="1297">
        <v>178.5</v>
      </c>
      <c r="G31" s="1474" t="s">
        <v>1095</v>
      </c>
      <c r="H31" s="1474">
        <v>7.29</v>
      </c>
      <c r="I31" s="1480">
        <v>11.12</v>
      </c>
      <c r="J31" s="1496"/>
    </row>
    <row r="32" spans="2:10" ht="15" hidden="1" customHeight="1">
      <c r="B32" s="1498">
        <v>37073</v>
      </c>
      <c r="C32" s="1495">
        <v>50</v>
      </c>
      <c r="D32" s="1297">
        <v>570</v>
      </c>
      <c r="E32" s="1297">
        <v>6170</v>
      </c>
      <c r="F32" s="1297">
        <v>199</v>
      </c>
      <c r="G32" s="1474" t="s">
        <v>1086</v>
      </c>
      <c r="H32" s="1474">
        <v>7.18</v>
      </c>
      <c r="I32" s="1500">
        <v>11.03</v>
      </c>
      <c r="J32" s="1496"/>
    </row>
    <row r="33" spans="2:10" ht="15" hidden="1" customHeight="1">
      <c r="B33" s="1498">
        <v>37104</v>
      </c>
      <c r="C33" s="1495">
        <v>35</v>
      </c>
      <c r="D33" s="1297">
        <v>482</v>
      </c>
      <c r="E33" s="1297">
        <v>4954</v>
      </c>
      <c r="F33" s="1297">
        <v>160</v>
      </c>
      <c r="G33" s="1474" t="s">
        <v>1096</v>
      </c>
      <c r="H33" s="1474">
        <v>7.28</v>
      </c>
      <c r="I33" s="1500">
        <v>10.51</v>
      </c>
      <c r="J33" s="1496"/>
    </row>
    <row r="34" spans="2:10" ht="15" hidden="1" customHeight="1">
      <c r="B34" s="1498">
        <v>37135</v>
      </c>
      <c r="C34" s="1495">
        <v>3</v>
      </c>
      <c r="D34" s="1297">
        <v>333</v>
      </c>
      <c r="E34" s="1297">
        <v>4828</v>
      </c>
      <c r="F34" s="1297">
        <v>161</v>
      </c>
      <c r="G34" s="1474" t="s">
        <v>1097</v>
      </c>
      <c r="H34" s="1474">
        <v>7.13</v>
      </c>
      <c r="I34" s="1480">
        <v>10.14</v>
      </c>
      <c r="J34" s="1496"/>
    </row>
    <row r="35" spans="2:10" ht="15" hidden="1" customHeight="1">
      <c r="B35" s="1498">
        <v>37165</v>
      </c>
      <c r="C35" s="1495">
        <v>115</v>
      </c>
      <c r="D35" s="1297">
        <v>615</v>
      </c>
      <c r="E35" s="1297">
        <v>9010</v>
      </c>
      <c r="F35" s="1297">
        <v>291</v>
      </c>
      <c r="G35" s="1474" t="s">
        <v>1098</v>
      </c>
      <c r="H35" s="1474">
        <v>7.12</v>
      </c>
      <c r="I35" s="1500">
        <v>10.36</v>
      </c>
      <c r="J35" s="1496"/>
    </row>
    <row r="36" spans="2:10" ht="15" hidden="1" customHeight="1">
      <c r="B36" s="1498">
        <v>37196</v>
      </c>
      <c r="C36" s="1495">
        <v>50</v>
      </c>
      <c r="D36" s="1297">
        <v>720</v>
      </c>
      <c r="E36" s="1297">
        <v>7487</v>
      </c>
      <c r="F36" s="1297">
        <v>267</v>
      </c>
      <c r="G36" s="1474" t="s">
        <v>1099</v>
      </c>
      <c r="H36" s="1474">
        <v>6.86</v>
      </c>
      <c r="I36" s="1500">
        <v>9.89</v>
      </c>
      <c r="J36" s="1496"/>
    </row>
    <row r="37" spans="2:10" ht="15" hidden="1" customHeight="1">
      <c r="B37" s="1498">
        <v>37226</v>
      </c>
      <c r="C37" s="1495">
        <v>30</v>
      </c>
      <c r="D37" s="1297">
        <v>895</v>
      </c>
      <c r="E37" s="1297">
        <v>9060</v>
      </c>
      <c r="F37" s="1297">
        <v>292</v>
      </c>
      <c r="G37" s="1474" t="s">
        <v>1100</v>
      </c>
      <c r="H37" s="1474">
        <v>6.95</v>
      </c>
      <c r="I37" s="1500">
        <v>10.27</v>
      </c>
      <c r="J37" s="1496"/>
    </row>
    <row r="38" spans="2:10" ht="15" hidden="1" customHeight="1">
      <c r="B38" s="1498">
        <v>37257</v>
      </c>
      <c r="C38" s="1495">
        <v>5</v>
      </c>
      <c r="D38" s="1297">
        <v>310</v>
      </c>
      <c r="E38" s="1473">
        <v>3355</v>
      </c>
      <c r="F38" s="1297">
        <v>116</v>
      </c>
      <c r="G38" s="1474" t="s">
        <v>1101</v>
      </c>
      <c r="H38" s="1474">
        <v>6.69</v>
      </c>
      <c r="I38" s="1480">
        <v>10.039999999999999</v>
      </c>
      <c r="J38" s="1496"/>
    </row>
    <row r="39" spans="2:10" ht="15" hidden="1" customHeight="1">
      <c r="B39" s="1498">
        <v>37316</v>
      </c>
      <c r="C39" s="1495">
        <v>5</v>
      </c>
      <c r="D39" s="1297">
        <v>418</v>
      </c>
      <c r="E39" s="1473">
        <v>7338</v>
      </c>
      <c r="F39" s="1297">
        <v>237</v>
      </c>
      <c r="G39" s="1474" t="s">
        <v>1102</v>
      </c>
      <c r="H39" s="1474">
        <v>6.63</v>
      </c>
      <c r="I39" s="1480">
        <v>9.9</v>
      </c>
      <c r="J39" s="1496"/>
    </row>
    <row r="40" spans="2:10" ht="15" hidden="1" customHeight="1">
      <c r="B40" s="1498">
        <v>37347</v>
      </c>
      <c r="C40" s="1495">
        <v>70</v>
      </c>
      <c r="D40" s="1297">
        <v>310</v>
      </c>
      <c r="E40" s="1473">
        <v>5516</v>
      </c>
      <c r="F40" s="1297">
        <v>184</v>
      </c>
      <c r="G40" s="1474" t="s">
        <v>1103</v>
      </c>
      <c r="H40" s="1474">
        <v>6.74</v>
      </c>
      <c r="I40" s="1480">
        <v>10.09</v>
      </c>
      <c r="J40" s="1496"/>
    </row>
    <row r="41" spans="2:10" ht="15" hidden="1" customHeight="1">
      <c r="B41" s="1498">
        <v>37377</v>
      </c>
      <c r="C41" s="1495">
        <v>30</v>
      </c>
      <c r="D41" s="1297">
        <v>330</v>
      </c>
      <c r="E41" s="1473">
        <v>4300</v>
      </c>
      <c r="F41" s="1297">
        <v>143</v>
      </c>
      <c r="G41" s="1474" t="s">
        <v>1104</v>
      </c>
      <c r="H41" s="1474">
        <v>6.43</v>
      </c>
      <c r="I41" s="1480">
        <v>10.02</v>
      </c>
      <c r="J41" s="1496"/>
    </row>
    <row r="42" spans="2:10" ht="15" hidden="1" customHeight="1">
      <c r="B42" s="1498">
        <v>37408</v>
      </c>
      <c r="C42" s="1495">
        <v>10</v>
      </c>
      <c r="D42" s="1297">
        <v>390</v>
      </c>
      <c r="E42" s="1473">
        <v>2970</v>
      </c>
      <c r="F42" s="1297">
        <v>149</v>
      </c>
      <c r="G42" s="1474" t="s">
        <v>1105</v>
      </c>
      <c r="H42" s="1474">
        <v>6.5</v>
      </c>
      <c r="I42" s="1480">
        <v>9.92</v>
      </c>
      <c r="J42" s="1496"/>
    </row>
    <row r="43" spans="2:10" ht="15" hidden="1" customHeight="1">
      <c r="B43" s="1498">
        <v>37438</v>
      </c>
      <c r="C43" s="1495">
        <v>10</v>
      </c>
      <c r="D43" s="1297">
        <v>735</v>
      </c>
      <c r="E43" s="1473">
        <v>7661</v>
      </c>
      <c r="F43" s="1297">
        <v>255</v>
      </c>
      <c r="G43" s="1474" t="s">
        <v>1106</v>
      </c>
      <c r="H43" s="1474">
        <v>5.73</v>
      </c>
      <c r="I43" s="1480">
        <v>9.89</v>
      </c>
      <c r="J43" s="1496"/>
    </row>
    <row r="44" spans="2:10" ht="15" hidden="1" customHeight="1">
      <c r="B44" s="1498">
        <v>37469</v>
      </c>
      <c r="C44" s="1495">
        <v>10</v>
      </c>
      <c r="D44" s="1297">
        <v>455</v>
      </c>
      <c r="E44" s="1473">
        <v>8185</v>
      </c>
      <c r="F44" s="1297">
        <v>264</v>
      </c>
      <c r="G44" s="1474" t="s">
        <v>1107</v>
      </c>
      <c r="H44" s="1474">
        <v>7.37</v>
      </c>
      <c r="I44" s="1480">
        <v>9.73</v>
      </c>
    </row>
    <row r="45" spans="2:10" ht="15" hidden="1" customHeight="1">
      <c r="B45" s="1498">
        <v>37500</v>
      </c>
      <c r="C45" s="1495">
        <v>205</v>
      </c>
      <c r="D45" s="1297">
        <v>627</v>
      </c>
      <c r="E45" s="1473">
        <v>9421</v>
      </c>
      <c r="F45" s="1297">
        <v>314</v>
      </c>
      <c r="G45" s="1474" t="s">
        <v>1108</v>
      </c>
      <c r="H45" s="1474">
        <v>7.74</v>
      </c>
      <c r="I45" s="1480">
        <v>9.65</v>
      </c>
    </row>
    <row r="46" spans="2:10" ht="15" hidden="1" customHeight="1">
      <c r="B46" s="1498">
        <v>37530</v>
      </c>
      <c r="C46" s="1495">
        <v>250</v>
      </c>
      <c r="D46" s="1297">
        <v>812</v>
      </c>
      <c r="E46" s="1473">
        <v>17979</v>
      </c>
      <c r="F46" s="1297">
        <v>580</v>
      </c>
      <c r="G46" s="1474" t="s">
        <v>1107</v>
      </c>
      <c r="H46" s="1474">
        <v>7.67</v>
      </c>
      <c r="I46" s="1480">
        <v>10.07</v>
      </c>
    </row>
    <row r="47" spans="2:10" ht="15" hidden="1" customHeight="1">
      <c r="B47" s="1498">
        <v>37561</v>
      </c>
      <c r="C47" s="1495">
        <v>20</v>
      </c>
      <c r="D47" s="1297">
        <v>695</v>
      </c>
      <c r="E47" s="1473">
        <v>6205</v>
      </c>
      <c r="F47" s="1297">
        <v>270</v>
      </c>
      <c r="G47" s="1474" t="s">
        <v>1108</v>
      </c>
      <c r="H47" s="1474">
        <v>7.42</v>
      </c>
      <c r="I47" s="1480">
        <v>9.59</v>
      </c>
    </row>
    <row r="48" spans="2:10" ht="15" hidden="1" customHeight="1">
      <c r="B48" s="1498">
        <v>37591</v>
      </c>
      <c r="C48" s="1495">
        <v>10</v>
      </c>
      <c r="D48" s="1297">
        <v>235</v>
      </c>
      <c r="E48" s="1473">
        <v>2869</v>
      </c>
      <c r="F48" s="1297">
        <v>125</v>
      </c>
      <c r="G48" s="1474" t="s">
        <v>1109</v>
      </c>
      <c r="H48" s="1474">
        <v>4.92</v>
      </c>
      <c r="I48" s="1480">
        <v>9.17</v>
      </c>
    </row>
    <row r="49" spans="2:9" ht="15" hidden="1" customHeight="1">
      <c r="B49" s="1498">
        <v>37622</v>
      </c>
      <c r="C49" s="1495">
        <v>90</v>
      </c>
      <c r="D49" s="1297">
        <v>425</v>
      </c>
      <c r="E49" s="1473">
        <v>4318</v>
      </c>
      <c r="F49" s="1297">
        <v>254</v>
      </c>
      <c r="G49" s="1474" t="s">
        <v>1110</v>
      </c>
      <c r="H49" s="1474">
        <v>3.72</v>
      </c>
      <c r="I49" s="1480">
        <v>9.0399999999999991</v>
      </c>
    </row>
    <row r="50" spans="2:9" ht="15" hidden="1" customHeight="1">
      <c r="B50" s="1498">
        <v>37653</v>
      </c>
      <c r="C50" s="1495">
        <v>15</v>
      </c>
      <c r="D50" s="1297">
        <v>545</v>
      </c>
      <c r="E50" s="1473">
        <v>6869</v>
      </c>
      <c r="F50" s="1297">
        <v>275</v>
      </c>
      <c r="G50" s="1474" t="s">
        <v>1111</v>
      </c>
      <c r="H50" s="1474">
        <v>4.75</v>
      </c>
      <c r="I50" s="1480">
        <v>8.59</v>
      </c>
    </row>
    <row r="51" spans="2:9" ht="15" hidden="1" customHeight="1">
      <c r="B51" s="1498">
        <v>37681</v>
      </c>
      <c r="C51" s="1495">
        <v>30</v>
      </c>
      <c r="D51" s="1297">
        <v>200</v>
      </c>
      <c r="E51" s="1473">
        <v>2485</v>
      </c>
      <c r="F51" s="1297">
        <v>124</v>
      </c>
      <c r="G51" s="1474" t="s">
        <v>1112</v>
      </c>
      <c r="H51" s="1474">
        <v>3.64</v>
      </c>
      <c r="I51" s="1480">
        <v>8.5500000000000007</v>
      </c>
    </row>
    <row r="52" spans="2:9" ht="15" hidden="1" customHeight="1">
      <c r="B52" s="1498">
        <v>37712</v>
      </c>
      <c r="C52" s="1495">
        <v>5</v>
      </c>
      <c r="D52" s="1297">
        <v>530</v>
      </c>
      <c r="E52" s="1473">
        <v>4181</v>
      </c>
      <c r="F52" s="1297">
        <v>144</v>
      </c>
      <c r="G52" s="1474" t="s">
        <v>1113</v>
      </c>
      <c r="H52" s="1474">
        <v>3.66</v>
      </c>
      <c r="I52" s="1480">
        <v>8.5073333333333316</v>
      </c>
    </row>
    <row r="53" spans="2:9" ht="15" hidden="1" customHeight="1">
      <c r="B53" s="1498">
        <v>37742</v>
      </c>
      <c r="C53" s="1495">
        <v>10</v>
      </c>
      <c r="D53" s="1297">
        <v>565</v>
      </c>
      <c r="E53" s="1473">
        <v>6318</v>
      </c>
      <c r="F53" s="1297">
        <v>218</v>
      </c>
      <c r="G53" s="1474" t="s">
        <v>1114</v>
      </c>
      <c r="H53" s="1474">
        <v>4.12</v>
      </c>
      <c r="I53" s="1480">
        <v>8.3699999999999992</v>
      </c>
    </row>
    <row r="54" spans="2:9" ht="15" hidden="1" customHeight="1">
      <c r="B54" s="1498">
        <v>37773</v>
      </c>
      <c r="C54" s="1495">
        <v>28</v>
      </c>
      <c r="D54" s="1297">
        <v>275</v>
      </c>
      <c r="E54" s="1473">
        <v>2768</v>
      </c>
      <c r="F54" s="1297">
        <v>115</v>
      </c>
      <c r="G54" s="1474" t="s">
        <v>1111</v>
      </c>
      <c r="H54" s="1474">
        <v>4.45</v>
      </c>
      <c r="I54" s="1480">
        <v>8.3699999999999992</v>
      </c>
    </row>
    <row r="55" spans="2:9" ht="15" hidden="1" customHeight="1">
      <c r="B55" s="1498">
        <v>37803</v>
      </c>
      <c r="C55" s="1495">
        <v>20</v>
      </c>
      <c r="D55" s="1297">
        <v>975</v>
      </c>
      <c r="E55" s="1473">
        <v>12795</v>
      </c>
      <c r="F55" s="1297">
        <v>413</v>
      </c>
      <c r="G55" s="1474" t="s">
        <v>1115</v>
      </c>
      <c r="H55" s="1474">
        <v>4.08</v>
      </c>
      <c r="I55" s="1480">
        <v>8.33</v>
      </c>
    </row>
    <row r="56" spans="2:9" ht="15" hidden="1" customHeight="1">
      <c r="B56" s="1498">
        <v>37834</v>
      </c>
      <c r="C56" s="1495">
        <v>110</v>
      </c>
      <c r="D56" s="1297">
        <v>595</v>
      </c>
      <c r="E56" s="1473">
        <v>5646</v>
      </c>
      <c r="F56" s="1297">
        <v>268.85000000000002</v>
      </c>
      <c r="G56" s="1474" t="s">
        <v>1116</v>
      </c>
      <c r="H56" s="1474">
        <v>3.89</v>
      </c>
      <c r="I56" s="1480">
        <v>8.42</v>
      </c>
    </row>
    <row r="57" spans="2:9" ht="15.75" hidden="1" customHeight="1">
      <c r="B57" s="1498">
        <v>37865</v>
      </c>
      <c r="C57" s="1495">
        <v>20</v>
      </c>
      <c r="D57" s="1297">
        <v>130</v>
      </c>
      <c r="E57" s="1473">
        <v>668</v>
      </c>
      <c r="F57" s="1297">
        <v>67</v>
      </c>
      <c r="G57" s="1474" t="s">
        <v>1117</v>
      </c>
      <c r="H57" s="1474">
        <v>2.78</v>
      </c>
      <c r="I57" s="1480">
        <v>8.2799999999999994</v>
      </c>
    </row>
    <row r="58" spans="2:9" ht="15" hidden="1" customHeight="1">
      <c r="B58" s="1498">
        <v>37895</v>
      </c>
      <c r="C58" s="1495">
        <v>10</v>
      </c>
      <c r="D58" s="1297">
        <v>552</v>
      </c>
      <c r="E58" s="1473">
        <v>3155</v>
      </c>
      <c r="F58" s="1297">
        <v>186</v>
      </c>
      <c r="G58" s="1474" t="s">
        <v>1118</v>
      </c>
      <c r="H58" s="1474">
        <v>1.96</v>
      </c>
      <c r="I58" s="1480">
        <v>7.83</v>
      </c>
    </row>
    <row r="59" spans="2:9" ht="15" hidden="1" customHeight="1">
      <c r="B59" s="1498">
        <v>37926</v>
      </c>
      <c r="C59" s="1495">
        <v>10</v>
      </c>
      <c r="D59" s="1297">
        <v>431</v>
      </c>
      <c r="E59" s="1473">
        <v>2211</v>
      </c>
      <c r="F59" s="1297">
        <v>130</v>
      </c>
      <c r="G59" s="1474" t="s">
        <v>1119</v>
      </c>
      <c r="H59" s="1474">
        <v>1.26</v>
      </c>
      <c r="I59" s="1480">
        <v>7.806</v>
      </c>
    </row>
    <row r="60" spans="2:9" ht="15" hidden="1" customHeight="1">
      <c r="B60" s="1498">
        <v>37956</v>
      </c>
      <c r="C60" s="1495">
        <v>50</v>
      </c>
      <c r="D60" s="1297">
        <v>695</v>
      </c>
      <c r="E60" s="1473">
        <v>5392</v>
      </c>
      <c r="F60" s="1297">
        <v>174</v>
      </c>
      <c r="G60" s="1474" t="s">
        <v>1120</v>
      </c>
      <c r="H60" s="1474">
        <v>1.4</v>
      </c>
      <c r="I60" s="1480">
        <v>7.35</v>
      </c>
    </row>
    <row r="61" spans="2:9" ht="15" hidden="1" customHeight="1">
      <c r="B61" s="1498">
        <v>37987</v>
      </c>
      <c r="C61" s="1495">
        <v>1</v>
      </c>
      <c r="D61" s="1297">
        <v>695</v>
      </c>
      <c r="E61" s="1473">
        <v>5670</v>
      </c>
      <c r="F61" s="1297">
        <v>247</v>
      </c>
      <c r="G61" s="1474" t="s">
        <v>1120</v>
      </c>
      <c r="H61" s="1474">
        <v>1.27</v>
      </c>
      <c r="I61" s="1480">
        <v>7.1</v>
      </c>
    </row>
    <row r="62" spans="2:9" ht="15" hidden="1" customHeight="1">
      <c r="B62" s="1498">
        <v>38018</v>
      </c>
      <c r="C62" s="1495">
        <v>15</v>
      </c>
      <c r="D62" s="1297">
        <v>875</v>
      </c>
      <c r="E62" s="1473">
        <v>6570</v>
      </c>
      <c r="F62" s="1297">
        <v>365</v>
      </c>
      <c r="G62" s="1474" t="s">
        <v>1121</v>
      </c>
      <c r="H62" s="1474">
        <v>1.45</v>
      </c>
      <c r="I62" s="1480">
        <v>6.3</v>
      </c>
    </row>
    <row r="63" spans="2:9" ht="15" hidden="1" customHeight="1">
      <c r="B63" s="1498">
        <v>38047</v>
      </c>
      <c r="C63" s="1495">
        <v>25</v>
      </c>
      <c r="D63" s="1297">
        <v>190</v>
      </c>
      <c r="E63" s="1473">
        <v>2405</v>
      </c>
      <c r="F63" s="1297">
        <v>93</v>
      </c>
      <c r="G63" s="1474" t="s">
        <v>1122</v>
      </c>
      <c r="H63" s="1474">
        <v>1</v>
      </c>
      <c r="I63" s="1480">
        <v>5.31</v>
      </c>
    </row>
    <row r="64" spans="2:9" ht="15" hidden="1" customHeight="1">
      <c r="B64" s="1498">
        <v>38078</v>
      </c>
      <c r="C64" s="1495">
        <v>10</v>
      </c>
      <c r="D64" s="1297">
        <v>695</v>
      </c>
      <c r="E64" s="1473">
        <v>4911</v>
      </c>
      <c r="F64" s="1297">
        <v>163.69999999999999</v>
      </c>
      <c r="G64" s="1474" t="s">
        <v>1123</v>
      </c>
      <c r="H64" s="1474">
        <v>1.0026999999999999</v>
      </c>
      <c r="I64" s="1480">
        <v>4.25</v>
      </c>
    </row>
    <row r="65" spans="2:9" ht="15" hidden="1" customHeight="1">
      <c r="B65" s="1498">
        <v>38108</v>
      </c>
      <c r="C65" s="1495">
        <v>10</v>
      </c>
      <c r="D65" s="1297">
        <v>350</v>
      </c>
      <c r="E65" s="1473">
        <v>2915</v>
      </c>
      <c r="F65" s="1297">
        <v>101</v>
      </c>
      <c r="G65" s="1474">
        <v>1</v>
      </c>
      <c r="H65" s="1474">
        <v>1</v>
      </c>
      <c r="I65" s="1480">
        <v>3.43</v>
      </c>
    </row>
    <row r="66" spans="2:9" ht="15" hidden="1" customHeight="1">
      <c r="B66" s="1498">
        <v>38139</v>
      </c>
      <c r="C66" s="1495">
        <v>40</v>
      </c>
      <c r="D66" s="1297">
        <v>1100</v>
      </c>
      <c r="E66" s="1473">
        <v>7232</v>
      </c>
      <c r="F66" s="1297">
        <v>241.1</v>
      </c>
      <c r="G66" s="1474" t="s">
        <v>1124</v>
      </c>
      <c r="H66" s="1474">
        <v>1.02</v>
      </c>
      <c r="I66" s="1480">
        <v>4.55</v>
      </c>
    </row>
    <row r="67" spans="2:9" ht="15" hidden="1" customHeight="1">
      <c r="B67" s="1498">
        <v>38169</v>
      </c>
      <c r="C67" s="1495">
        <v>40</v>
      </c>
      <c r="D67" s="1297">
        <v>375</v>
      </c>
      <c r="E67" s="1473">
        <v>5978</v>
      </c>
      <c r="F67" s="1297">
        <v>193</v>
      </c>
      <c r="G67" s="1474" t="s">
        <v>1125</v>
      </c>
      <c r="H67" s="1474">
        <v>1.07</v>
      </c>
      <c r="I67" s="1480">
        <v>5.03</v>
      </c>
    </row>
    <row r="68" spans="2:9" ht="15" hidden="1" customHeight="1">
      <c r="B68" s="1498">
        <v>38200</v>
      </c>
      <c r="C68" s="1495">
        <v>20</v>
      </c>
      <c r="D68" s="1297">
        <v>870</v>
      </c>
      <c r="E68" s="1473">
        <v>11835</v>
      </c>
      <c r="F68" s="1297">
        <v>438.3</v>
      </c>
      <c r="G68" s="1474" t="s">
        <v>1126</v>
      </c>
      <c r="H68" s="1474">
        <v>1</v>
      </c>
      <c r="I68" s="1480">
        <v>5.26</v>
      </c>
    </row>
    <row r="69" spans="2:9" ht="15" hidden="1" customHeight="1">
      <c r="B69" s="1498">
        <v>38231</v>
      </c>
      <c r="C69" s="1495">
        <v>200</v>
      </c>
      <c r="D69" s="1297">
        <v>1170</v>
      </c>
      <c r="E69" s="1473">
        <v>11979</v>
      </c>
      <c r="F69" s="1297">
        <v>444</v>
      </c>
      <c r="G69" s="1474" t="s">
        <v>1127</v>
      </c>
      <c r="H69" s="1474">
        <v>1</v>
      </c>
      <c r="I69" s="1480">
        <v>5.38</v>
      </c>
    </row>
    <row r="70" spans="2:9" ht="15" hidden="1" customHeight="1">
      <c r="B70" s="1498">
        <v>38261</v>
      </c>
      <c r="C70" s="1495">
        <v>220</v>
      </c>
      <c r="D70" s="1297">
        <v>1090</v>
      </c>
      <c r="E70" s="1473">
        <v>19154</v>
      </c>
      <c r="F70" s="1297">
        <v>617.87</v>
      </c>
      <c r="G70" s="1474" t="s">
        <v>1120</v>
      </c>
      <c r="H70" s="1474">
        <v>1.35</v>
      </c>
      <c r="I70" s="1480">
        <v>5.3606451612903223</v>
      </c>
    </row>
    <row r="71" spans="2:9" ht="15" hidden="1" customHeight="1">
      <c r="B71" s="1498">
        <v>38292</v>
      </c>
      <c r="C71" s="1495">
        <v>8</v>
      </c>
      <c r="D71" s="1297">
        <v>715</v>
      </c>
      <c r="E71" s="1473">
        <v>4458</v>
      </c>
      <c r="F71" s="1297">
        <v>186</v>
      </c>
      <c r="G71" s="1474" t="s">
        <v>1128</v>
      </c>
      <c r="H71" s="1474">
        <v>3.51</v>
      </c>
      <c r="I71" s="1480">
        <v>5.64</v>
      </c>
    </row>
    <row r="72" spans="2:9" ht="15" hidden="1" customHeight="1">
      <c r="B72" s="1498">
        <v>38322</v>
      </c>
      <c r="C72" s="1495">
        <v>30</v>
      </c>
      <c r="D72" s="1297">
        <v>860</v>
      </c>
      <c r="E72" s="1473">
        <v>10355</v>
      </c>
      <c r="F72" s="1297">
        <v>334.03</v>
      </c>
      <c r="G72" s="1474" t="s">
        <v>1128</v>
      </c>
      <c r="H72" s="1474">
        <v>1.69</v>
      </c>
      <c r="I72" s="1480">
        <v>5.6</v>
      </c>
    </row>
    <row r="73" spans="2:9" ht="15" hidden="1" customHeight="1">
      <c r="B73" s="1498">
        <v>38353</v>
      </c>
      <c r="C73" s="1495">
        <v>15</v>
      </c>
      <c r="D73" s="1297">
        <v>553</v>
      </c>
      <c r="E73" s="1473">
        <v>7391</v>
      </c>
      <c r="F73" s="1297">
        <v>238.4</v>
      </c>
      <c r="G73" s="1474" t="s">
        <v>1129</v>
      </c>
      <c r="H73" s="1474">
        <v>1.67</v>
      </c>
      <c r="I73" s="1480">
        <v>5.5</v>
      </c>
    </row>
    <row r="74" spans="2:9" ht="15" hidden="1" customHeight="1">
      <c r="B74" s="1498">
        <v>38384</v>
      </c>
      <c r="C74" s="1495">
        <v>135</v>
      </c>
      <c r="D74" s="1297">
        <v>915</v>
      </c>
      <c r="E74" s="1473">
        <v>11798.5</v>
      </c>
      <c r="F74" s="1297">
        <v>437</v>
      </c>
      <c r="G74" s="1474" t="s">
        <v>1130</v>
      </c>
      <c r="H74" s="1474">
        <v>2.08</v>
      </c>
      <c r="I74" s="1480">
        <v>5.7</v>
      </c>
    </row>
    <row r="75" spans="2:9" ht="15" hidden="1" customHeight="1">
      <c r="B75" s="1498">
        <v>38412</v>
      </c>
      <c r="C75" s="1495">
        <v>93</v>
      </c>
      <c r="D75" s="1297">
        <v>468</v>
      </c>
      <c r="E75" s="1473">
        <v>7692</v>
      </c>
      <c r="F75" s="1297">
        <v>248</v>
      </c>
      <c r="G75" s="1501" t="s">
        <v>1131</v>
      </c>
      <c r="H75" s="1474">
        <v>1.89</v>
      </c>
      <c r="I75" s="1480">
        <v>6.14</v>
      </c>
    </row>
    <row r="76" spans="2:9" ht="15" hidden="1" customHeight="1">
      <c r="B76" s="1498">
        <v>38443</v>
      </c>
      <c r="C76" s="1495">
        <v>5</v>
      </c>
      <c r="D76" s="1297">
        <v>665</v>
      </c>
      <c r="E76" s="1473">
        <v>6352</v>
      </c>
      <c r="F76" s="1297">
        <v>244.3</v>
      </c>
      <c r="G76" s="1501" t="s">
        <v>1132</v>
      </c>
      <c r="H76" s="1474">
        <v>1.49</v>
      </c>
      <c r="I76" s="1480">
        <v>6.01</v>
      </c>
    </row>
    <row r="77" spans="2:9" ht="15" hidden="1" customHeight="1">
      <c r="B77" s="1498">
        <v>38473</v>
      </c>
      <c r="C77" s="1495">
        <v>80</v>
      </c>
      <c r="D77" s="1297">
        <v>545</v>
      </c>
      <c r="E77" s="1473">
        <v>6923</v>
      </c>
      <c r="F77" s="1297">
        <v>223.3</v>
      </c>
      <c r="G77" s="1474" t="s">
        <v>1119</v>
      </c>
      <c r="H77" s="1474">
        <v>1.43</v>
      </c>
      <c r="I77" s="1480">
        <v>6.01</v>
      </c>
    </row>
    <row r="78" spans="2:9" ht="15" hidden="1" customHeight="1">
      <c r="B78" s="1498">
        <v>38504</v>
      </c>
      <c r="C78" s="1495">
        <v>10</v>
      </c>
      <c r="D78" s="1297">
        <v>465</v>
      </c>
      <c r="E78" s="1473">
        <v>5208</v>
      </c>
      <c r="F78" s="1297">
        <v>179.6</v>
      </c>
      <c r="G78" s="1474" t="s">
        <v>1133</v>
      </c>
      <c r="H78" s="1474">
        <v>1.62</v>
      </c>
      <c r="I78" s="1480">
        <v>5.98</v>
      </c>
    </row>
    <row r="79" spans="2:9" ht="15" hidden="1" customHeight="1">
      <c r="B79" s="1498">
        <v>38534</v>
      </c>
      <c r="C79" s="1495">
        <v>35</v>
      </c>
      <c r="D79" s="1297">
        <v>1080</v>
      </c>
      <c r="E79" s="1473">
        <v>9733</v>
      </c>
      <c r="F79" s="1297">
        <v>361</v>
      </c>
      <c r="G79" s="1474" t="s">
        <v>1134</v>
      </c>
      <c r="H79" s="1474">
        <v>1.74</v>
      </c>
      <c r="I79" s="1480">
        <v>5.94</v>
      </c>
    </row>
    <row r="80" spans="2:9" ht="15" hidden="1" customHeight="1">
      <c r="B80" s="1498">
        <v>38565</v>
      </c>
      <c r="C80" s="1495">
        <v>45</v>
      </c>
      <c r="D80" s="1297">
        <v>635</v>
      </c>
      <c r="E80" s="1473">
        <v>8734</v>
      </c>
      <c r="F80" s="1297">
        <v>281.7</v>
      </c>
      <c r="G80" s="1474" t="s">
        <v>1135</v>
      </c>
      <c r="H80" s="1474">
        <v>4.9000000000000004</v>
      </c>
      <c r="I80" s="1480">
        <v>6.22</v>
      </c>
    </row>
    <row r="81" spans="2:16" ht="15" hidden="1" customHeight="1">
      <c r="B81" s="1498">
        <v>38596</v>
      </c>
      <c r="C81" s="1495">
        <v>20</v>
      </c>
      <c r="D81" s="1297">
        <v>525</v>
      </c>
      <c r="E81" s="1473">
        <v>5817</v>
      </c>
      <c r="F81" s="1297">
        <v>232.7</v>
      </c>
      <c r="G81" s="1474" t="s">
        <v>1136</v>
      </c>
      <c r="H81" s="1474">
        <v>2.98</v>
      </c>
      <c r="I81" s="1480">
        <v>6.4</v>
      </c>
    </row>
    <row r="82" spans="2:16" ht="15" hidden="1" customHeight="1">
      <c r="B82" s="1498">
        <v>38626</v>
      </c>
      <c r="C82" s="1495">
        <v>140</v>
      </c>
      <c r="D82" s="1297">
        <v>965</v>
      </c>
      <c r="E82" s="1473">
        <v>14032</v>
      </c>
      <c r="F82" s="1297">
        <v>452.6</v>
      </c>
      <c r="G82" s="1474" t="s">
        <v>1137</v>
      </c>
      <c r="H82" s="1474">
        <v>2.82</v>
      </c>
      <c r="I82" s="1480">
        <v>6.38</v>
      </c>
      <c r="L82" s="1502"/>
      <c r="M82" s="1485"/>
      <c r="N82" s="1485"/>
      <c r="O82" s="1485"/>
      <c r="P82" s="1485"/>
    </row>
    <row r="83" spans="2:16" ht="15" hidden="1" customHeight="1">
      <c r="B83" s="1498">
        <v>38657</v>
      </c>
      <c r="C83" s="1495">
        <v>100</v>
      </c>
      <c r="D83" s="1297">
        <v>690</v>
      </c>
      <c r="E83" s="1473">
        <v>6927</v>
      </c>
      <c r="F83" s="1297">
        <v>238.9</v>
      </c>
      <c r="G83" s="1474" t="s">
        <v>1137</v>
      </c>
      <c r="H83" s="1474">
        <v>2.89</v>
      </c>
      <c r="I83" s="1480">
        <v>6.42</v>
      </c>
      <c r="L83" s="1485"/>
      <c r="M83" s="1485"/>
      <c r="N83" s="1485"/>
      <c r="O83" s="1485"/>
      <c r="P83" s="1485"/>
    </row>
    <row r="84" spans="2:16" ht="15" hidden="1" customHeight="1">
      <c r="B84" s="1498">
        <v>38687</v>
      </c>
      <c r="C84" s="1495">
        <v>40</v>
      </c>
      <c r="D84" s="1297">
        <v>1175</v>
      </c>
      <c r="E84" s="1473">
        <v>10982</v>
      </c>
      <c r="F84" s="1297">
        <v>366.1</v>
      </c>
      <c r="G84" s="1474" t="s">
        <v>1138</v>
      </c>
      <c r="H84" s="1474">
        <v>3.87</v>
      </c>
      <c r="I84" s="1480">
        <v>7.16</v>
      </c>
      <c r="L84" s="1485"/>
      <c r="M84" s="1485"/>
      <c r="N84" s="1485"/>
      <c r="O84" s="1485"/>
      <c r="P84" s="1485"/>
    </row>
    <row r="85" spans="2:16" ht="15" hidden="1" customHeight="1">
      <c r="B85" s="1498">
        <v>38718</v>
      </c>
      <c r="C85" s="1495">
        <v>40</v>
      </c>
      <c r="D85" s="1297">
        <v>1175</v>
      </c>
      <c r="E85" s="1473">
        <v>11848</v>
      </c>
      <c r="F85" s="1297">
        <v>382.19</v>
      </c>
      <c r="G85" s="1474" t="s">
        <v>1139</v>
      </c>
      <c r="H85" s="1474">
        <v>5.68</v>
      </c>
      <c r="I85" s="1480">
        <v>7.53</v>
      </c>
      <c r="L85" s="1485"/>
      <c r="M85" s="1485"/>
      <c r="N85" s="1485"/>
      <c r="O85" s="1485"/>
      <c r="P85" s="1485"/>
    </row>
    <row r="86" spans="2:16" ht="15" hidden="1" customHeight="1">
      <c r="B86" s="1498">
        <v>38749</v>
      </c>
      <c r="C86" s="1495">
        <v>30</v>
      </c>
      <c r="D86" s="1297">
        <v>725</v>
      </c>
      <c r="E86" s="1473">
        <v>5512</v>
      </c>
      <c r="F86" s="1297">
        <v>220</v>
      </c>
      <c r="G86" s="1474" t="s">
        <v>1140</v>
      </c>
      <c r="H86" s="1474">
        <v>3.87</v>
      </c>
      <c r="I86" s="1480">
        <v>7.44</v>
      </c>
      <c r="L86" s="1485"/>
      <c r="M86" s="1485"/>
      <c r="N86" s="1485"/>
      <c r="O86" s="1485"/>
      <c r="P86" s="1485"/>
    </row>
    <row r="87" spans="2:16" ht="15" hidden="1" customHeight="1">
      <c r="B87" s="1498">
        <v>38777</v>
      </c>
      <c r="C87" s="1495">
        <v>19</v>
      </c>
      <c r="D87" s="1297">
        <v>280</v>
      </c>
      <c r="E87" s="1473">
        <v>2453</v>
      </c>
      <c r="F87" s="1297">
        <v>82</v>
      </c>
      <c r="G87" s="1474" t="s">
        <v>1140</v>
      </c>
      <c r="H87" s="1474">
        <v>3.83</v>
      </c>
      <c r="I87" s="1480">
        <v>7.52</v>
      </c>
      <c r="L87" s="1485"/>
      <c r="M87" s="1485"/>
      <c r="N87" s="1485"/>
      <c r="O87" s="1485"/>
      <c r="P87" s="1485"/>
    </row>
    <row r="88" spans="2:16" ht="15" hidden="1" customHeight="1">
      <c r="B88" s="1498">
        <v>38808</v>
      </c>
      <c r="C88" s="1495">
        <v>44</v>
      </c>
      <c r="D88" s="1297">
        <v>630</v>
      </c>
      <c r="E88" s="1473">
        <v>10167</v>
      </c>
      <c r="F88" s="1297">
        <v>363.1</v>
      </c>
      <c r="G88" s="1474" t="s">
        <v>1141</v>
      </c>
      <c r="H88" s="1474">
        <v>3.88</v>
      </c>
      <c r="I88" s="1480">
        <v>7.51</v>
      </c>
      <c r="L88" s="1485"/>
      <c r="M88" s="1497"/>
      <c r="N88" s="1485"/>
      <c r="O88" s="1497"/>
      <c r="P88" s="1486"/>
    </row>
    <row r="89" spans="2:16" ht="15" hidden="1" customHeight="1">
      <c r="B89" s="1498">
        <v>38838</v>
      </c>
      <c r="C89" s="1495">
        <v>15</v>
      </c>
      <c r="D89" s="1297">
        <v>1050</v>
      </c>
      <c r="E89" s="1473">
        <v>10439</v>
      </c>
      <c r="F89" s="1297">
        <v>336.7</v>
      </c>
      <c r="G89" s="1474" t="s">
        <v>995</v>
      </c>
      <c r="H89" s="1474">
        <v>3.52</v>
      </c>
      <c r="I89" s="1480">
        <v>7.47</v>
      </c>
    </row>
    <row r="90" spans="2:16" ht="15" hidden="1" customHeight="1">
      <c r="B90" s="1498">
        <v>38869</v>
      </c>
      <c r="C90" s="1495">
        <v>6</v>
      </c>
      <c r="D90" s="1297">
        <v>625</v>
      </c>
      <c r="E90" s="1473">
        <v>4852</v>
      </c>
      <c r="F90" s="1297">
        <v>194.08</v>
      </c>
      <c r="G90" s="1474" t="s">
        <v>1142</v>
      </c>
      <c r="H90" s="1474">
        <v>3.54</v>
      </c>
      <c r="I90" s="1480">
        <v>7.34</v>
      </c>
    </row>
    <row r="91" spans="2:16" ht="15" hidden="1" customHeight="1">
      <c r="B91" s="1498">
        <v>38899</v>
      </c>
      <c r="C91" s="1495">
        <v>25</v>
      </c>
      <c r="D91" s="1297">
        <v>718.5</v>
      </c>
      <c r="E91" s="1473">
        <v>6063.5</v>
      </c>
      <c r="F91" s="1297">
        <v>209.09</v>
      </c>
      <c r="G91" s="1474" t="s">
        <v>1142</v>
      </c>
      <c r="H91" s="1474">
        <v>3.65</v>
      </c>
      <c r="I91" s="1480">
        <v>7.34</v>
      </c>
    </row>
    <row r="92" spans="2:16" ht="15" hidden="1" customHeight="1">
      <c r="B92" s="1498">
        <v>38930</v>
      </c>
      <c r="C92" s="1495">
        <v>205</v>
      </c>
      <c r="D92" s="1297">
        <v>1651</v>
      </c>
      <c r="E92" s="1473">
        <v>15286</v>
      </c>
      <c r="F92" s="1297">
        <v>493.09699999999998</v>
      </c>
      <c r="G92" s="1474" t="s">
        <v>1143</v>
      </c>
      <c r="H92" s="1474">
        <v>5.15</v>
      </c>
      <c r="I92" s="1480">
        <v>7.26</v>
      </c>
    </row>
    <row r="93" spans="2:16" ht="15" hidden="1" customHeight="1">
      <c r="B93" s="1498">
        <v>38961</v>
      </c>
      <c r="C93" s="1495">
        <v>40</v>
      </c>
      <c r="D93" s="1297">
        <v>1075</v>
      </c>
      <c r="E93" s="1473">
        <v>14115</v>
      </c>
      <c r="F93" s="1297">
        <v>470</v>
      </c>
      <c r="G93" s="1474" t="s">
        <v>1144</v>
      </c>
      <c r="H93" s="1474">
        <v>8.0399999999999991</v>
      </c>
      <c r="I93" s="1480">
        <v>8.7899999999999991</v>
      </c>
    </row>
    <row r="94" spans="2:16" ht="15" hidden="1" customHeight="1">
      <c r="B94" s="1498">
        <v>38991</v>
      </c>
      <c r="C94" s="1503">
        <v>450</v>
      </c>
      <c r="D94" s="1297">
        <v>1290</v>
      </c>
      <c r="E94" s="1297">
        <v>24863</v>
      </c>
      <c r="F94" s="1310">
        <v>802</v>
      </c>
      <c r="G94" s="1310" t="s">
        <v>1145</v>
      </c>
      <c r="H94" s="1310">
        <v>10.83</v>
      </c>
      <c r="I94" s="1504">
        <v>10.17</v>
      </c>
    </row>
    <row r="95" spans="2:16" ht="15" hidden="1" customHeight="1">
      <c r="B95" s="1498">
        <v>39022</v>
      </c>
      <c r="C95" s="1495">
        <v>197</v>
      </c>
      <c r="D95" s="1297">
        <v>1005</v>
      </c>
      <c r="E95" s="1473">
        <v>17569.5</v>
      </c>
      <c r="F95" s="1297">
        <v>585.65</v>
      </c>
      <c r="G95" s="1474" t="s">
        <v>1146</v>
      </c>
      <c r="H95" s="1474">
        <v>8.98</v>
      </c>
      <c r="I95" s="1480">
        <v>10.66</v>
      </c>
    </row>
    <row r="96" spans="2:16" ht="15" hidden="1" customHeight="1">
      <c r="B96" s="1498">
        <v>39052</v>
      </c>
      <c r="C96" s="1495">
        <v>10</v>
      </c>
      <c r="D96" s="1297">
        <v>595</v>
      </c>
      <c r="E96" s="1473">
        <v>6183.5</v>
      </c>
      <c r="F96" s="1297">
        <v>237.8</v>
      </c>
      <c r="G96" s="1474" t="s">
        <v>1147</v>
      </c>
      <c r="H96" s="1474">
        <v>8.86</v>
      </c>
      <c r="I96" s="1480">
        <v>11.84</v>
      </c>
    </row>
    <row r="97" spans="2:12" ht="15" hidden="1" customHeight="1">
      <c r="B97" s="1498">
        <v>39083</v>
      </c>
      <c r="C97" s="1495">
        <v>100</v>
      </c>
      <c r="D97" s="1297">
        <v>918</v>
      </c>
      <c r="E97" s="1473">
        <v>13445</v>
      </c>
      <c r="F97" s="1297">
        <v>433.7</v>
      </c>
      <c r="G97" s="1474" t="s">
        <v>1148</v>
      </c>
      <c r="H97" s="1474">
        <v>8.5500000000000007</v>
      </c>
      <c r="I97" s="1480">
        <v>12.99</v>
      </c>
    </row>
    <row r="98" spans="2:12" ht="15" hidden="1" customHeight="1">
      <c r="B98" s="1498">
        <v>39114</v>
      </c>
      <c r="C98" s="1495">
        <v>113.5</v>
      </c>
      <c r="D98" s="1297">
        <v>730</v>
      </c>
      <c r="E98" s="1473">
        <v>8733</v>
      </c>
      <c r="F98" s="1297">
        <v>311.89999999999998</v>
      </c>
      <c r="G98" s="1474" t="s">
        <v>1149</v>
      </c>
      <c r="H98" s="1474">
        <v>9.0399999999999991</v>
      </c>
      <c r="I98" s="1480">
        <v>13.25</v>
      </c>
    </row>
    <row r="99" spans="2:12" ht="15" hidden="1" customHeight="1">
      <c r="B99" s="1498">
        <v>39142</v>
      </c>
      <c r="C99" s="1503">
        <v>26</v>
      </c>
      <c r="D99" s="1297">
        <v>1094</v>
      </c>
      <c r="E99" s="1297">
        <v>8516</v>
      </c>
      <c r="F99" s="1310">
        <v>284</v>
      </c>
      <c r="G99" s="1310" t="s">
        <v>1150</v>
      </c>
      <c r="H99" s="1310">
        <v>8.31</v>
      </c>
      <c r="I99" s="1504">
        <v>12.11</v>
      </c>
      <c r="K99" s="1505"/>
      <c r="L99" s="1483"/>
    </row>
    <row r="100" spans="2:12" ht="15" hidden="1" customHeight="1">
      <c r="B100" s="1498">
        <v>39173</v>
      </c>
      <c r="C100" s="1495">
        <v>18</v>
      </c>
      <c r="D100" s="1297">
        <v>730</v>
      </c>
      <c r="E100" s="1473">
        <v>6819.5</v>
      </c>
      <c r="F100" s="1297">
        <v>227.3</v>
      </c>
      <c r="G100" s="1474" t="s">
        <v>1151</v>
      </c>
      <c r="H100" s="1474">
        <v>8.1</v>
      </c>
      <c r="I100" s="1480">
        <v>11.47</v>
      </c>
      <c r="K100" s="1505"/>
      <c r="L100" s="1483"/>
    </row>
    <row r="101" spans="2:12" ht="15" hidden="1" customHeight="1">
      <c r="B101" s="1498">
        <v>39203</v>
      </c>
      <c r="C101" s="1495">
        <v>30</v>
      </c>
      <c r="D101" s="1297">
        <v>1095</v>
      </c>
      <c r="E101" s="1473">
        <v>11416.5</v>
      </c>
      <c r="F101" s="1297">
        <v>368</v>
      </c>
      <c r="G101" s="1474" t="s">
        <v>1150</v>
      </c>
      <c r="H101" s="1474">
        <v>8.3699999999999992</v>
      </c>
      <c r="I101" s="1480">
        <v>11.67</v>
      </c>
      <c r="K101" s="1505"/>
      <c r="L101" s="1483"/>
    </row>
    <row r="102" spans="2:12" ht="15" hidden="1" customHeight="1">
      <c r="B102" s="1498">
        <v>39240</v>
      </c>
      <c r="C102" s="1495">
        <v>35</v>
      </c>
      <c r="D102" s="1297">
        <v>520</v>
      </c>
      <c r="E102" s="1473">
        <v>7316</v>
      </c>
      <c r="F102" s="1297">
        <v>252.3</v>
      </c>
      <c r="G102" s="1474" t="s">
        <v>1152</v>
      </c>
      <c r="H102" s="1474">
        <v>8.31</v>
      </c>
      <c r="I102" s="1480">
        <v>11.08</v>
      </c>
      <c r="K102" s="1505"/>
      <c r="L102" s="1483"/>
    </row>
    <row r="103" spans="2:12" ht="15" hidden="1" customHeight="1">
      <c r="B103" s="1498">
        <v>39270</v>
      </c>
      <c r="C103" s="1495">
        <v>35</v>
      </c>
      <c r="D103" s="1297">
        <v>1300</v>
      </c>
      <c r="E103" s="1473">
        <v>11424</v>
      </c>
      <c r="F103" s="1297">
        <v>369</v>
      </c>
      <c r="G103" s="1474" t="s">
        <v>1153</v>
      </c>
      <c r="H103" s="1474">
        <v>8.77</v>
      </c>
      <c r="I103" s="1480">
        <v>11.23</v>
      </c>
      <c r="K103" s="1505"/>
      <c r="L103" s="1483"/>
    </row>
    <row r="104" spans="2:12" ht="15" hidden="1" customHeight="1">
      <c r="B104" s="1498">
        <v>39301</v>
      </c>
      <c r="C104" s="1495">
        <v>102</v>
      </c>
      <c r="D104" s="1297">
        <v>1355</v>
      </c>
      <c r="E104" s="1473">
        <v>14748</v>
      </c>
      <c r="F104" s="1297">
        <v>508.6</v>
      </c>
      <c r="G104" s="1474" t="s">
        <v>1154</v>
      </c>
      <c r="H104" s="1474">
        <v>8.77</v>
      </c>
      <c r="I104" s="1480">
        <v>10.199999999999999</v>
      </c>
    </row>
    <row r="105" spans="2:12" ht="15" hidden="1" customHeight="1">
      <c r="B105" s="1498">
        <v>39332</v>
      </c>
      <c r="C105" s="1495">
        <v>180</v>
      </c>
      <c r="D105" s="1297">
        <v>1355</v>
      </c>
      <c r="E105" s="1473">
        <v>19377</v>
      </c>
      <c r="F105" s="1297">
        <v>645.9</v>
      </c>
      <c r="G105" s="1474" t="s">
        <v>1155</v>
      </c>
      <c r="H105" s="1474">
        <v>8.94</v>
      </c>
      <c r="I105" s="1480">
        <v>9.49</v>
      </c>
    </row>
    <row r="106" spans="2:12" ht="15" hidden="1" customHeight="1">
      <c r="B106" s="1498">
        <v>39362</v>
      </c>
      <c r="C106" s="1495">
        <v>20</v>
      </c>
      <c r="D106" s="1297">
        <v>580</v>
      </c>
      <c r="E106" s="1473">
        <v>5229</v>
      </c>
      <c r="F106" s="1297">
        <v>169</v>
      </c>
      <c r="G106" s="1474" t="s">
        <v>1155</v>
      </c>
      <c r="H106" s="1474">
        <v>9.2200000000000006</v>
      </c>
      <c r="I106" s="1480">
        <v>9.24</v>
      </c>
    </row>
    <row r="107" spans="2:12" ht="15" hidden="1" customHeight="1">
      <c r="B107" s="1498">
        <v>39393</v>
      </c>
      <c r="C107" s="1495">
        <v>15</v>
      </c>
      <c r="D107" s="1297">
        <v>765</v>
      </c>
      <c r="E107" s="1473">
        <v>7274</v>
      </c>
      <c r="F107" s="1297">
        <v>291</v>
      </c>
      <c r="G107" s="1474" t="s">
        <v>1156</v>
      </c>
      <c r="H107" s="1474">
        <v>8.6</v>
      </c>
      <c r="I107" s="1480">
        <v>9.07</v>
      </c>
    </row>
    <row r="108" spans="2:12" ht="15" hidden="1" customHeight="1">
      <c r="B108" s="1498">
        <v>39423</v>
      </c>
      <c r="C108" s="1495">
        <v>50</v>
      </c>
      <c r="D108" s="1297">
        <v>570</v>
      </c>
      <c r="E108" s="1473">
        <v>8113</v>
      </c>
      <c r="F108" s="1297">
        <v>262</v>
      </c>
      <c r="G108" s="1474" t="s">
        <v>1157</v>
      </c>
      <c r="H108" s="1474">
        <v>8.75</v>
      </c>
      <c r="I108" s="1480">
        <v>9.93</v>
      </c>
    </row>
    <row r="109" spans="2:12" ht="15" hidden="1" customHeight="1">
      <c r="B109" s="1498">
        <v>39454</v>
      </c>
      <c r="C109" s="1495">
        <v>100</v>
      </c>
      <c r="D109" s="1297">
        <v>494</v>
      </c>
      <c r="E109" s="1473">
        <v>9109</v>
      </c>
      <c r="F109" s="1297">
        <v>293.8</v>
      </c>
      <c r="G109" s="1474" t="s">
        <v>1150</v>
      </c>
      <c r="H109" s="1474">
        <v>8.67</v>
      </c>
      <c r="I109" s="1480">
        <v>9.82</v>
      </c>
    </row>
    <row r="110" spans="2:12" ht="15" hidden="1" customHeight="1">
      <c r="B110" s="1498">
        <v>39485</v>
      </c>
      <c r="C110" s="1495">
        <v>210</v>
      </c>
      <c r="D110" s="1297">
        <v>985</v>
      </c>
      <c r="E110" s="1473">
        <v>19697</v>
      </c>
      <c r="F110" s="1297">
        <v>679.2</v>
      </c>
      <c r="G110" s="1474" t="s">
        <v>1158</v>
      </c>
      <c r="H110" s="1474">
        <v>8.0500000000000007</v>
      </c>
      <c r="I110" s="1480">
        <v>8.6300000000000008</v>
      </c>
    </row>
    <row r="111" spans="2:12" ht="15" hidden="1" customHeight="1">
      <c r="B111" s="1498">
        <v>39514</v>
      </c>
      <c r="C111" s="1495">
        <v>40</v>
      </c>
      <c r="D111" s="1297">
        <v>1270</v>
      </c>
      <c r="E111" s="1473">
        <v>16270</v>
      </c>
      <c r="F111" s="1297">
        <v>524.79999999999995</v>
      </c>
      <c r="G111" s="1474" t="s">
        <v>1159</v>
      </c>
      <c r="H111" s="1474">
        <v>7.48</v>
      </c>
      <c r="I111" s="1480">
        <v>7.6</v>
      </c>
    </row>
    <row r="112" spans="2:12" ht="15" hidden="1" customHeight="1">
      <c r="B112" s="1498">
        <v>39545</v>
      </c>
      <c r="C112" s="1495">
        <v>23</v>
      </c>
      <c r="D112" s="1297">
        <v>673</v>
      </c>
      <c r="E112" s="1473">
        <v>3832</v>
      </c>
      <c r="F112" s="1297">
        <v>128</v>
      </c>
      <c r="G112" s="1474" t="s">
        <v>1160</v>
      </c>
      <c r="H112" s="1474">
        <v>6.84</v>
      </c>
      <c r="I112" s="1480">
        <v>7.49</v>
      </c>
    </row>
    <row r="113" spans="2:9" ht="15" hidden="1" customHeight="1">
      <c r="B113" s="1498">
        <v>39575</v>
      </c>
      <c r="C113" s="1495">
        <v>35</v>
      </c>
      <c r="D113" s="1297">
        <v>750</v>
      </c>
      <c r="E113" s="1473">
        <v>11303</v>
      </c>
      <c r="F113" s="1297">
        <v>364.61</v>
      </c>
      <c r="G113" s="1474" t="s">
        <v>1161</v>
      </c>
      <c r="H113" s="1474">
        <v>6.67</v>
      </c>
      <c r="I113" s="1480">
        <v>7.34</v>
      </c>
    </row>
    <row r="114" spans="2:9" ht="15" hidden="1" customHeight="1">
      <c r="B114" s="1498">
        <v>39606</v>
      </c>
      <c r="C114" s="1495">
        <v>79</v>
      </c>
      <c r="D114" s="1297">
        <v>1014</v>
      </c>
      <c r="E114" s="1473">
        <v>9849</v>
      </c>
      <c r="F114" s="1297">
        <v>328.3</v>
      </c>
      <c r="G114" s="1474" t="s">
        <v>1162</v>
      </c>
      <c r="H114" s="1474">
        <v>6.54</v>
      </c>
      <c r="I114" s="1480">
        <v>7.35</v>
      </c>
    </row>
    <row r="115" spans="2:9" ht="15" hidden="1" customHeight="1">
      <c r="B115" s="1498">
        <v>39636</v>
      </c>
      <c r="C115" s="1495">
        <v>120</v>
      </c>
      <c r="D115" s="1297">
        <v>2085</v>
      </c>
      <c r="E115" s="1473">
        <v>23482</v>
      </c>
      <c r="F115" s="1297">
        <v>757.5</v>
      </c>
      <c r="G115" s="1474" t="s">
        <v>1163</v>
      </c>
      <c r="H115" s="1474">
        <v>6.82</v>
      </c>
      <c r="I115" s="1480">
        <v>7.37</v>
      </c>
    </row>
    <row r="116" spans="2:9" ht="15" hidden="1" customHeight="1">
      <c r="B116" s="1498">
        <v>39667</v>
      </c>
      <c r="C116" s="1495">
        <v>15</v>
      </c>
      <c r="D116" s="1297">
        <v>975</v>
      </c>
      <c r="E116" s="1473">
        <v>10122</v>
      </c>
      <c r="F116" s="1297">
        <v>326.52</v>
      </c>
      <c r="G116" s="1474" t="s">
        <v>1100</v>
      </c>
      <c r="H116" s="1474">
        <v>6.78</v>
      </c>
      <c r="I116" s="1480">
        <v>7.83</v>
      </c>
    </row>
    <row r="117" spans="2:9" ht="15" hidden="1" customHeight="1">
      <c r="B117" s="1498">
        <v>39698</v>
      </c>
      <c r="C117" s="1495">
        <v>650</v>
      </c>
      <c r="D117" s="1297">
        <v>2070</v>
      </c>
      <c r="E117" s="1473">
        <v>39405</v>
      </c>
      <c r="F117" s="1297">
        <v>1313.5</v>
      </c>
      <c r="G117" s="1474" t="s">
        <v>1164</v>
      </c>
      <c r="H117" s="1474">
        <v>8.9700000000000006</v>
      </c>
      <c r="I117" s="1480">
        <v>8.6999999999999993</v>
      </c>
    </row>
    <row r="118" spans="2:9" ht="15" hidden="1" customHeight="1">
      <c r="B118" s="1498">
        <v>39728</v>
      </c>
      <c r="C118" s="1495">
        <v>125</v>
      </c>
      <c r="D118" s="1297">
        <v>2310</v>
      </c>
      <c r="E118" s="1473">
        <v>25466</v>
      </c>
      <c r="F118" s="1297">
        <v>821</v>
      </c>
      <c r="G118" s="1474" t="s">
        <v>1165</v>
      </c>
      <c r="H118" s="1474">
        <v>8.94</v>
      </c>
      <c r="I118" s="1480">
        <v>9.39</v>
      </c>
    </row>
    <row r="119" spans="2:9" ht="15" hidden="1" customHeight="1">
      <c r="B119" s="1498">
        <v>39759</v>
      </c>
      <c r="C119" s="1495">
        <v>59</v>
      </c>
      <c r="D119" s="1297">
        <v>1324</v>
      </c>
      <c r="E119" s="1473">
        <v>14905</v>
      </c>
      <c r="F119" s="1297">
        <v>496.84</v>
      </c>
      <c r="G119" s="1474" t="s">
        <v>1164</v>
      </c>
      <c r="H119" s="1474">
        <v>8.89</v>
      </c>
      <c r="I119" s="1480">
        <v>9.2799999999999994</v>
      </c>
    </row>
    <row r="120" spans="2:9" ht="15" hidden="1" customHeight="1">
      <c r="B120" s="1498">
        <v>39789</v>
      </c>
      <c r="C120" s="1495">
        <v>19.34</v>
      </c>
      <c r="D120" s="1297">
        <v>1549.34</v>
      </c>
      <c r="E120" s="1473">
        <v>12040.54</v>
      </c>
      <c r="F120" s="1297">
        <v>388.4</v>
      </c>
      <c r="G120" s="1474" t="s">
        <v>1166</v>
      </c>
      <c r="H120" s="1474">
        <v>7.24</v>
      </c>
      <c r="I120" s="1480">
        <v>9.06</v>
      </c>
    </row>
    <row r="121" spans="2:9" ht="15" hidden="1" customHeight="1">
      <c r="B121" s="1498">
        <v>39820</v>
      </c>
      <c r="C121" s="1495">
        <v>14.5</v>
      </c>
      <c r="D121" s="1297">
        <v>1504.34</v>
      </c>
      <c r="E121" s="1473">
        <v>19368.099999999999</v>
      </c>
      <c r="F121" s="1297">
        <v>624.78</v>
      </c>
      <c r="G121" s="1474" t="s">
        <v>1167</v>
      </c>
      <c r="H121" s="1474">
        <v>6.96</v>
      </c>
      <c r="I121" s="1480">
        <v>8.2100000000000009</v>
      </c>
    </row>
    <row r="122" spans="2:9" ht="15" hidden="1" customHeight="1">
      <c r="B122" s="1498">
        <v>39851</v>
      </c>
      <c r="C122" s="1495">
        <v>4.5</v>
      </c>
      <c r="D122" s="1297">
        <v>1229.5</v>
      </c>
      <c r="E122" s="1473">
        <v>11511</v>
      </c>
      <c r="F122" s="1297">
        <v>411</v>
      </c>
      <c r="G122" s="1474" t="s">
        <v>1168</v>
      </c>
      <c r="H122" s="1474">
        <v>6.53</v>
      </c>
      <c r="I122" s="1480">
        <v>7.17</v>
      </c>
    </row>
    <row r="123" spans="2:9" ht="15" hidden="1" customHeight="1">
      <c r="B123" s="1498">
        <v>39879</v>
      </c>
      <c r="C123" s="1495">
        <v>5</v>
      </c>
      <c r="D123" s="1297">
        <v>1020</v>
      </c>
      <c r="E123" s="1473">
        <v>12544.5</v>
      </c>
      <c r="F123" s="1297">
        <v>404.7</v>
      </c>
      <c r="G123" s="1474" t="s">
        <v>1169</v>
      </c>
      <c r="H123" s="1474">
        <v>5.77</v>
      </c>
      <c r="I123" s="1480">
        <v>6.31</v>
      </c>
    </row>
    <row r="124" spans="2:9" ht="15" hidden="1" customHeight="1">
      <c r="B124" s="1498">
        <v>39910</v>
      </c>
      <c r="C124" s="1495">
        <v>44.5</v>
      </c>
      <c r="D124" s="1297">
        <v>619.5</v>
      </c>
      <c r="E124" s="1473">
        <v>9119.5</v>
      </c>
      <c r="F124" s="1297">
        <v>303.98</v>
      </c>
      <c r="G124" s="1474" t="s">
        <v>1170</v>
      </c>
      <c r="H124" s="1474">
        <v>4.8099999999999996</v>
      </c>
      <c r="I124" s="1480">
        <v>5.0999999999999996</v>
      </c>
    </row>
    <row r="125" spans="2:9" ht="15" hidden="1" customHeight="1">
      <c r="B125" s="1498">
        <v>39940</v>
      </c>
      <c r="C125" s="1495">
        <v>144.5</v>
      </c>
      <c r="D125" s="1297">
        <v>839.5</v>
      </c>
      <c r="E125" s="1473">
        <v>10281.5</v>
      </c>
      <c r="F125" s="1297">
        <v>331.66</v>
      </c>
      <c r="G125" s="1474" t="s">
        <v>1171</v>
      </c>
      <c r="H125" s="1474">
        <v>4.7</v>
      </c>
      <c r="I125" s="1480">
        <v>4.8099999999999996</v>
      </c>
    </row>
    <row r="126" spans="2:9" ht="15" hidden="1" customHeight="1">
      <c r="B126" s="1498">
        <v>39971</v>
      </c>
      <c r="C126" s="1495">
        <v>104.5</v>
      </c>
      <c r="D126" s="1297">
        <v>1119.5</v>
      </c>
      <c r="E126" s="1473">
        <v>11690</v>
      </c>
      <c r="F126" s="1297">
        <v>389.67</v>
      </c>
      <c r="G126" s="1474" t="s">
        <v>1172</v>
      </c>
      <c r="H126" s="1474">
        <v>4.28</v>
      </c>
      <c r="I126" s="1480">
        <v>4.75</v>
      </c>
    </row>
    <row r="127" spans="2:9" ht="15" hidden="1" customHeight="1">
      <c r="B127" s="1498">
        <v>40001</v>
      </c>
      <c r="C127" s="1495">
        <v>4.66</v>
      </c>
      <c r="D127" s="1297">
        <v>864.5</v>
      </c>
      <c r="E127" s="1473">
        <v>10376.1</v>
      </c>
      <c r="F127" s="1297">
        <v>334.71</v>
      </c>
      <c r="G127" s="1474" t="s">
        <v>1172</v>
      </c>
      <c r="H127" s="1474">
        <v>4.05</v>
      </c>
      <c r="I127" s="1480">
        <v>4.6900000000000004</v>
      </c>
    </row>
    <row r="128" spans="2:9" ht="15" hidden="1" customHeight="1">
      <c r="B128" s="1498">
        <v>40032</v>
      </c>
      <c r="C128" s="1495">
        <v>70</v>
      </c>
      <c r="D128" s="1297">
        <v>1444.6</v>
      </c>
      <c r="E128" s="1473">
        <v>16163.6</v>
      </c>
      <c r="F128" s="1297">
        <v>577.27</v>
      </c>
      <c r="G128" s="1474" t="s">
        <v>1173</v>
      </c>
      <c r="H128" s="1474">
        <v>4.0199999999999996</v>
      </c>
      <c r="I128" s="1480">
        <v>4.51</v>
      </c>
    </row>
    <row r="129" spans="2:9" ht="15" hidden="1" customHeight="1">
      <c r="B129" s="1498">
        <v>40063</v>
      </c>
      <c r="C129" s="1495">
        <v>100</v>
      </c>
      <c r="D129" s="1297">
        <v>1090</v>
      </c>
      <c r="E129" s="1473">
        <v>16460</v>
      </c>
      <c r="F129" s="1297">
        <v>549</v>
      </c>
      <c r="G129" s="1474" t="s">
        <v>997</v>
      </c>
      <c r="H129" s="1474">
        <v>4.0599999999999996</v>
      </c>
      <c r="I129" s="1480">
        <v>4.4400000000000004</v>
      </c>
    </row>
    <row r="130" spans="2:9" ht="15" hidden="1" customHeight="1">
      <c r="B130" s="1498">
        <v>40093</v>
      </c>
      <c r="C130" s="1495">
        <v>175</v>
      </c>
      <c r="D130" s="1297">
        <v>1255</v>
      </c>
      <c r="E130" s="1473">
        <v>14700</v>
      </c>
      <c r="F130" s="1297">
        <v>474.19</v>
      </c>
      <c r="G130" s="1474" t="s">
        <v>997</v>
      </c>
      <c r="H130" s="1474">
        <v>4.04</v>
      </c>
      <c r="I130" s="1480">
        <v>4.7300000000000004</v>
      </c>
    </row>
    <row r="131" spans="2:9" ht="15" hidden="1" customHeight="1">
      <c r="B131" s="1498">
        <v>40124</v>
      </c>
      <c r="C131" s="1495">
        <v>55</v>
      </c>
      <c r="D131" s="1297">
        <v>895</v>
      </c>
      <c r="E131" s="1473">
        <v>13796</v>
      </c>
      <c r="F131" s="1297">
        <v>459.87</v>
      </c>
      <c r="G131" s="1474" t="s">
        <v>1174</v>
      </c>
      <c r="H131" s="1474">
        <v>4.0199999999999996</v>
      </c>
      <c r="I131" s="1480">
        <v>4.53</v>
      </c>
    </row>
    <row r="132" spans="2:9" ht="15" hidden="1" customHeight="1">
      <c r="B132" s="1498">
        <v>40148</v>
      </c>
      <c r="C132" s="1495">
        <v>75</v>
      </c>
      <c r="D132" s="1297">
        <v>1932.5</v>
      </c>
      <c r="E132" s="1473">
        <v>23618.5</v>
      </c>
      <c r="F132" s="1297">
        <v>761.89</v>
      </c>
      <c r="G132" s="1474" t="s">
        <v>1175</v>
      </c>
      <c r="H132" s="1474">
        <v>4.26</v>
      </c>
      <c r="I132" s="1480">
        <v>4.4000000000000004</v>
      </c>
    </row>
    <row r="133" spans="2:9" ht="15" hidden="1" customHeight="1">
      <c r="B133" s="1498">
        <v>40179</v>
      </c>
      <c r="C133" s="1495">
        <v>70.400000000000006</v>
      </c>
      <c r="D133" s="1297">
        <v>1245.4000000000001</v>
      </c>
      <c r="E133" s="1473">
        <v>16488.2</v>
      </c>
      <c r="F133" s="1297">
        <v>531.88</v>
      </c>
      <c r="G133" s="1474" t="s">
        <v>1175</v>
      </c>
      <c r="H133" s="1474">
        <v>4.26</v>
      </c>
      <c r="I133" s="1480">
        <v>4.51</v>
      </c>
    </row>
    <row r="134" spans="2:9" ht="15" hidden="1" customHeight="1">
      <c r="B134" s="1498">
        <v>40210</v>
      </c>
      <c r="C134" s="1495">
        <v>70.400000000000006</v>
      </c>
      <c r="D134" s="1297">
        <v>1245</v>
      </c>
      <c r="E134" s="1473">
        <v>16179.2</v>
      </c>
      <c r="F134" s="1297">
        <v>577.83000000000004</v>
      </c>
      <c r="G134" s="1474" t="s">
        <v>1176</v>
      </c>
      <c r="H134" s="1474">
        <v>3.91</v>
      </c>
      <c r="I134" s="1480">
        <v>4.5</v>
      </c>
    </row>
    <row r="135" spans="2:9" ht="15" hidden="1" customHeight="1">
      <c r="B135" s="1498">
        <v>40238</v>
      </c>
      <c r="C135" s="1495">
        <v>20.399999999999999</v>
      </c>
      <c r="D135" s="1297">
        <v>800.4</v>
      </c>
      <c r="E135" s="1473">
        <v>4135.3999999999996</v>
      </c>
      <c r="F135" s="1297">
        <v>133.4</v>
      </c>
      <c r="G135" s="1474" t="s">
        <v>1177</v>
      </c>
      <c r="H135" s="1474">
        <v>3.88</v>
      </c>
      <c r="I135" s="1480">
        <v>4.3099999999999996</v>
      </c>
    </row>
    <row r="136" spans="2:9" ht="15" hidden="1" customHeight="1">
      <c r="B136" s="1498">
        <v>40269</v>
      </c>
      <c r="C136" s="1495">
        <v>20.399999999999999</v>
      </c>
      <c r="D136" s="1297">
        <v>655.4</v>
      </c>
      <c r="E136" s="1473">
        <v>7522</v>
      </c>
      <c r="F136" s="1297">
        <v>250.73</v>
      </c>
      <c r="G136" s="1474" t="s">
        <v>1178</v>
      </c>
      <c r="H136" s="1474">
        <v>3.94</v>
      </c>
      <c r="I136" s="1480">
        <v>4.51</v>
      </c>
    </row>
    <row r="137" spans="2:9" ht="15" hidden="1" customHeight="1">
      <c r="B137" s="1498">
        <v>40299</v>
      </c>
      <c r="C137" s="1495">
        <v>20.399999999999999</v>
      </c>
      <c r="D137" s="1297">
        <v>915.4</v>
      </c>
      <c r="E137" s="1473">
        <v>9407.4</v>
      </c>
      <c r="F137" s="1297">
        <v>303.45999999999998</v>
      </c>
      <c r="G137" s="1474" t="s">
        <v>1177</v>
      </c>
      <c r="H137" s="1474">
        <v>3.74</v>
      </c>
      <c r="I137" s="1480">
        <v>4.04</v>
      </c>
    </row>
    <row r="138" spans="2:9" ht="15" hidden="1" customHeight="1">
      <c r="B138" s="1498">
        <v>40330</v>
      </c>
      <c r="C138" s="1495">
        <v>20.399999999999999</v>
      </c>
      <c r="D138" s="1297">
        <v>1515.4</v>
      </c>
      <c r="E138" s="1473">
        <v>10598</v>
      </c>
      <c r="F138" s="1297">
        <v>353.3</v>
      </c>
      <c r="G138" s="1474" t="s">
        <v>1179</v>
      </c>
      <c r="H138" s="1474">
        <v>3.36</v>
      </c>
      <c r="I138" s="1480">
        <v>3.47</v>
      </c>
    </row>
    <row r="139" spans="2:9" ht="15" hidden="1" customHeight="1">
      <c r="B139" s="1498">
        <v>40360</v>
      </c>
      <c r="C139" s="1495">
        <v>5</v>
      </c>
      <c r="D139" s="1297">
        <v>1150</v>
      </c>
      <c r="E139" s="1473">
        <v>7431</v>
      </c>
      <c r="F139" s="1297">
        <v>239.71</v>
      </c>
      <c r="G139" s="1474" t="s">
        <v>1180</v>
      </c>
      <c r="H139" s="1474">
        <v>3.45</v>
      </c>
      <c r="I139" s="1480">
        <v>3.87</v>
      </c>
    </row>
    <row r="140" spans="2:9" ht="15" hidden="1" customHeight="1">
      <c r="B140" s="1498">
        <v>40391</v>
      </c>
      <c r="C140" s="1495">
        <v>15</v>
      </c>
      <c r="D140" s="1297">
        <v>360</v>
      </c>
      <c r="E140" s="1473">
        <v>2422</v>
      </c>
      <c r="F140" s="1297">
        <v>100.92</v>
      </c>
      <c r="G140" s="1474" t="s">
        <v>1181</v>
      </c>
      <c r="H140" s="1474">
        <v>2.52</v>
      </c>
      <c r="I140" s="1480">
        <v>3.02</v>
      </c>
    </row>
    <row r="141" spans="2:9" ht="15" hidden="1" customHeight="1">
      <c r="B141" s="1498">
        <v>40422</v>
      </c>
      <c r="C141" s="1495">
        <v>60</v>
      </c>
      <c r="D141" s="1297">
        <v>490</v>
      </c>
      <c r="E141" s="1473">
        <v>7090</v>
      </c>
      <c r="F141" s="1297">
        <v>253</v>
      </c>
      <c r="G141" s="1474" t="s">
        <v>1182</v>
      </c>
      <c r="H141" s="1474">
        <v>2.0699999999999998</v>
      </c>
      <c r="I141" s="1480">
        <v>2.73</v>
      </c>
    </row>
    <row r="142" spans="2:9" ht="15" hidden="1" customHeight="1">
      <c r="B142" s="1498">
        <v>40452</v>
      </c>
      <c r="C142" s="1495">
        <v>95</v>
      </c>
      <c r="D142" s="1297">
        <v>670</v>
      </c>
      <c r="E142" s="1473">
        <v>11070</v>
      </c>
      <c r="F142" s="1297">
        <v>357.1</v>
      </c>
      <c r="G142" s="1474" t="s">
        <v>1183</v>
      </c>
      <c r="H142" s="1474">
        <v>2.27</v>
      </c>
      <c r="I142" s="1480">
        <v>4.3099999999999996</v>
      </c>
    </row>
    <row r="143" spans="2:9" ht="15" hidden="1" customHeight="1">
      <c r="B143" s="1498">
        <v>40483</v>
      </c>
      <c r="C143" s="1495">
        <v>157</v>
      </c>
      <c r="D143" s="1297">
        <v>730</v>
      </c>
      <c r="E143" s="1473">
        <v>9951</v>
      </c>
      <c r="F143" s="1297">
        <v>331.7</v>
      </c>
      <c r="G143" s="1474" t="s">
        <v>1182</v>
      </c>
      <c r="H143" s="1474">
        <v>2.17</v>
      </c>
      <c r="I143" s="1480">
        <v>3.95</v>
      </c>
    </row>
    <row r="144" spans="2:9" ht="15" hidden="1" customHeight="1">
      <c r="B144" s="1498">
        <v>40513</v>
      </c>
      <c r="C144" s="1495">
        <v>235</v>
      </c>
      <c r="D144" s="1297">
        <v>772</v>
      </c>
      <c r="E144" s="1473">
        <v>15575</v>
      </c>
      <c r="F144" s="1297">
        <v>502.4</v>
      </c>
      <c r="G144" s="1474" t="s">
        <v>1184</v>
      </c>
      <c r="H144" s="1474">
        <v>2.04</v>
      </c>
      <c r="I144" s="1480">
        <v>3.11</v>
      </c>
    </row>
    <row r="145" spans="2:9" ht="15" hidden="1" customHeight="1">
      <c r="B145" s="1498">
        <v>40544</v>
      </c>
      <c r="C145" s="1495">
        <v>220</v>
      </c>
      <c r="D145" s="1297">
        <v>985</v>
      </c>
      <c r="E145" s="1473">
        <v>14845</v>
      </c>
      <c r="F145" s="1297">
        <v>478.87</v>
      </c>
      <c r="G145" s="1474" t="s">
        <v>1185</v>
      </c>
      <c r="H145" s="1474">
        <v>2.0099999999999998</v>
      </c>
      <c r="I145" s="1480">
        <v>3.02</v>
      </c>
    </row>
    <row r="146" spans="2:9" ht="15" hidden="1" customHeight="1">
      <c r="B146" s="1498">
        <v>40575</v>
      </c>
      <c r="C146" s="1495">
        <v>335</v>
      </c>
      <c r="D146" s="1297">
        <v>2350</v>
      </c>
      <c r="E146" s="1473">
        <v>25115</v>
      </c>
      <c r="F146" s="1297">
        <v>896.96</v>
      </c>
      <c r="G146" s="1474" t="s">
        <v>1186</v>
      </c>
      <c r="H146" s="1474">
        <v>1.86</v>
      </c>
      <c r="I146" s="1480">
        <v>2.83</v>
      </c>
    </row>
    <row r="147" spans="2:9" ht="15" hidden="1" customHeight="1">
      <c r="B147" s="1498">
        <v>40603</v>
      </c>
      <c r="C147" s="1495">
        <v>20</v>
      </c>
      <c r="D147" s="1297">
        <v>2420</v>
      </c>
      <c r="E147" s="1473">
        <v>16505</v>
      </c>
      <c r="F147" s="1297">
        <v>611</v>
      </c>
      <c r="G147" s="1474" t="s">
        <v>1187</v>
      </c>
      <c r="H147" s="1474">
        <v>1.64</v>
      </c>
      <c r="I147" s="1480">
        <v>2.41</v>
      </c>
    </row>
    <row r="148" spans="2:9" ht="15" hidden="1" customHeight="1">
      <c r="B148" s="1498">
        <v>40634</v>
      </c>
      <c r="C148" s="1495">
        <v>630</v>
      </c>
      <c r="D148" s="1297">
        <v>2200</v>
      </c>
      <c r="E148" s="1473">
        <v>40323</v>
      </c>
      <c r="F148" s="1297">
        <v>1344</v>
      </c>
      <c r="G148" s="1474" t="s">
        <v>1188</v>
      </c>
      <c r="H148" s="1474">
        <v>1.51</v>
      </c>
      <c r="I148" s="1480">
        <v>4.12</v>
      </c>
    </row>
    <row r="149" spans="2:9" ht="15" hidden="1" customHeight="1">
      <c r="B149" s="1498">
        <v>40664</v>
      </c>
      <c r="C149" s="1495">
        <v>100</v>
      </c>
      <c r="D149" s="1297">
        <v>1975</v>
      </c>
      <c r="E149" s="1473">
        <v>25594</v>
      </c>
      <c r="F149" s="1297">
        <v>947.93</v>
      </c>
      <c r="G149" s="1474" t="s">
        <v>1189</v>
      </c>
      <c r="H149" s="1474">
        <v>1.4</v>
      </c>
      <c r="I149" s="1480">
        <v>4.0599999999999996</v>
      </c>
    </row>
    <row r="150" spans="2:9" ht="15" hidden="1" customHeight="1">
      <c r="B150" s="1498">
        <v>40695</v>
      </c>
      <c r="C150" s="1495">
        <v>100</v>
      </c>
      <c r="D150" s="1297">
        <v>1595</v>
      </c>
      <c r="E150" s="1473">
        <v>15057</v>
      </c>
      <c r="F150" s="1297">
        <v>501.9</v>
      </c>
      <c r="G150" s="1474" t="s">
        <v>1190</v>
      </c>
      <c r="H150" s="1474">
        <v>2.63</v>
      </c>
      <c r="I150" s="1480">
        <v>4.29</v>
      </c>
    </row>
    <row r="151" spans="2:9" ht="15" hidden="1" customHeight="1">
      <c r="B151" s="1498">
        <v>40725</v>
      </c>
      <c r="C151" s="1495">
        <v>425</v>
      </c>
      <c r="D151" s="1297">
        <v>1525</v>
      </c>
      <c r="E151" s="1473">
        <v>34075</v>
      </c>
      <c r="F151" s="1297">
        <v>1099.19</v>
      </c>
      <c r="G151" s="1474" t="s">
        <v>1191</v>
      </c>
      <c r="H151" s="1474">
        <v>1.95</v>
      </c>
      <c r="I151" s="1480">
        <v>4.41</v>
      </c>
    </row>
    <row r="152" spans="2:9" ht="15" hidden="1" customHeight="1">
      <c r="B152" s="1498">
        <v>40756</v>
      </c>
      <c r="C152" s="1495">
        <v>25</v>
      </c>
      <c r="D152" s="1297">
        <v>1895</v>
      </c>
      <c r="E152" s="1473">
        <v>34690</v>
      </c>
      <c r="F152" s="1297">
        <v>1156.33</v>
      </c>
      <c r="G152" s="1474" t="s">
        <v>1192</v>
      </c>
      <c r="H152" s="1474">
        <v>3.58</v>
      </c>
      <c r="I152" s="1480">
        <v>4.3899999999999997</v>
      </c>
    </row>
    <row r="153" spans="2:9" ht="15" hidden="1" customHeight="1">
      <c r="B153" s="1498">
        <v>40787</v>
      </c>
      <c r="C153" s="1495">
        <v>40</v>
      </c>
      <c r="D153" s="1297">
        <v>2025</v>
      </c>
      <c r="E153" s="1473">
        <v>15795</v>
      </c>
      <c r="F153" s="1297">
        <v>658.13</v>
      </c>
      <c r="G153" s="1474" t="s">
        <v>1193</v>
      </c>
      <c r="H153" s="1474">
        <v>3.27</v>
      </c>
      <c r="I153" s="1480">
        <v>4.46</v>
      </c>
    </row>
    <row r="154" spans="2:9" ht="15" hidden="1" customHeight="1">
      <c r="B154" s="1498">
        <v>40817</v>
      </c>
      <c r="C154" s="1495">
        <v>100</v>
      </c>
      <c r="D154" s="1297">
        <v>2105</v>
      </c>
      <c r="E154" s="1473">
        <v>31715</v>
      </c>
      <c r="F154" s="1297">
        <v>1023.06</v>
      </c>
      <c r="G154" s="1474" t="s">
        <v>1194</v>
      </c>
      <c r="H154" s="1474">
        <v>2.61</v>
      </c>
      <c r="I154" s="1480">
        <v>4.43</v>
      </c>
    </row>
    <row r="155" spans="2:9" ht="15" hidden="1" customHeight="1">
      <c r="B155" s="1498">
        <v>40848</v>
      </c>
      <c r="C155" s="1495">
        <v>50</v>
      </c>
      <c r="D155" s="1297">
        <v>2480</v>
      </c>
      <c r="E155" s="1473">
        <v>40844</v>
      </c>
      <c r="F155" s="1297">
        <v>1361</v>
      </c>
      <c r="G155" s="1474" t="s">
        <v>1137</v>
      </c>
      <c r="H155" s="1474">
        <v>2.96</v>
      </c>
      <c r="I155" s="1480">
        <v>4.42</v>
      </c>
    </row>
    <row r="156" spans="2:9" ht="15" hidden="1" customHeight="1">
      <c r="B156" s="1498">
        <v>40878</v>
      </c>
      <c r="C156" s="1495">
        <v>30</v>
      </c>
      <c r="D156" s="1297">
        <v>2125</v>
      </c>
      <c r="E156" s="1473">
        <v>30845</v>
      </c>
      <c r="F156" s="1297">
        <v>1186.3499999999999</v>
      </c>
      <c r="G156" s="1474" t="s">
        <v>1195</v>
      </c>
      <c r="H156" s="1474">
        <v>3.32</v>
      </c>
      <c r="I156" s="1480">
        <v>4.5199999999999996</v>
      </c>
    </row>
    <row r="157" spans="2:9" ht="15" hidden="1" customHeight="1">
      <c r="B157" s="1498">
        <v>40909</v>
      </c>
      <c r="C157" s="1495">
        <v>110</v>
      </c>
      <c r="D157" s="1297">
        <v>1065</v>
      </c>
      <c r="E157" s="1473">
        <v>10195</v>
      </c>
      <c r="F157" s="1297">
        <v>407.8</v>
      </c>
      <c r="G157" s="1474" t="s">
        <v>1196</v>
      </c>
      <c r="H157" s="1474">
        <v>2.4</v>
      </c>
      <c r="I157" s="1480">
        <v>4.33</v>
      </c>
    </row>
    <row r="158" spans="2:9" ht="15" hidden="1" customHeight="1">
      <c r="B158" s="1498">
        <v>40940</v>
      </c>
      <c r="C158" s="1495">
        <v>45</v>
      </c>
      <c r="D158" s="1297">
        <v>1485</v>
      </c>
      <c r="E158" s="1473">
        <v>17085</v>
      </c>
      <c r="F158" s="1297">
        <v>589.14</v>
      </c>
      <c r="G158" s="1474" t="s">
        <v>1197</v>
      </c>
      <c r="H158" s="1474">
        <v>2.34</v>
      </c>
      <c r="I158" s="1480">
        <v>4.22</v>
      </c>
    </row>
    <row r="159" spans="2:9" ht="15" hidden="1" customHeight="1">
      <c r="B159" s="1498">
        <v>40969</v>
      </c>
      <c r="C159" s="1495">
        <v>40</v>
      </c>
      <c r="D159" s="1297">
        <v>1155</v>
      </c>
      <c r="E159" s="1473">
        <v>9890</v>
      </c>
      <c r="F159" s="1297">
        <v>353.21</v>
      </c>
      <c r="G159" s="1474" t="s">
        <v>1198</v>
      </c>
      <c r="H159" s="1474">
        <v>1.97</v>
      </c>
      <c r="I159" s="1480">
        <v>4.0999999999999996</v>
      </c>
    </row>
    <row r="160" spans="2:9" ht="15" hidden="1" customHeight="1">
      <c r="B160" s="1498">
        <v>41000</v>
      </c>
      <c r="C160" s="1495">
        <v>170</v>
      </c>
      <c r="D160" s="1297">
        <v>1685</v>
      </c>
      <c r="E160" s="1473">
        <v>22085</v>
      </c>
      <c r="F160" s="1297">
        <v>736.17</v>
      </c>
      <c r="G160" s="1474" t="s">
        <v>1199</v>
      </c>
      <c r="H160" s="1474">
        <v>1.87</v>
      </c>
      <c r="I160" s="1480">
        <v>3.7</v>
      </c>
    </row>
    <row r="161" spans="2:9" ht="15" hidden="1" customHeight="1">
      <c r="B161" s="1498">
        <v>41030</v>
      </c>
      <c r="C161" s="1495">
        <v>50</v>
      </c>
      <c r="D161" s="1297">
        <v>1680</v>
      </c>
      <c r="E161" s="1473">
        <v>15635</v>
      </c>
      <c r="F161" s="1297">
        <v>504.35</v>
      </c>
      <c r="G161" s="1474" t="s">
        <v>1200</v>
      </c>
      <c r="H161" s="1474">
        <v>1.59</v>
      </c>
      <c r="I161" s="1480">
        <v>3.64</v>
      </c>
    </row>
    <row r="162" spans="2:9" ht="15" hidden="1" customHeight="1">
      <c r="B162" s="1498">
        <v>41061</v>
      </c>
      <c r="C162" s="1495">
        <v>140</v>
      </c>
      <c r="D162" s="1297">
        <v>2230</v>
      </c>
      <c r="E162" s="1473">
        <v>27510</v>
      </c>
      <c r="F162" s="1297">
        <v>917</v>
      </c>
      <c r="G162" s="1474" t="s">
        <v>1201</v>
      </c>
      <c r="H162" s="1474">
        <v>1.75</v>
      </c>
      <c r="I162" s="1480">
        <v>3.51</v>
      </c>
    </row>
    <row r="163" spans="2:9" ht="15" hidden="1" customHeight="1">
      <c r="B163" s="1498">
        <v>41122</v>
      </c>
      <c r="C163" s="1495">
        <v>65</v>
      </c>
      <c r="D163" s="1297">
        <v>1630</v>
      </c>
      <c r="E163" s="1473">
        <v>22930</v>
      </c>
      <c r="F163" s="1297">
        <v>739.68</v>
      </c>
      <c r="G163" s="1474" t="s">
        <v>1202</v>
      </c>
      <c r="H163" s="1474">
        <v>1.85</v>
      </c>
      <c r="I163" s="1480">
        <v>3.43</v>
      </c>
    </row>
    <row r="164" spans="2:9" ht="15" hidden="1" customHeight="1">
      <c r="B164" s="1498">
        <v>41153</v>
      </c>
      <c r="C164" s="1495">
        <v>15</v>
      </c>
      <c r="D164" s="1297">
        <v>575</v>
      </c>
      <c r="E164" s="1473">
        <v>6885</v>
      </c>
      <c r="F164" s="1297">
        <v>286.88</v>
      </c>
      <c r="G164" s="1474" t="s">
        <v>1203</v>
      </c>
      <c r="H164" s="1474">
        <v>1.67</v>
      </c>
      <c r="I164" s="1480">
        <v>3.47</v>
      </c>
    </row>
    <row r="165" spans="2:9" ht="15" hidden="1" customHeight="1">
      <c r="B165" s="1498">
        <v>41183</v>
      </c>
      <c r="C165" s="1495">
        <v>60</v>
      </c>
      <c r="D165" s="1297">
        <v>980</v>
      </c>
      <c r="E165" s="1473">
        <v>12570</v>
      </c>
      <c r="F165" s="1297">
        <v>433.45</v>
      </c>
      <c r="G165" s="1474" t="s">
        <v>1204</v>
      </c>
      <c r="H165" s="1474">
        <v>1.57</v>
      </c>
      <c r="I165" s="1480">
        <v>3.26</v>
      </c>
    </row>
    <row r="166" spans="2:9" ht="15" hidden="1" customHeight="1">
      <c r="B166" s="1498">
        <v>41214</v>
      </c>
      <c r="C166" s="1495">
        <v>415</v>
      </c>
      <c r="D166" s="1297">
        <v>2180</v>
      </c>
      <c r="E166" s="1473">
        <v>37795</v>
      </c>
      <c r="F166" s="1297">
        <v>1259.83</v>
      </c>
      <c r="G166" s="1474" t="s">
        <v>1205</v>
      </c>
      <c r="H166" s="1474">
        <v>1.53</v>
      </c>
      <c r="I166" s="1480">
        <v>3.08</v>
      </c>
    </row>
    <row r="167" spans="2:9" ht="15" hidden="1" customHeight="1">
      <c r="B167" s="1498">
        <v>41244</v>
      </c>
      <c r="C167" s="1495">
        <v>160</v>
      </c>
      <c r="D167" s="1297">
        <v>1650</v>
      </c>
      <c r="E167" s="1473">
        <v>26110</v>
      </c>
      <c r="F167" s="1297">
        <v>842.26</v>
      </c>
      <c r="G167" s="1474" t="s">
        <v>1206</v>
      </c>
      <c r="H167" s="1474">
        <v>1.61</v>
      </c>
      <c r="I167" s="1480">
        <v>2.95</v>
      </c>
    </row>
    <row r="168" spans="2:9" ht="15" hidden="1" customHeight="1">
      <c r="B168" s="1498">
        <v>41275</v>
      </c>
      <c r="C168" s="1495">
        <v>75</v>
      </c>
      <c r="D168" s="1297">
        <v>1210</v>
      </c>
      <c r="E168" s="1473">
        <v>9470</v>
      </c>
      <c r="F168" s="1297">
        <v>305.48</v>
      </c>
      <c r="G168" s="1474" t="s">
        <v>1207</v>
      </c>
      <c r="H168" s="1474">
        <v>1.49</v>
      </c>
      <c r="I168" s="1480">
        <v>2.84</v>
      </c>
    </row>
    <row r="169" spans="2:9" ht="15" hidden="1" customHeight="1">
      <c r="B169" s="1498">
        <v>41306</v>
      </c>
      <c r="C169" s="1495">
        <v>50</v>
      </c>
      <c r="D169" s="1297">
        <v>1655</v>
      </c>
      <c r="E169" s="1473">
        <v>22350</v>
      </c>
      <c r="F169" s="1297">
        <v>798.21</v>
      </c>
      <c r="G169" s="1474" t="s">
        <v>1129</v>
      </c>
      <c r="H169" s="1474">
        <v>1.42</v>
      </c>
      <c r="I169" s="1480">
        <v>2.74</v>
      </c>
    </row>
    <row r="170" spans="2:9" ht="15" hidden="1" customHeight="1">
      <c r="B170" s="1498">
        <v>41334</v>
      </c>
      <c r="C170" s="1495">
        <v>30</v>
      </c>
      <c r="D170" s="1297">
        <v>2200</v>
      </c>
      <c r="E170" s="1473">
        <v>27940</v>
      </c>
      <c r="F170" s="1297">
        <v>901.29</v>
      </c>
      <c r="G170" s="1474" t="s">
        <v>1208</v>
      </c>
      <c r="H170" s="1474">
        <v>1.36</v>
      </c>
      <c r="I170" s="1480">
        <v>2.46</v>
      </c>
    </row>
    <row r="171" spans="2:9" ht="15" hidden="1" customHeight="1">
      <c r="B171" s="1498">
        <v>41365</v>
      </c>
      <c r="C171" s="1495">
        <v>265</v>
      </c>
      <c r="D171" s="1297">
        <v>1855</v>
      </c>
      <c r="E171" s="1473">
        <v>28346</v>
      </c>
      <c r="F171" s="1297">
        <v>944.87</v>
      </c>
      <c r="G171" s="1474" t="s">
        <v>1209</v>
      </c>
      <c r="H171" s="1474">
        <v>1.36</v>
      </c>
      <c r="I171" s="1480">
        <v>2.33</v>
      </c>
    </row>
    <row r="172" spans="2:9" ht="15" hidden="1" customHeight="1">
      <c r="B172" s="1498">
        <v>41395</v>
      </c>
      <c r="C172" s="1495">
        <v>70</v>
      </c>
      <c r="D172" s="1297">
        <v>1735</v>
      </c>
      <c r="E172" s="1473">
        <v>24695</v>
      </c>
      <c r="F172" s="1297">
        <v>796.61</v>
      </c>
      <c r="G172" s="1474" t="s">
        <v>1209</v>
      </c>
      <c r="H172" s="1474">
        <v>1.36</v>
      </c>
      <c r="I172" s="1480">
        <v>2.29</v>
      </c>
    </row>
    <row r="173" spans="2:9" ht="15" hidden="1" customHeight="1">
      <c r="B173" s="1498">
        <v>41426</v>
      </c>
      <c r="C173" s="1495">
        <v>405</v>
      </c>
      <c r="D173" s="1297">
        <v>1325</v>
      </c>
      <c r="E173" s="1473">
        <v>21281.5</v>
      </c>
      <c r="F173" s="1297">
        <v>709.38</v>
      </c>
      <c r="G173" s="1474" t="s">
        <v>1210</v>
      </c>
      <c r="H173" s="1474">
        <v>1.99</v>
      </c>
      <c r="I173" s="1480">
        <v>2.52</v>
      </c>
    </row>
    <row r="174" spans="2:9" ht="15" customHeight="1">
      <c r="B174" s="1498">
        <v>41456</v>
      </c>
      <c r="C174" s="1495">
        <v>125</v>
      </c>
      <c r="D174" s="1297">
        <v>1910</v>
      </c>
      <c r="E174" s="1473">
        <v>31140</v>
      </c>
      <c r="F174" s="1297">
        <v>1004.52</v>
      </c>
      <c r="G174" s="1474" t="s">
        <v>1211</v>
      </c>
      <c r="H174" s="1474">
        <v>2.0099999999999998</v>
      </c>
      <c r="I174" s="1480">
        <v>2.77</v>
      </c>
    </row>
    <row r="175" spans="2:9" ht="15" customHeight="1">
      <c r="B175" s="1498">
        <v>41487</v>
      </c>
      <c r="C175" s="1495">
        <v>140</v>
      </c>
      <c r="D175" s="1297">
        <v>920</v>
      </c>
      <c r="E175" s="1473">
        <v>17510</v>
      </c>
      <c r="F175" s="1297">
        <v>564.84</v>
      </c>
      <c r="G175" s="1474" t="s">
        <v>1212</v>
      </c>
      <c r="H175" s="1474">
        <v>1.68</v>
      </c>
      <c r="I175" s="1480">
        <v>2.8</v>
      </c>
    </row>
    <row r="176" spans="2:9" ht="15" customHeight="1">
      <c r="B176" s="1498">
        <v>41518</v>
      </c>
      <c r="C176" s="1495">
        <v>60</v>
      </c>
      <c r="D176" s="1297">
        <v>1625</v>
      </c>
      <c r="E176" s="1473">
        <v>23310</v>
      </c>
      <c r="F176" s="1297">
        <v>777</v>
      </c>
      <c r="G176" s="1474" t="s">
        <v>1212</v>
      </c>
      <c r="H176" s="1474">
        <v>1.64</v>
      </c>
      <c r="I176" s="1480">
        <v>2.75</v>
      </c>
    </row>
    <row r="177" spans="2:9" ht="15" customHeight="1">
      <c r="B177" s="1498">
        <v>41548</v>
      </c>
      <c r="C177" s="1495">
        <v>990</v>
      </c>
      <c r="D177" s="1297">
        <v>2560</v>
      </c>
      <c r="E177" s="1473">
        <v>56785</v>
      </c>
      <c r="F177" s="1297">
        <v>1831.77</v>
      </c>
      <c r="G177" s="1474" t="s">
        <v>1213</v>
      </c>
      <c r="H177" s="1474">
        <v>2.5299999999999998</v>
      </c>
      <c r="I177" s="1480">
        <v>2.87</v>
      </c>
    </row>
    <row r="178" spans="2:9" ht="15" customHeight="1">
      <c r="B178" s="1498">
        <v>41579</v>
      </c>
      <c r="C178" s="1495">
        <v>225</v>
      </c>
      <c r="D178" s="1297">
        <v>2780</v>
      </c>
      <c r="E178" s="1473">
        <v>48017</v>
      </c>
      <c r="F178" s="1297">
        <v>1600.57</v>
      </c>
      <c r="G178" s="1474" t="s">
        <v>1214</v>
      </c>
      <c r="H178" s="1474">
        <v>3.58</v>
      </c>
      <c r="I178" s="1480">
        <v>3.35</v>
      </c>
    </row>
    <row r="179" spans="2:9" ht="15" customHeight="1">
      <c r="B179" s="1498">
        <v>41609</v>
      </c>
      <c r="C179" s="1495">
        <v>310</v>
      </c>
      <c r="D179" s="1297">
        <v>2825</v>
      </c>
      <c r="E179" s="1473">
        <v>47480</v>
      </c>
      <c r="F179" s="1297">
        <v>1531.61</v>
      </c>
      <c r="G179" s="1474" t="s">
        <v>1215</v>
      </c>
      <c r="H179" s="1474">
        <v>3.52</v>
      </c>
      <c r="I179" s="1480">
        <v>3.54</v>
      </c>
    </row>
    <row r="180" spans="2:9" ht="15" customHeight="1">
      <c r="B180" s="1498">
        <v>41640</v>
      </c>
      <c r="C180" s="1495">
        <v>5</v>
      </c>
      <c r="D180" s="1297">
        <v>2000</v>
      </c>
      <c r="E180" s="1473">
        <v>12670</v>
      </c>
      <c r="F180" s="1297">
        <v>436.9</v>
      </c>
      <c r="G180" s="1474" t="s">
        <v>1216</v>
      </c>
      <c r="H180" s="1474">
        <v>3.63</v>
      </c>
      <c r="I180" s="1480">
        <v>3.54</v>
      </c>
    </row>
    <row r="181" spans="2:9" ht="15" customHeight="1">
      <c r="B181" s="1498">
        <v>41671</v>
      </c>
      <c r="C181" s="1495">
        <v>30</v>
      </c>
      <c r="D181" s="1297">
        <v>520</v>
      </c>
      <c r="E181" s="1473">
        <v>6385</v>
      </c>
      <c r="F181" s="1297">
        <v>228.04</v>
      </c>
      <c r="G181" s="1474" t="s">
        <v>1217</v>
      </c>
      <c r="H181" s="1474">
        <v>2.6</v>
      </c>
      <c r="I181" s="1480">
        <v>3.36</v>
      </c>
    </row>
    <row r="182" spans="2:9" ht="15" customHeight="1">
      <c r="B182" s="1498">
        <v>41699</v>
      </c>
      <c r="C182" s="1495">
        <v>10</v>
      </c>
      <c r="D182" s="1297">
        <v>260</v>
      </c>
      <c r="E182" s="1473">
        <v>1660</v>
      </c>
      <c r="F182" s="1297">
        <v>111</v>
      </c>
      <c r="G182" s="1474" t="s">
        <v>1218</v>
      </c>
      <c r="H182" s="1474">
        <v>2.35</v>
      </c>
      <c r="I182" s="1480">
        <v>3.16</v>
      </c>
    </row>
    <row r="183" spans="2:9" ht="15" customHeight="1">
      <c r="B183" s="1498">
        <v>41730</v>
      </c>
      <c r="C183" s="1495">
        <v>25</v>
      </c>
      <c r="D183" s="1297">
        <v>550</v>
      </c>
      <c r="E183" s="1473">
        <v>2815</v>
      </c>
      <c r="F183" s="1297">
        <v>112.6</v>
      </c>
      <c r="G183" s="1474" t="s">
        <v>1219</v>
      </c>
      <c r="H183" s="1474">
        <v>2.0299999999999998</v>
      </c>
      <c r="I183" s="1480">
        <v>2.95</v>
      </c>
    </row>
    <row r="184" spans="2:9" ht="15" customHeight="1">
      <c r="B184" s="1498">
        <v>41760</v>
      </c>
      <c r="C184" s="1495">
        <v>105</v>
      </c>
      <c r="D184" s="1297">
        <v>1100</v>
      </c>
      <c r="E184" s="1473">
        <v>9525</v>
      </c>
      <c r="F184" s="1297">
        <v>340.18</v>
      </c>
      <c r="G184" s="1474" t="s">
        <v>1220</v>
      </c>
      <c r="H184" s="1474">
        <v>1.77</v>
      </c>
      <c r="I184" s="1480">
        <v>2.83</v>
      </c>
    </row>
    <row r="185" spans="2:9" ht="15" customHeight="1">
      <c r="B185" s="1498">
        <v>41791</v>
      </c>
      <c r="C185" s="1495">
        <v>100</v>
      </c>
      <c r="D185" s="1297">
        <v>1195</v>
      </c>
      <c r="E185" s="1473">
        <v>8640</v>
      </c>
      <c r="F185" s="1297">
        <v>360</v>
      </c>
      <c r="G185" s="1474" t="s">
        <v>1221</v>
      </c>
      <c r="H185" s="1474">
        <v>1.49</v>
      </c>
      <c r="I185" s="1480">
        <v>2.61</v>
      </c>
    </row>
    <row r="186" spans="2:9" ht="15" customHeight="1">
      <c r="B186" s="1498">
        <v>41821</v>
      </c>
      <c r="C186" s="1495">
        <v>20</v>
      </c>
      <c r="D186" s="1297">
        <v>2385</v>
      </c>
      <c r="E186" s="1473">
        <v>20495</v>
      </c>
      <c r="F186" s="1297">
        <v>683.17</v>
      </c>
      <c r="G186" s="1474" t="s">
        <v>1222</v>
      </c>
      <c r="H186" s="1474">
        <v>1.2</v>
      </c>
      <c r="I186" s="1480"/>
    </row>
    <row r="187" spans="2:9" ht="15" customHeight="1" thickBot="1">
      <c r="B187" s="1506"/>
      <c r="C187" s="1507"/>
      <c r="D187" s="1508"/>
      <c r="E187" s="1509"/>
      <c r="F187" s="1508"/>
      <c r="G187" s="1510"/>
      <c r="H187" s="1511"/>
      <c r="I187" s="1512"/>
    </row>
    <row r="188" spans="2:9" ht="18" customHeight="1" thickTop="1">
      <c r="B188" s="1513" t="s">
        <v>1223</v>
      </c>
      <c r="C188" s="1514"/>
      <c r="D188" s="1514"/>
      <c r="E188" s="1514"/>
      <c r="G188" s="1515" t="s">
        <v>1224</v>
      </c>
      <c r="H188" s="1516"/>
      <c r="I188" s="1516"/>
    </row>
    <row r="189" spans="2:9" ht="18.75" customHeight="1">
      <c r="B189" s="1515" t="s">
        <v>1225</v>
      </c>
      <c r="C189" s="967"/>
      <c r="D189" s="967"/>
      <c r="E189" s="1517"/>
      <c r="G189" s="721" t="s">
        <v>1226</v>
      </c>
      <c r="H189" s="1516"/>
      <c r="I189" s="1516"/>
    </row>
    <row r="190" spans="2:9" ht="18.75" customHeight="1">
      <c r="B190" s="3344" t="s">
        <v>1227</v>
      </c>
      <c r="C190" s="3344"/>
      <c r="D190" s="3344"/>
      <c r="E190" s="3344"/>
      <c r="F190" s="3344"/>
      <c r="G190" s="3344"/>
      <c r="H190" s="3344"/>
      <c r="I190" s="3344"/>
    </row>
    <row r="191" spans="2:9" s="1518" customFormat="1">
      <c r="B191" s="967" t="s">
        <v>1228</v>
      </c>
      <c r="G191" s="721"/>
      <c r="H191" s="1516"/>
      <c r="I191" s="1516"/>
    </row>
    <row r="192" spans="2:9">
      <c r="B192" s="967"/>
      <c r="D192" s="967"/>
    </row>
    <row r="193" spans="2:14" ht="18.75" customHeight="1">
      <c r="B193" s="1287" t="s">
        <v>1229</v>
      </c>
    </row>
    <row r="194" spans="2:14" ht="9" customHeight="1" thickBot="1">
      <c r="B194" s="875"/>
    </row>
    <row r="195" spans="2:14" ht="15" customHeight="1">
      <c r="B195" s="1519" t="s">
        <v>212</v>
      </c>
      <c r="C195" s="1520" t="s">
        <v>1061</v>
      </c>
      <c r="D195" s="1521"/>
      <c r="E195" s="1521"/>
      <c r="F195" s="1522" t="s">
        <v>1062</v>
      </c>
      <c r="G195" s="1522" t="s">
        <v>1063</v>
      </c>
      <c r="H195" s="1522" t="s">
        <v>1028</v>
      </c>
      <c r="I195" s="873" t="s">
        <v>28</v>
      </c>
    </row>
    <row r="196" spans="2:14" ht="17.25" customHeight="1" thickBot="1">
      <c r="B196" s="1463"/>
      <c r="C196" s="1459"/>
      <c r="D196" s="1460"/>
      <c r="E196" s="1461"/>
      <c r="F196" s="1462" t="s">
        <v>1066</v>
      </c>
      <c r="G196" s="1462" t="s">
        <v>244</v>
      </c>
      <c r="H196" s="1462" t="s">
        <v>1230</v>
      </c>
      <c r="L196" s="873" t="s">
        <v>28</v>
      </c>
    </row>
    <row r="197" spans="2:14" ht="17.25" customHeight="1" thickBot="1">
      <c r="B197" s="1463"/>
      <c r="C197" s="1464" t="s">
        <v>776</v>
      </c>
      <c r="D197" s="1465" t="s">
        <v>778</v>
      </c>
      <c r="E197" s="1466" t="s">
        <v>198</v>
      </c>
      <c r="F197" s="1467"/>
      <c r="G197" s="1467" t="s">
        <v>1069</v>
      </c>
      <c r="H197" s="1467" t="s">
        <v>1231</v>
      </c>
    </row>
    <row r="198" spans="2:14" ht="14.1" customHeight="1" thickBot="1">
      <c r="B198" s="1468"/>
      <c r="C198" s="1523" t="s">
        <v>74</v>
      </c>
      <c r="D198" s="1524"/>
      <c r="E198" s="1525"/>
      <c r="F198" s="1526"/>
      <c r="G198" s="3345" t="s">
        <v>788</v>
      </c>
      <c r="H198" s="3346"/>
    </row>
    <row r="199" spans="2:14" ht="17.25" customHeight="1">
      <c r="B199" s="1470">
        <v>41821</v>
      </c>
      <c r="C199" s="1495"/>
      <c r="D199" s="1297"/>
      <c r="E199" s="1473"/>
      <c r="F199" s="1297"/>
      <c r="G199" s="1474"/>
      <c r="H199" s="1474"/>
    </row>
    <row r="200" spans="2:14" ht="15" customHeight="1">
      <c r="B200" s="1476" t="s">
        <v>1071</v>
      </c>
      <c r="C200" s="1477">
        <v>150</v>
      </c>
      <c r="D200" s="1297">
        <v>290</v>
      </c>
      <c r="E200" s="1478">
        <v>730</v>
      </c>
      <c r="F200" s="1297">
        <v>243.33</v>
      </c>
      <c r="G200" s="1479" t="s">
        <v>1072</v>
      </c>
      <c r="H200" s="1479">
        <v>1.26</v>
      </c>
      <c r="I200" s="1481"/>
      <c r="J200" s="1485"/>
      <c r="K200" s="1485"/>
      <c r="L200" s="1481"/>
      <c r="M200" s="1485"/>
      <c r="N200" s="1486"/>
    </row>
    <row r="201" spans="2:14" ht="15" customHeight="1">
      <c r="B201" s="1476" t="s">
        <v>1073</v>
      </c>
      <c r="C201" s="1477">
        <v>20</v>
      </c>
      <c r="D201" s="1297">
        <v>600</v>
      </c>
      <c r="E201" s="1478">
        <v>2295</v>
      </c>
      <c r="F201" s="1297">
        <v>382.5</v>
      </c>
      <c r="G201" s="1479">
        <v>1.25</v>
      </c>
      <c r="H201" s="1479">
        <v>1.25</v>
      </c>
      <c r="I201" s="1481"/>
      <c r="J201" s="1485"/>
      <c r="K201" s="1485"/>
      <c r="L201" s="1481"/>
      <c r="M201" s="1485"/>
      <c r="N201" s="1486"/>
    </row>
    <row r="202" spans="2:14" ht="15" customHeight="1">
      <c r="B202" s="1476" t="s">
        <v>1074</v>
      </c>
      <c r="C202" s="1477">
        <v>100</v>
      </c>
      <c r="D202" s="1297">
        <v>250</v>
      </c>
      <c r="E202" s="1478">
        <v>625</v>
      </c>
      <c r="F202" s="1297">
        <v>156.25</v>
      </c>
      <c r="G202" s="1479" t="s">
        <v>1232</v>
      </c>
      <c r="H202" s="1479">
        <v>1.21</v>
      </c>
      <c r="I202" s="1481"/>
      <c r="J202" s="1485"/>
      <c r="K202" s="1485"/>
      <c r="L202" s="1481"/>
      <c r="M202" s="1485"/>
      <c r="N202" s="1486"/>
    </row>
    <row r="203" spans="2:14" ht="15" customHeight="1">
      <c r="B203" s="1476" t="s">
        <v>1076</v>
      </c>
      <c r="C203" s="1477">
        <v>900</v>
      </c>
      <c r="D203" s="1297">
        <v>1300</v>
      </c>
      <c r="E203" s="1478">
        <v>7130</v>
      </c>
      <c r="F203" s="1297">
        <v>1018.57</v>
      </c>
      <c r="G203" s="1479" t="s">
        <v>1077</v>
      </c>
      <c r="H203" s="1479">
        <v>1.18</v>
      </c>
      <c r="I203" s="1481"/>
      <c r="J203" s="1485"/>
      <c r="K203" s="1485"/>
      <c r="L203" s="1481"/>
      <c r="M203" s="1485"/>
      <c r="N203" s="1486"/>
    </row>
    <row r="204" spans="2:14" ht="15" customHeight="1">
      <c r="B204" s="1476" t="s">
        <v>1078</v>
      </c>
      <c r="C204" s="1477">
        <v>800</v>
      </c>
      <c r="D204" s="1297">
        <v>2385</v>
      </c>
      <c r="E204" s="1478">
        <v>9015</v>
      </c>
      <c r="F204" s="1297">
        <v>1287.8599999999999</v>
      </c>
      <c r="G204" s="1479" t="s">
        <v>1077</v>
      </c>
      <c r="H204" s="1479">
        <v>1.1599999999999999</v>
      </c>
      <c r="I204" s="1481"/>
      <c r="J204" s="1485"/>
      <c r="K204" s="1485"/>
      <c r="L204" s="1481"/>
      <c r="M204" s="1485"/>
      <c r="N204" s="1486"/>
    </row>
    <row r="205" spans="2:14" ht="9" customHeight="1">
      <c r="B205" s="1527"/>
      <c r="C205" s="1488"/>
      <c r="D205" s="1489"/>
      <c r="E205" s="1490"/>
      <c r="F205" s="1489"/>
      <c r="G205" s="1528"/>
      <c r="H205" s="1491"/>
      <c r="I205" s="1481"/>
      <c r="J205" s="1485"/>
      <c r="K205" s="1485"/>
      <c r="L205" s="1481"/>
      <c r="M205" s="1485"/>
      <c r="N205" s="1486"/>
    </row>
    <row r="206" spans="2:14" ht="15" hidden="1" customHeight="1">
      <c r="B206" s="1529"/>
      <c r="C206" s="1530"/>
      <c r="D206" s="1531"/>
      <c r="E206" s="1473"/>
      <c r="F206" s="1297"/>
      <c r="G206" s="1474"/>
      <c r="H206" s="1474"/>
      <c r="I206" s="1496"/>
      <c r="J206" s="1485"/>
      <c r="K206" s="1497">
        <f>SUM(K200:K205)</f>
        <v>0</v>
      </c>
      <c r="L206" s="1485"/>
      <c r="M206" s="1497">
        <f>SUM(M200:M205)</f>
        <v>0</v>
      </c>
      <c r="N206" s="1486" t="e">
        <f>M206/K206</f>
        <v>#DIV/0!</v>
      </c>
    </row>
    <row r="207" spans="2:14" ht="15" hidden="1" customHeight="1">
      <c r="B207" s="1532">
        <v>36312</v>
      </c>
      <c r="C207" s="1530">
        <v>10</v>
      </c>
      <c r="D207" s="1531">
        <v>230</v>
      </c>
      <c r="E207" s="1473">
        <v>2385</v>
      </c>
      <c r="F207" s="1297">
        <v>80</v>
      </c>
      <c r="G207" s="1474" t="s">
        <v>1079</v>
      </c>
      <c r="H207" s="1474">
        <v>9.9600000000000009</v>
      </c>
      <c r="I207" s="1496"/>
    </row>
    <row r="208" spans="2:14" ht="15" hidden="1" customHeight="1">
      <c r="B208" s="1532">
        <v>36404</v>
      </c>
      <c r="C208" s="1530">
        <v>10</v>
      </c>
      <c r="D208" s="1531">
        <v>120</v>
      </c>
      <c r="E208" s="1473">
        <v>1223</v>
      </c>
      <c r="F208" s="1297">
        <v>52.96</v>
      </c>
      <c r="G208" s="1474" t="s">
        <v>1080</v>
      </c>
      <c r="H208" s="1474">
        <v>9.5630000000000006</v>
      </c>
      <c r="I208" s="1496"/>
    </row>
    <row r="209" spans="2:9" ht="15" hidden="1" customHeight="1" thickBot="1">
      <c r="B209" s="1532">
        <v>36495</v>
      </c>
      <c r="C209" s="1530">
        <v>85</v>
      </c>
      <c r="D209" s="1531">
        <v>500</v>
      </c>
      <c r="E209" s="1473">
        <v>6285</v>
      </c>
      <c r="F209" s="1297">
        <v>273</v>
      </c>
      <c r="G209" s="1474" t="s">
        <v>1081</v>
      </c>
      <c r="H209" s="1474">
        <v>9.67</v>
      </c>
      <c r="I209" s="1496"/>
    </row>
    <row r="210" spans="2:9" ht="15" hidden="1" customHeight="1" thickTop="1">
      <c r="B210" s="1532">
        <v>36586</v>
      </c>
      <c r="C210" s="1530">
        <v>10</v>
      </c>
      <c r="D210" s="1531">
        <v>255</v>
      </c>
      <c r="E210" s="1473">
        <v>3163.2</v>
      </c>
      <c r="F210" s="1297">
        <v>102</v>
      </c>
      <c r="G210" s="1474" t="s">
        <v>1082</v>
      </c>
      <c r="H210" s="1474">
        <v>9.1199999999999992</v>
      </c>
      <c r="I210" s="1496"/>
    </row>
    <row r="211" spans="2:9" ht="15" hidden="1" customHeight="1">
      <c r="B211" s="1532">
        <v>36678</v>
      </c>
      <c r="C211" s="1530">
        <v>20</v>
      </c>
      <c r="D211" s="1531">
        <v>600</v>
      </c>
      <c r="E211" s="1297">
        <v>3421</v>
      </c>
      <c r="F211" s="1297">
        <v>118</v>
      </c>
      <c r="G211" s="1474" t="s">
        <v>1083</v>
      </c>
      <c r="H211" s="1474">
        <v>7.27</v>
      </c>
      <c r="I211" s="1496"/>
    </row>
    <row r="212" spans="2:9" ht="15" hidden="1" customHeight="1">
      <c r="B212" s="1532">
        <v>36708</v>
      </c>
      <c r="C212" s="1530">
        <v>10</v>
      </c>
      <c r="D212" s="1531">
        <v>830</v>
      </c>
      <c r="E212" s="1297">
        <v>6813</v>
      </c>
      <c r="F212" s="1297">
        <v>243</v>
      </c>
      <c r="G212" s="1474" t="s">
        <v>1084</v>
      </c>
      <c r="H212" s="1474">
        <v>7.46</v>
      </c>
      <c r="I212" s="1496"/>
    </row>
    <row r="213" spans="2:9" ht="15" hidden="1" customHeight="1">
      <c r="B213" s="1532">
        <v>36739</v>
      </c>
      <c r="C213" s="1530">
        <v>25</v>
      </c>
      <c r="D213" s="1531">
        <v>460</v>
      </c>
      <c r="E213" s="1297">
        <v>6528</v>
      </c>
      <c r="F213" s="1297">
        <v>211</v>
      </c>
      <c r="G213" s="1474" t="s">
        <v>1085</v>
      </c>
      <c r="H213" s="1474">
        <v>7.03</v>
      </c>
      <c r="I213" s="1496"/>
    </row>
    <row r="214" spans="2:9" ht="15" hidden="1" customHeight="1">
      <c r="B214" s="1532">
        <v>36770</v>
      </c>
      <c r="C214" s="1530">
        <v>30</v>
      </c>
      <c r="D214" s="1531">
        <v>168</v>
      </c>
      <c r="E214" s="1297">
        <v>2859</v>
      </c>
      <c r="F214" s="1297">
        <v>95</v>
      </c>
      <c r="G214" s="1474" t="s">
        <v>1086</v>
      </c>
      <c r="H214" s="1474">
        <v>7.13</v>
      </c>
      <c r="I214" s="1496"/>
    </row>
    <row r="215" spans="2:9" ht="15" hidden="1" customHeight="1">
      <c r="B215" s="1532">
        <v>36800</v>
      </c>
      <c r="C215" s="1530">
        <v>30</v>
      </c>
      <c r="D215" s="1531">
        <v>270</v>
      </c>
      <c r="E215" s="1297">
        <v>3581</v>
      </c>
      <c r="F215" s="1297">
        <v>138</v>
      </c>
      <c r="G215" s="1474" t="s">
        <v>1087</v>
      </c>
      <c r="H215" s="1474">
        <v>7.48</v>
      </c>
      <c r="I215" s="1496"/>
    </row>
    <row r="216" spans="2:9" ht="15" hidden="1" customHeight="1">
      <c r="B216" s="1532">
        <v>36831</v>
      </c>
      <c r="C216" s="1530">
        <v>40</v>
      </c>
      <c r="D216" s="1531">
        <v>201</v>
      </c>
      <c r="E216" s="1297">
        <v>2859</v>
      </c>
      <c r="F216" s="1297">
        <v>95</v>
      </c>
      <c r="G216" s="1474" t="s">
        <v>1088</v>
      </c>
      <c r="H216" s="1474">
        <v>7.98</v>
      </c>
      <c r="I216" s="1496"/>
    </row>
    <row r="217" spans="2:9" ht="15" hidden="1" customHeight="1">
      <c r="B217" s="1532">
        <v>36861</v>
      </c>
      <c r="C217" s="1530">
        <v>16</v>
      </c>
      <c r="D217" s="1531">
        <v>398</v>
      </c>
      <c r="E217" s="1297">
        <v>5734</v>
      </c>
      <c r="F217" s="1297">
        <v>185</v>
      </c>
      <c r="G217" s="1474" t="s">
        <v>1089</v>
      </c>
      <c r="H217" s="1474">
        <v>7.96</v>
      </c>
      <c r="I217" s="1496"/>
    </row>
    <row r="218" spans="2:9" ht="15" hidden="1" customHeight="1">
      <c r="B218" s="1532">
        <v>36892</v>
      </c>
      <c r="C218" s="1530">
        <v>10</v>
      </c>
      <c r="D218" s="1531">
        <v>590</v>
      </c>
      <c r="E218" s="1297">
        <v>4252</v>
      </c>
      <c r="F218" s="1297">
        <v>185</v>
      </c>
      <c r="G218" s="1474" t="s">
        <v>1090</v>
      </c>
      <c r="H218" s="1474">
        <v>6.8</v>
      </c>
      <c r="I218" s="1496"/>
    </row>
    <row r="219" spans="2:9" ht="15" hidden="1" customHeight="1">
      <c r="B219" s="1532">
        <v>36923</v>
      </c>
      <c r="C219" s="1530">
        <v>30</v>
      </c>
      <c r="D219" s="1531">
        <v>594</v>
      </c>
      <c r="E219" s="1297">
        <v>4815</v>
      </c>
      <c r="F219" s="1297">
        <v>172</v>
      </c>
      <c r="G219" s="1474" t="s">
        <v>1091</v>
      </c>
      <c r="H219" s="1474">
        <v>7.2584999999999997</v>
      </c>
      <c r="I219" s="1496"/>
    </row>
    <row r="220" spans="2:9" ht="15" hidden="1" customHeight="1">
      <c r="B220" s="1532">
        <v>36951</v>
      </c>
      <c r="C220" s="1530">
        <v>40</v>
      </c>
      <c r="D220" s="1531">
        <v>410</v>
      </c>
      <c r="E220" s="1297">
        <v>4583</v>
      </c>
      <c r="F220" s="1297">
        <v>148</v>
      </c>
      <c r="G220" s="1474" t="s">
        <v>1092</v>
      </c>
      <c r="H220" s="1474">
        <v>7.5</v>
      </c>
      <c r="I220" s="1496"/>
    </row>
    <row r="221" spans="2:9" ht="15" hidden="1" customHeight="1">
      <c r="B221" s="1532">
        <v>36982</v>
      </c>
      <c r="C221" s="1530">
        <v>50</v>
      </c>
      <c r="D221" s="1531">
        <v>560</v>
      </c>
      <c r="E221" s="1297">
        <v>8724</v>
      </c>
      <c r="F221" s="1297">
        <v>291</v>
      </c>
      <c r="G221" s="1474" t="s">
        <v>1093</v>
      </c>
      <c r="H221" s="1474">
        <v>7.8</v>
      </c>
      <c r="I221" s="1496"/>
    </row>
    <row r="222" spans="2:9" ht="15" hidden="1" customHeight="1">
      <c r="B222" s="1532">
        <v>37012</v>
      </c>
      <c r="C222" s="1530">
        <v>80</v>
      </c>
      <c r="D222" s="1531">
        <v>435</v>
      </c>
      <c r="E222" s="1297">
        <v>5942</v>
      </c>
      <c r="F222" s="1297">
        <v>192</v>
      </c>
      <c r="G222" s="1474" t="s">
        <v>1094</v>
      </c>
      <c r="H222" s="1474">
        <v>8.43</v>
      </c>
      <c r="I222" s="1496"/>
    </row>
    <row r="223" spans="2:9" ht="15" hidden="1" customHeight="1">
      <c r="B223" s="1532">
        <v>37043</v>
      </c>
      <c r="C223" s="1530">
        <v>10</v>
      </c>
      <c r="D223" s="1531">
        <v>570</v>
      </c>
      <c r="E223" s="1297">
        <v>5355</v>
      </c>
      <c r="F223" s="1297">
        <v>178.5</v>
      </c>
      <c r="G223" s="1474" t="s">
        <v>1095</v>
      </c>
      <c r="H223" s="1474">
        <v>7.29</v>
      </c>
      <c r="I223" s="1496"/>
    </row>
    <row r="224" spans="2:9" ht="15" hidden="1" customHeight="1">
      <c r="B224" s="1532">
        <v>37073</v>
      </c>
      <c r="C224" s="1530">
        <v>50</v>
      </c>
      <c r="D224" s="1531">
        <v>570</v>
      </c>
      <c r="E224" s="1297">
        <v>6170</v>
      </c>
      <c r="F224" s="1297">
        <v>199</v>
      </c>
      <c r="G224" s="1474" t="s">
        <v>1086</v>
      </c>
      <c r="H224" s="1474">
        <v>7.18</v>
      </c>
      <c r="I224" s="1496"/>
    </row>
    <row r="225" spans="2:9" ht="15" hidden="1" customHeight="1">
      <c r="B225" s="1532">
        <v>37104</v>
      </c>
      <c r="C225" s="1530">
        <v>35</v>
      </c>
      <c r="D225" s="1531">
        <v>482</v>
      </c>
      <c r="E225" s="1297">
        <v>4954</v>
      </c>
      <c r="F225" s="1297">
        <v>160</v>
      </c>
      <c r="G225" s="1474" t="s">
        <v>1096</v>
      </c>
      <c r="H225" s="1474">
        <v>7.28</v>
      </c>
      <c r="I225" s="1496"/>
    </row>
    <row r="226" spans="2:9" ht="15" hidden="1" customHeight="1">
      <c r="B226" s="1532">
        <v>37135</v>
      </c>
      <c r="C226" s="1530">
        <v>3</v>
      </c>
      <c r="D226" s="1531">
        <v>333</v>
      </c>
      <c r="E226" s="1297">
        <v>4828</v>
      </c>
      <c r="F226" s="1297">
        <v>161</v>
      </c>
      <c r="G226" s="1474" t="s">
        <v>1097</v>
      </c>
      <c r="H226" s="1474">
        <v>7.13</v>
      </c>
      <c r="I226" s="1496"/>
    </row>
    <row r="227" spans="2:9" ht="15" hidden="1" customHeight="1">
      <c r="B227" s="1532">
        <v>37165</v>
      </c>
      <c r="C227" s="1530">
        <v>115</v>
      </c>
      <c r="D227" s="1531">
        <v>615</v>
      </c>
      <c r="E227" s="1297">
        <v>9010</v>
      </c>
      <c r="F227" s="1297">
        <v>291</v>
      </c>
      <c r="G227" s="1474" t="s">
        <v>1098</v>
      </c>
      <c r="H227" s="1474">
        <v>7.12</v>
      </c>
      <c r="I227" s="1496"/>
    </row>
    <row r="228" spans="2:9" ht="15" hidden="1" customHeight="1">
      <c r="B228" s="1532">
        <v>37196</v>
      </c>
      <c r="C228" s="1530">
        <v>50</v>
      </c>
      <c r="D228" s="1531">
        <v>720</v>
      </c>
      <c r="E228" s="1297">
        <v>7487</v>
      </c>
      <c r="F228" s="1297">
        <v>267</v>
      </c>
      <c r="G228" s="1474" t="s">
        <v>1099</v>
      </c>
      <c r="H228" s="1474">
        <v>6.86</v>
      </c>
      <c r="I228" s="1496"/>
    </row>
    <row r="229" spans="2:9" ht="15" hidden="1" customHeight="1">
      <c r="B229" s="1532">
        <v>37226</v>
      </c>
      <c r="C229" s="1530">
        <v>30</v>
      </c>
      <c r="D229" s="1531">
        <v>895</v>
      </c>
      <c r="E229" s="1297">
        <v>9060</v>
      </c>
      <c r="F229" s="1297">
        <v>292</v>
      </c>
      <c r="G229" s="1474" t="s">
        <v>1100</v>
      </c>
      <c r="H229" s="1474">
        <v>6.95</v>
      </c>
      <c r="I229" s="1496"/>
    </row>
    <row r="230" spans="2:9" ht="15" hidden="1" customHeight="1">
      <c r="B230" s="1532">
        <v>37257</v>
      </c>
      <c r="C230" s="1530">
        <v>5</v>
      </c>
      <c r="D230" s="1531">
        <v>310</v>
      </c>
      <c r="E230" s="1473">
        <v>3355</v>
      </c>
      <c r="F230" s="1297">
        <v>116</v>
      </c>
      <c r="G230" s="1474" t="s">
        <v>1101</v>
      </c>
      <c r="H230" s="1474">
        <v>6.69</v>
      </c>
      <c r="I230" s="1496"/>
    </row>
    <row r="231" spans="2:9" ht="15" hidden="1" customHeight="1">
      <c r="B231" s="1532">
        <v>37316</v>
      </c>
      <c r="C231" s="1530">
        <v>5</v>
      </c>
      <c r="D231" s="1531">
        <v>418</v>
      </c>
      <c r="E231" s="1473">
        <v>7338</v>
      </c>
      <c r="F231" s="1297">
        <v>237</v>
      </c>
      <c r="G231" s="1474" t="s">
        <v>1102</v>
      </c>
      <c r="H231" s="1474">
        <v>6.63</v>
      </c>
      <c r="I231" s="1496"/>
    </row>
    <row r="232" spans="2:9" ht="15" hidden="1" customHeight="1">
      <c r="B232" s="1532">
        <v>37347</v>
      </c>
      <c r="C232" s="1530">
        <v>70</v>
      </c>
      <c r="D232" s="1531">
        <v>310</v>
      </c>
      <c r="E232" s="1473">
        <v>5516</v>
      </c>
      <c r="F232" s="1297">
        <v>184</v>
      </c>
      <c r="G232" s="1474" t="s">
        <v>1103</v>
      </c>
      <c r="H232" s="1474">
        <v>6.74</v>
      </c>
      <c r="I232" s="1496"/>
    </row>
    <row r="233" spans="2:9" ht="15" hidden="1" customHeight="1">
      <c r="B233" s="1532">
        <v>37377</v>
      </c>
      <c r="C233" s="1530">
        <v>30</v>
      </c>
      <c r="D233" s="1531">
        <v>330</v>
      </c>
      <c r="E233" s="1473">
        <v>4300</v>
      </c>
      <c r="F233" s="1297">
        <v>143</v>
      </c>
      <c r="G233" s="1474" t="s">
        <v>1104</v>
      </c>
      <c r="H233" s="1474">
        <v>6.43</v>
      </c>
      <c r="I233" s="1496"/>
    </row>
    <row r="234" spans="2:9" ht="15" hidden="1" customHeight="1">
      <c r="B234" s="1532">
        <v>37408</v>
      </c>
      <c r="C234" s="1530">
        <v>10</v>
      </c>
      <c r="D234" s="1531">
        <v>390</v>
      </c>
      <c r="E234" s="1473">
        <v>2970</v>
      </c>
      <c r="F234" s="1297">
        <v>149</v>
      </c>
      <c r="G234" s="1474" t="s">
        <v>1105</v>
      </c>
      <c r="H234" s="1474">
        <v>6.5</v>
      </c>
      <c r="I234" s="1496"/>
    </row>
    <row r="235" spans="2:9" ht="15" hidden="1" customHeight="1">
      <c r="B235" s="1532">
        <v>37438</v>
      </c>
      <c r="C235" s="1530">
        <v>10</v>
      </c>
      <c r="D235" s="1531">
        <v>735</v>
      </c>
      <c r="E235" s="1473">
        <v>7661</v>
      </c>
      <c r="F235" s="1297">
        <v>255</v>
      </c>
      <c r="G235" s="1474" t="s">
        <v>1106</v>
      </c>
      <c r="H235" s="1474">
        <v>5.73</v>
      </c>
      <c r="I235" s="1496"/>
    </row>
    <row r="236" spans="2:9" ht="15" hidden="1" customHeight="1">
      <c r="B236" s="1532">
        <v>37469</v>
      </c>
      <c r="C236" s="1530">
        <v>10</v>
      </c>
      <c r="D236" s="1531">
        <v>455</v>
      </c>
      <c r="E236" s="1473">
        <v>8185</v>
      </c>
      <c r="F236" s="1297">
        <v>264</v>
      </c>
      <c r="G236" s="1474" t="s">
        <v>1107</v>
      </c>
      <c r="H236" s="1474">
        <v>7.37</v>
      </c>
    </row>
    <row r="237" spans="2:9" ht="15" hidden="1" customHeight="1">
      <c r="B237" s="1532">
        <v>37500</v>
      </c>
      <c r="C237" s="1530">
        <v>205</v>
      </c>
      <c r="D237" s="1531">
        <v>627</v>
      </c>
      <c r="E237" s="1473">
        <v>9421</v>
      </c>
      <c r="F237" s="1297">
        <v>314</v>
      </c>
      <c r="G237" s="1474" t="s">
        <v>1108</v>
      </c>
      <c r="H237" s="1474">
        <v>7.74</v>
      </c>
    </row>
    <row r="238" spans="2:9" ht="15" hidden="1" customHeight="1">
      <c r="B238" s="1532">
        <v>37530</v>
      </c>
      <c r="C238" s="1530">
        <v>250</v>
      </c>
      <c r="D238" s="1531">
        <v>812</v>
      </c>
      <c r="E238" s="1473">
        <v>17979</v>
      </c>
      <c r="F238" s="1297">
        <v>580</v>
      </c>
      <c r="G238" s="1474" t="s">
        <v>1107</v>
      </c>
      <c r="H238" s="1474">
        <v>7.67</v>
      </c>
    </row>
    <row r="239" spans="2:9" ht="15" hidden="1" customHeight="1">
      <c r="B239" s="1532">
        <v>37561</v>
      </c>
      <c r="C239" s="1530">
        <v>20</v>
      </c>
      <c r="D239" s="1531">
        <v>695</v>
      </c>
      <c r="E239" s="1473">
        <v>6205</v>
      </c>
      <c r="F239" s="1297">
        <v>270</v>
      </c>
      <c r="G239" s="1474" t="s">
        <v>1108</v>
      </c>
      <c r="H239" s="1474">
        <v>7.42</v>
      </c>
    </row>
    <row r="240" spans="2:9" ht="15" hidden="1" customHeight="1">
      <c r="B240" s="1532">
        <v>37591</v>
      </c>
      <c r="C240" s="1530">
        <v>10</v>
      </c>
      <c r="D240" s="1531">
        <v>235</v>
      </c>
      <c r="E240" s="1473">
        <v>2869</v>
      </c>
      <c r="F240" s="1297">
        <v>125</v>
      </c>
      <c r="G240" s="1474" t="s">
        <v>1109</v>
      </c>
      <c r="H240" s="1474">
        <v>4.92</v>
      </c>
    </row>
    <row r="241" spans="2:8" ht="15" hidden="1" customHeight="1">
      <c r="B241" s="1532">
        <v>37622</v>
      </c>
      <c r="C241" s="1530">
        <v>90</v>
      </c>
      <c r="D241" s="1531">
        <v>425</v>
      </c>
      <c r="E241" s="1473">
        <v>4318</v>
      </c>
      <c r="F241" s="1297">
        <v>254</v>
      </c>
      <c r="G241" s="1474" t="s">
        <v>1110</v>
      </c>
      <c r="H241" s="1474">
        <v>3.72</v>
      </c>
    </row>
    <row r="242" spans="2:8" ht="15" hidden="1" customHeight="1">
      <c r="B242" s="1532">
        <v>37653</v>
      </c>
      <c r="C242" s="1530">
        <v>15</v>
      </c>
      <c r="D242" s="1531">
        <v>545</v>
      </c>
      <c r="E242" s="1473">
        <v>6869</v>
      </c>
      <c r="F242" s="1297">
        <v>275</v>
      </c>
      <c r="G242" s="1474" t="s">
        <v>1111</v>
      </c>
      <c r="H242" s="1474">
        <v>4.75</v>
      </c>
    </row>
    <row r="243" spans="2:8" ht="15" hidden="1" customHeight="1">
      <c r="B243" s="1532">
        <v>37681</v>
      </c>
      <c r="C243" s="1530">
        <v>30</v>
      </c>
      <c r="D243" s="1531">
        <v>200</v>
      </c>
      <c r="E243" s="1473">
        <v>2485</v>
      </c>
      <c r="F243" s="1297">
        <v>124</v>
      </c>
      <c r="G243" s="1474" t="s">
        <v>1112</v>
      </c>
      <c r="H243" s="1474">
        <v>3.64</v>
      </c>
    </row>
    <row r="244" spans="2:8" ht="15" hidden="1" customHeight="1">
      <c r="B244" s="1532">
        <v>37712</v>
      </c>
      <c r="C244" s="1530">
        <v>5</v>
      </c>
      <c r="D244" s="1531">
        <v>530</v>
      </c>
      <c r="E244" s="1473">
        <v>4181</v>
      </c>
      <c r="F244" s="1297">
        <v>144</v>
      </c>
      <c r="G244" s="1474" t="s">
        <v>1113</v>
      </c>
      <c r="H244" s="1474">
        <v>3.66</v>
      </c>
    </row>
    <row r="245" spans="2:8" ht="15" hidden="1" customHeight="1">
      <c r="B245" s="1532">
        <v>37742</v>
      </c>
      <c r="C245" s="1530">
        <v>10</v>
      </c>
      <c r="D245" s="1531">
        <v>565</v>
      </c>
      <c r="E245" s="1473">
        <v>6318</v>
      </c>
      <c r="F245" s="1297">
        <v>218</v>
      </c>
      <c r="G245" s="1474" t="s">
        <v>1114</v>
      </c>
      <c r="H245" s="1474">
        <v>4.12</v>
      </c>
    </row>
    <row r="246" spans="2:8" ht="15" hidden="1" customHeight="1">
      <c r="B246" s="1532">
        <v>37773</v>
      </c>
      <c r="C246" s="1530">
        <v>28</v>
      </c>
      <c r="D246" s="1531">
        <v>275</v>
      </c>
      <c r="E246" s="1473">
        <v>2768</v>
      </c>
      <c r="F246" s="1297">
        <v>115</v>
      </c>
      <c r="G246" s="1474" t="s">
        <v>1111</v>
      </c>
      <c r="H246" s="1474">
        <v>4.45</v>
      </c>
    </row>
    <row r="247" spans="2:8" ht="15" hidden="1" customHeight="1">
      <c r="B247" s="1532">
        <v>37803</v>
      </c>
      <c r="C247" s="1530">
        <v>20</v>
      </c>
      <c r="D247" s="1531">
        <v>975</v>
      </c>
      <c r="E247" s="1473">
        <v>12795</v>
      </c>
      <c r="F247" s="1297">
        <v>413</v>
      </c>
      <c r="G247" s="1474" t="s">
        <v>1115</v>
      </c>
      <c r="H247" s="1474">
        <v>4.08</v>
      </c>
    </row>
    <row r="248" spans="2:8" ht="15" hidden="1" customHeight="1">
      <c r="B248" s="1532">
        <v>37834</v>
      </c>
      <c r="C248" s="1530">
        <v>110</v>
      </c>
      <c r="D248" s="1531">
        <v>595</v>
      </c>
      <c r="E248" s="1473">
        <v>5646</v>
      </c>
      <c r="F248" s="1297">
        <v>268.85000000000002</v>
      </c>
      <c r="G248" s="1474" t="s">
        <v>1116</v>
      </c>
      <c r="H248" s="1474">
        <v>3.89</v>
      </c>
    </row>
    <row r="249" spans="2:8" ht="15.75" hidden="1" customHeight="1">
      <c r="B249" s="1532">
        <v>37865</v>
      </c>
      <c r="C249" s="1530">
        <v>20</v>
      </c>
      <c r="D249" s="1531">
        <v>130</v>
      </c>
      <c r="E249" s="1473">
        <v>668</v>
      </c>
      <c r="F249" s="1297">
        <v>67</v>
      </c>
      <c r="G249" s="1474" t="s">
        <v>1117</v>
      </c>
      <c r="H249" s="1474">
        <v>2.78</v>
      </c>
    </row>
    <row r="250" spans="2:8" ht="15" hidden="1" customHeight="1">
      <c r="B250" s="1532">
        <v>37895</v>
      </c>
      <c r="C250" s="1530">
        <v>10</v>
      </c>
      <c r="D250" s="1531">
        <v>552</v>
      </c>
      <c r="E250" s="1473">
        <v>3155</v>
      </c>
      <c r="F250" s="1297">
        <v>186</v>
      </c>
      <c r="G250" s="1474" t="s">
        <v>1118</v>
      </c>
      <c r="H250" s="1474">
        <v>1.96</v>
      </c>
    </row>
    <row r="251" spans="2:8" ht="15" hidden="1" customHeight="1">
      <c r="B251" s="1532">
        <v>37926</v>
      </c>
      <c r="C251" s="1530">
        <v>10</v>
      </c>
      <c r="D251" s="1531">
        <v>431</v>
      </c>
      <c r="E251" s="1473">
        <v>2211</v>
      </c>
      <c r="F251" s="1297">
        <v>130</v>
      </c>
      <c r="G251" s="1474" t="s">
        <v>1119</v>
      </c>
      <c r="H251" s="1474">
        <v>1.26</v>
      </c>
    </row>
    <row r="252" spans="2:8" ht="15" hidden="1" customHeight="1">
      <c r="B252" s="1532">
        <v>37956</v>
      </c>
      <c r="C252" s="1530">
        <v>50</v>
      </c>
      <c r="D252" s="1531">
        <v>695</v>
      </c>
      <c r="E252" s="1473">
        <v>5392</v>
      </c>
      <c r="F252" s="1297">
        <v>174</v>
      </c>
      <c r="G252" s="1474" t="s">
        <v>1120</v>
      </c>
      <c r="H252" s="1474">
        <v>1.4</v>
      </c>
    </row>
    <row r="253" spans="2:8" ht="15" hidden="1" customHeight="1">
      <c r="B253" s="1532">
        <v>37987</v>
      </c>
      <c r="C253" s="1530">
        <v>1</v>
      </c>
      <c r="D253" s="1531">
        <v>695</v>
      </c>
      <c r="E253" s="1473">
        <v>5670</v>
      </c>
      <c r="F253" s="1297">
        <v>247</v>
      </c>
      <c r="G253" s="1474" t="s">
        <v>1120</v>
      </c>
      <c r="H253" s="1474">
        <v>1.27</v>
      </c>
    </row>
    <row r="254" spans="2:8" ht="15" hidden="1" customHeight="1">
      <c r="B254" s="1532">
        <v>38018</v>
      </c>
      <c r="C254" s="1530">
        <v>15</v>
      </c>
      <c r="D254" s="1531">
        <v>875</v>
      </c>
      <c r="E254" s="1473">
        <v>6570</v>
      </c>
      <c r="F254" s="1297">
        <v>365</v>
      </c>
      <c r="G254" s="1474" t="s">
        <v>1121</v>
      </c>
      <c r="H254" s="1474">
        <v>1.45</v>
      </c>
    </row>
    <row r="255" spans="2:8" ht="15" hidden="1" customHeight="1">
      <c r="B255" s="1532">
        <v>38047</v>
      </c>
      <c r="C255" s="1530">
        <v>25</v>
      </c>
      <c r="D255" s="1531">
        <v>190</v>
      </c>
      <c r="E255" s="1473">
        <v>2405</v>
      </c>
      <c r="F255" s="1297">
        <v>93</v>
      </c>
      <c r="G255" s="1474" t="s">
        <v>1122</v>
      </c>
      <c r="H255" s="1474">
        <v>1</v>
      </c>
    </row>
    <row r="256" spans="2:8" ht="15" hidden="1" customHeight="1">
      <c r="B256" s="1532">
        <v>38078</v>
      </c>
      <c r="C256" s="1530">
        <v>10</v>
      </c>
      <c r="D256" s="1531">
        <v>695</v>
      </c>
      <c r="E256" s="1473">
        <v>4911</v>
      </c>
      <c r="F256" s="1297">
        <v>163.69999999999999</v>
      </c>
      <c r="G256" s="1474" t="s">
        <v>1123</v>
      </c>
      <c r="H256" s="1474">
        <v>1.0026999999999999</v>
      </c>
    </row>
    <row r="257" spans="2:8" ht="15" hidden="1" customHeight="1">
      <c r="B257" s="1532">
        <v>38108</v>
      </c>
      <c r="C257" s="1530">
        <v>10</v>
      </c>
      <c r="D257" s="1531">
        <v>350</v>
      </c>
      <c r="E257" s="1473">
        <v>2915</v>
      </c>
      <c r="F257" s="1297">
        <v>101</v>
      </c>
      <c r="G257" s="1474">
        <v>1</v>
      </c>
      <c r="H257" s="1474">
        <v>1</v>
      </c>
    </row>
    <row r="258" spans="2:8" ht="15" hidden="1" customHeight="1">
      <c r="B258" s="1532">
        <v>38139</v>
      </c>
      <c r="C258" s="1530">
        <v>40</v>
      </c>
      <c r="D258" s="1531">
        <v>1100</v>
      </c>
      <c r="E258" s="1473">
        <v>7232</v>
      </c>
      <c r="F258" s="1297">
        <v>241.1</v>
      </c>
      <c r="G258" s="1474" t="s">
        <v>1124</v>
      </c>
      <c r="H258" s="1474">
        <v>1.02</v>
      </c>
    </row>
    <row r="259" spans="2:8" ht="15" hidden="1" customHeight="1">
      <c r="B259" s="1532">
        <v>38169</v>
      </c>
      <c r="C259" s="1530">
        <v>40</v>
      </c>
      <c r="D259" s="1531">
        <v>375</v>
      </c>
      <c r="E259" s="1473">
        <v>5978</v>
      </c>
      <c r="F259" s="1297">
        <v>193</v>
      </c>
      <c r="G259" s="1474" t="s">
        <v>1125</v>
      </c>
      <c r="H259" s="1474">
        <v>1.07</v>
      </c>
    </row>
    <row r="260" spans="2:8" ht="15" hidden="1" customHeight="1">
      <c r="B260" s="1532">
        <v>38200</v>
      </c>
      <c r="C260" s="1530">
        <v>20</v>
      </c>
      <c r="D260" s="1531">
        <v>870</v>
      </c>
      <c r="E260" s="1473">
        <v>11835</v>
      </c>
      <c r="F260" s="1297">
        <v>438.3</v>
      </c>
      <c r="G260" s="1474" t="s">
        <v>1126</v>
      </c>
      <c r="H260" s="1474">
        <v>1</v>
      </c>
    </row>
    <row r="261" spans="2:8" ht="15" hidden="1" customHeight="1">
      <c r="B261" s="1532">
        <v>38231</v>
      </c>
      <c r="C261" s="1530">
        <v>200</v>
      </c>
      <c r="D261" s="1531">
        <v>1170</v>
      </c>
      <c r="E261" s="1473">
        <v>11979</v>
      </c>
      <c r="F261" s="1297">
        <v>444</v>
      </c>
      <c r="G261" s="1474" t="s">
        <v>1127</v>
      </c>
      <c r="H261" s="1474">
        <v>1</v>
      </c>
    </row>
    <row r="262" spans="2:8" ht="15" hidden="1" customHeight="1">
      <c r="B262" s="1532">
        <v>38261</v>
      </c>
      <c r="C262" s="1530">
        <v>220</v>
      </c>
      <c r="D262" s="1531">
        <v>1090</v>
      </c>
      <c r="E262" s="1473">
        <v>19154</v>
      </c>
      <c r="F262" s="1297">
        <v>617.87</v>
      </c>
      <c r="G262" s="1474" t="s">
        <v>1120</v>
      </c>
      <c r="H262" s="1474">
        <v>1.35</v>
      </c>
    </row>
    <row r="263" spans="2:8" ht="15" hidden="1" customHeight="1">
      <c r="B263" s="1532">
        <v>38292</v>
      </c>
      <c r="C263" s="1530">
        <v>8</v>
      </c>
      <c r="D263" s="1531">
        <v>715</v>
      </c>
      <c r="E263" s="1473">
        <v>4458</v>
      </c>
      <c r="F263" s="1297">
        <v>186</v>
      </c>
      <c r="G263" s="1474" t="s">
        <v>1128</v>
      </c>
      <c r="H263" s="1474">
        <v>3.51</v>
      </c>
    </row>
    <row r="264" spans="2:8" ht="15" hidden="1" customHeight="1">
      <c r="B264" s="1532">
        <v>38322</v>
      </c>
      <c r="C264" s="1530">
        <v>30</v>
      </c>
      <c r="D264" s="1531">
        <v>860</v>
      </c>
      <c r="E264" s="1473">
        <v>10355</v>
      </c>
      <c r="F264" s="1297">
        <v>334.03</v>
      </c>
      <c r="G264" s="1474" t="s">
        <v>1128</v>
      </c>
      <c r="H264" s="1474">
        <v>1.69</v>
      </c>
    </row>
    <row r="265" spans="2:8" ht="15" hidden="1" customHeight="1">
      <c r="B265" s="1532">
        <v>39083</v>
      </c>
      <c r="C265" s="1530">
        <v>90</v>
      </c>
      <c r="D265" s="1531">
        <v>888</v>
      </c>
      <c r="E265" s="1473">
        <v>12415</v>
      </c>
      <c r="F265" s="1297">
        <v>400.48</v>
      </c>
      <c r="G265" s="1501" t="s">
        <v>1150</v>
      </c>
      <c r="H265" s="1474">
        <v>8.41</v>
      </c>
    </row>
    <row r="266" spans="2:8" ht="15" hidden="1" customHeight="1">
      <c r="B266" s="1532">
        <v>39114</v>
      </c>
      <c r="C266" s="1530">
        <v>80</v>
      </c>
      <c r="D266" s="1531">
        <v>680</v>
      </c>
      <c r="E266" s="1473">
        <v>7783</v>
      </c>
      <c r="F266" s="1297">
        <v>278</v>
      </c>
      <c r="G266" s="1474" t="s">
        <v>1150</v>
      </c>
      <c r="H266" s="1474">
        <v>8.6999999999999993</v>
      </c>
    </row>
    <row r="267" spans="2:8" ht="15" hidden="1" customHeight="1">
      <c r="B267" s="1532">
        <v>39142</v>
      </c>
      <c r="C267" s="1530">
        <v>1</v>
      </c>
      <c r="D267" s="1531">
        <v>944</v>
      </c>
      <c r="E267" s="1473">
        <v>6495</v>
      </c>
      <c r="F267" s="1297">
        <v>231.96</v>
      </c>
      <c r="G267" s="1474" t="s">
        <v>1233</v>
      </c>
      <c r="H267" s="1474">
        <v>8.18</v>
      </c>
    </row>
    <row r="268" spans="2:8" ht="15" hidden="1" customHeight="1">
      <c r="B268" s="1532">
        <v>39173</v>
      </c>
      <c r="C268" s="1533">
        <v>18</v>
      </c>
      <c r="D268" s="1534">
        <v>730</v>
      </c>
      <c r="E268" s="1473">
        <v>6620</v>
      </c>
      <c r="F268" s="1535">
        <v>220.65</v>
      </c>
      <c r="G268" s="1310" t="s">
        <v>1151</v>
      </c>
      <c r="H268" s="1474">
        <v>8.1</v>
      </c>
    </row>
    <row r="269" spans="2:8" ht="15" hidden="1" customHeight="1">
      <c r="B269" s="1532">
        <v>39203</v>
      </c>
      <c r="C269" s="1533">
        <v>30</v>
      </c>
      <c r="D269" s="1534">
        <v>895</v>
      </c>
      <c r="E269" s="1473">
        <v>11016.5</v>
      </c>
      <c r="F269" s="1535">
        <v>355.37</v>
      </c>
      <c r="G269" s="1310" t="s">
        <v>1150</v>
      </c>
      <c r="H269" s="1474">
        <v>8.3699999999999992</v>
      </c>
    </row>
    <row r="270" spans="2:8" ht="15" hidden="1" customHeight="1">
      <c r="B270" s="1532">
        <v>39240</v>
      </c>
      <c r="C270" s="1533">
        <v>25</v>
      </c>
      <c r="D270" s="1534">
        <v>430</v>
      </c>
      <c r="E270" s="1473">
        <v>5366</v>
      </c>
      <c r="F270" s="1535">
        <v>185</v>
      </c>
      <c r="G270" s="1310" t="s">
        <v>1233</v>
      </c>
      <c r="H270" s="1474">
        <v>8.11</v>
      </c>
    </row>
    <row r="271" spans="2:8" ht="15" hidden="1" customHeight="1">
      <c r="B271" s="1532">
        <v>39270</v>
      </c>
      <c r="C271" s="1533">
        <v>35</v>
      </c>
      <c r="D271" s="1534">
        <v>710</v>
      </c>
      <c r="E271" s="1473">
        <v>8364</v>
      </c>
      <c r="F271" s="1535">
        <v>279</v>
      </c>
      <c r="G271" s="1310" t="s">
        <v>1150</v>
      </c>
      <c r="H271" s="1474">
        <v>8.7200000000000006</v>
      </c>
    </row>
    <row r="272" spans="2:8" ht="15" hidden="1" customHeight="1">
      <c r="B272" s="1532">
        <v>39301</v>
      </c>
      <c r="C272" s="1533">
        <v>102</v>
      </c>
      <c r="D272" s="1536">
        <v>1210</v>
      </c>
      <c r="E272" s="1473">
        <v>13418</v>
      </c>
      <c r="F272" s="1535">
        <v>462.69</v>
      </c>
      <c r="G272" s="1310" t="s">
        <v>1234</v>
      </c>
      <c r="H272" s="1474">
        <v>8.76</v>
      </c>
    </row>
    <row r="273" spans="2:8" ht="15" hidden="1" customHeight="1">
      <c r="B273" s="1532">
        <v>39332</v>
      </c>
      <c r="C273" s="1533">
        <v>80</v>
      </c>
      <c r="D273" s="1534">
        <v>955</v>
      </c>
      <c r="E273" s="1473">
        <v>13447</v>
      </c>
      <c r="F273" s="1535">
        <v>464</v>
      </c>
      <c r="G273" s="1310" t="s">
        <v>1235</v>
      </c>
      <c r="H273" s="1474">
        <v>8.8699999999999992</v>
      </c>
    </row>
    <row r="274" spans="2:8" ht="15" hidden="1" customHeight="1">
      <c r="B274" s="1532">
        <v>39362</v>
      </c>
      <c r="C274" s="1530">
        <v>9</v>
      </c>
      <c r="D274" s="1531">
        <v>380</v>
      </c>
      <c r="E274" s="1473">
        <v>3029</v>
      </c>
      <c r="F274" s="1297">
        <v>104</v>
      </c>
      <c r="G274" s="1310" t="s">
        <v>1236</v>
      </c>
      <c r="H274" s="1474">
        <v>8.84</v>
      </c>
    </row>
    <row r="275" spans="2:8" ht="15" hidden="1" customHeight="1">
      <c r="B275" s="1532">
        <v>39393</v>
      </c>
      <c r="C275" s="1530">
        <v>15</v>
      </c>
      <c r="D275" s="1531">
        <v>765</v>
      </c>
      <c r="E275" s="1473">
        <v>5220</v>
      </c>
      <c r="F275" s="1297">
        <v>209</v>
      </c>
      <c r="G275" s="1310" t="s">
        <v>1237</v>
      </c>
      <c r="H275" s="1474">
        <v>8.4700000000000006</v>
      </c>
    </row>
    <row r="276" spans="2:8" ht="15" hidden="1" customHeight="1">
      <c r="B276" s="1529">
        <v>39423</v>
      </c>
      <c r="C276" s="1530">
        <v>20</v>
      </c>
      <c r="D276" s="1531">
        <v>500</v>
      </c>
      <c r="E276" s="1473">
        <v>4350</v>
      </c>
      <c r="F276" s="1297">
        <v>207</v>
      </c>
      <c r="G276" s="1310" t="s">
        <v>1237</v>
      </c>
      <c r="H276" s="1474">
        <v>8.6300000000000008</v>
      </c>
    </row>
    <row r="277" spans="2:8" ht="15" hidden="1" customHeight="1">
      <c r="B277" s="1529">
        <v>39454</v>
      </c>
      <c r="C277" s="1530">
        <v>10</v>
      </c>
      <c r="D277" s="1531">
        <v>494</v>
      </c>
      <c r="E277" s="1473">
        <v>2734</v>
      </c>
      <c r="F277" s="1297">
        <v>124.3</v>
      </c>
      <c r="G277" s="1310" t="s">
        <v>1233</v>
      </c>
      <c r="H277" s="1474">
        <v>8.2100000000000009</v>
      </c>
    </row>
    <row r="278" spans="2:8" ht="15" hidden="1" customHeight="1">
      <c r="B278" s="1529">
        <v>39485</v>
      </c>
      <c r="C278" s="1530">
        <v>50</v>
      </c>
      <c r="D278" s="1531">
        <v>685</v>
      </c>
      <c r="E278" s="1473">
        <v>11547</v>
      </c>
      <c r="F278" s="1297">
        <v>398</v>
      </c>
      <c r="G278" s="1310" t="s">
        <v>1158</v>
      </c>
      <c r="H278" s="1474">
        <v>8.0299999999999994</v>
      </c>
    </row>
    <row r="279" spans="2:8" ht="15" hidden="1" customHeight="1">
      <c r="B279" s="1529">
        <v>39514</v>
      </c>
      <c r="C279" s="1530">
        <v>20</v>
      </c>
      <c r="D279" s="1531">
        <v>845</v>
      </c>
      <c r="E279" s="1473">
        <v>7775</v>
      </c>
      <c r="F279" s="1297">
        <v>388.75</v>
      </c>
      <c r="G279" s="1310" t="s">
        <v>1238</v>
      </c>
      <c r="H279" s="1474">
        <v>7.36</v>
      </c>
    </row>
    <row r="280" spans="2:8" ht="15" hidden="1" customHeight="1">
      <c r="B280" s="1529">
        <v>39545</v>
      </c>
      <c r="C280" s="1530">
        <v>25</v>
      </c>
      <c r="D280" s="1531">
        <v>650</v>
      </c>
      <c r="E280" s="1473">
        <v>2825</v>
      </c>
      <c r="F280" s="1297">
        <v>113</v>
      </c>
      <c r="G280" s="1310" t="s">
        <v>1239</v>
      </c>
      <c r="H280" s="1474">
        <v>6.79</v>
      </c>
    </row>
    <row r="281" spans="2:8" ht="15" hidden="1" customHeight="1">
      <c r="B281" s="1529">
        <v>39575</v>
      </c>
      <c r="C281" s="1530">
        <v>45</v>
      </c>
      <c r="D281" s="1531">
        <v>650</v>
      </c>
      <c r="E281" s="1473">
        <v>8081</v>
      </c>
      <c r="F281" s="1297">
        <v>279</v>
      </c>
      <c r="G281" s="1310" t="s">
        <v>1240</v>
      </c>
      <c r="H281" s="1474">
        <v>6.56</v>
      </c>
    </row>
    <row r="282" spans="2:8" ht="15" hidden="1" customHeight="1">
      <c r="B282" s="1529">
        <v>39606</v>
      </c>
      <c r="C282" s="1530">
        <v>27</v>
      </c>
      <c r="D282" s="1531">
        <v>815</v>
      </c>
      <c r="E282" s="1473">
        <v>6878</v>
      </c>
      <c r="F282" s="1297">
        <v>229.27</v>
      </c>
      <c r="G282" s="1310" t="s">
        <v>1241</v>
      </c>
      <c r="H282" s="1474">
        <v>6.43</v>
      </c>
    </row>
    <row r="283" spans="2:8" ht="15" hidden="1" customHeight="1">
      <c r="B283" s="1529">
        <v>39636</v>
      </c>
      <c r="C283" s="1530">
        <v>50</v>
      </c>
      <c r="D283" s="1531">
        <v>1110</v>
      </c>
      <c r="E283" s="1473">
        <v>7742</v>
      </c>
      <c r="F283" s="1297">
        <v>266.97000000000003</v>
      </c>
      <c r="G283" s="1310" t="s">
        <v>1242</v>
      </c>
      <c r="H283" s="1474">
        <v>6.48</v>
      </c>
    </row>
    <row r="284" spans="2:8" ht="15" hidden="1" customHeight="1">
      <c r="B284" s="1529">
        <v>39667</v>
      </c>
      <c r="C284" s="1530">
        <v>15</v>
      </c>
      <c r="D284" s="1531">
        <v>960</v>
      </c>
      <c r="E284" s="1473">
        <v>6627</v>
      </c>
      <c r="F284" s="1297">
        <v>229</v>
      </c>
      <c r="G284" s="1310" t="s">
        <v>1100</v>
      </c>
      <c r="H284" s="1474">
        <v>6.71</v>
      </c>
    </row>
    <row r="285" spans="2:8" ht="15" hidden="1" customHeight="1">
      <c r="B285" s="1529">
        <v>39698</v>
      </c>
      <c r="C285" s="1530">
        <v>70</v>
      </c>
      <c r="D285" s="1531">
        <v>1170</v>
      </c>
      <c r="E285" s="1473">
        <v>16415</v>
      </c>
      <c r="F285" s="1297">
        <v>547.20000000000005</v>
      </c>
      <c r="G285" s="1310" t="s">
        <v>1243</v>
      </c>
      <c r="H285" s="1474">
        <v>8.7899999999999991</v>
      </c>
    </row>
    <row r="286" spans="2:8" ht="15" hidden="1" customHeight="1">
      <c r="B286" s="1529">
        <v>39728</v>
      </c>
      <c r="C286" s="1530">
        <v>30</v>
      </c>
      <c r="D286" s="1531">
        <v>1130</v>
      </c>
      <c r="E286" s="1473">
        <v>12280</v>
      </c>
      <c r="F286" s="1297">
        <v>396.13</v>
      </c>
      <c r="G286" s="1310" t="s">
        <v>1244</v>
      </c>
      <c r="H286" s="1474">
        <v>8.76</v>
      </c>
    </row>
    <row r="287" spans="2:8" ht="15" hidden="1" customHeight="1">
      <c r="B287" s="1529">
        <v>39759</v>
      </c>
      <c r="C287" s="1530">
        <v>40</v>
      </c>
      <c r="D287" s="1531">
        <v>425</v>
      </c>
      <c r="E287" s="1473">
        <v>5215</v>
      </c>
      <c r="F287" s="1297">
        <v>173.83</v>
      </c>
      <c r="G287" s="1310" t="s">
        <v>1245</v>
      </c>
      <c r="H287" s="1474">
        <v>8.8699999999999992</v>
      </c>
    </row>
    <row r="288" spans="2:8" ht="15" hidden="1" customHeight="1">
      <c r="B288" s="1537">
        <v>39789</v>
      </c>
      <c r="C288" s="1538">
        <v>15</v>
      </c>
      <c r="D288" s="1539">
        <v>1545</v>
      </c>
      <c r="E288" s="1473">
        <v>11281</v>
      </c>
      <c r="F288" s="1297">
        <v>402.89</v>
      </c>
      <c r="G288" s="1310" t="s">
        <v>1166</v>
      </c>
      <c r="H288" s="1474">
        <v>7.23</v>
      </c>
    </row>
    <row r="289" spans="2:8" ht="15" hidden="1" customHeight="1">
      <c r="B289" s="1494">
        <v>39820</v>
      </c>
      <c r="C289" s="1495">
        <v>10</v>
      </c>
      <c r="D289" s="1297">
        <v>1325</v>
      </c>
      <c r="E289" s="1473">
        <v>9211</v>
      </c>
      <c r="F289" s="1297">
        <v>297.13</v>
      </c>
      <c r="G289" s="1310" t="s">
        <v>1246</v>
      </c>
      <c r="H289" s="1474">
        <v>6.53</v>
      </c>
    </row>
    <row r="290" spans="2:8" ht="15" hidden="1" customHeight="1">
      <c r="B290" s="1494">
        <v>39851</v>
      </c>
      <c r="C290" s="1495">
        <v>30</v>
      </c>
      <c r="D290" s="1297">
        <v>567</v>
      </c>
      <c r="E290" s="1473">
        <v>5759.5</v>
      </c>
      <c r="F290" s="1297">
        <v>221.52</v>
      </c>
      <c r="G290" s="1310" t="s">
        <v>1247</v>
      </c>
      <c r="H290" s="1474">
        <v>6.17</v>
      </c>
    </row>
    <row r="291" spans="2:8" ht="15" hidden="1" customHeight="1">
      <c r="B291" s="1494">
        <v>39879</v>
      </c>
      <c r="C291" s="1495">
        <v>15</v>
      </c>
      <c r="D291" s="1297">
        <v>500</v>
      </c>
      <c r="E291" s="1473">
        <v>6110</v>
      </c>
      <c r="F291" s="1297">
        <v>265.64999999999998</v>
      </c>
      <c r="G291" s="1310" t="s">
        <v>1248</v>
      </c>
      <c r="H291" s="1474">
        <v>5.68</v>
      </c>
    </row>
    <row r="292" spans="2:8" ht="15" hidden="1" customHeight="1">
      <c r="B292" s="1494">
        <v>39910</v>
      </c>
      <c r="C292" s="1495">
        <v>10</v>
      </c>
      <c r="D292" s="1297">
        <v>600</v>
      </c>
      <c r="E292" s="1473">
        <v>3759.5</v>
      </c>
      <c r="F292" s="1297">
        <v>139.24</v>
      </c>
      <c r="G292" s="1310" t="s">
        <v>1249</v>
      </c>
      <c r="H292" s="1474">
        <v>4.49</v>
      </c>
    </row>
    <row r="293" spans="2:8" ht="15" hidden="1" customHeight="1">
      <c r="B293" s="1494">
        <v>39940</v>
      </c>
      <c r="C293" s="1495">
        <v>15</v>
      </c>
      <c r="D293" s="1297">
        <v>690</v>
      </c>
      <c r="E293" s="1473">
        <v>5517</v>
      </c>
      <c r="F293" s="1297">
        <v>197</v>
      </c>
      <c r="G293" s="1310" t="s">
        <v>1250</v>
      </c>
      <c r="H293" s="1474">
        <v>4.4400000000000004</v>
      </c>
    </row>
    <row r="294" spans="2:8" ht="15" hidden="1" customHeight="1">
      <c r="B294" s="1494">
        <v>39971</v>
      </c>
      <c r="C294" s="1495">
        <v>40</v>
      </c>
      <c r="D294" s="1297">
        <v>965</v>
      </c>
      <c r="E294" s="1473">
        <v>9240</v>
      </c>
      <c r="F294" s="1297">
        <v>308</v>
      </c>
      <c r="G294" s="1310" t="s">
        <v>1251</v>
      </c>
      <c r="H294" s="1474">
        <v>4.21</v>
      </c>
    </row>
    <row r="295" spans="2:8" ht="15" hidden="1" customHeight="1">
      <c r="B295" s="1494">
        <v>40001</v>
      </c>
      <c r="C295" s="1495">
        <v>10</v>
      </c>
      <c r="D295" s="1297">
        <v>840</v>
      </c>
      <c r="E295" s="1473">
        <v>8734</v>
      </c>
      <c r="F295" s="1297">
        <v>301.17</v>
      </c>
      <c r="G295" s="1310" t="s">
        <v>1252</v>
      </c>
      <c r="H295" s="1474">
        <v>4.01</v>
      </c>
    </row>
    <row r="296" spans="2:8" ht="15" hidden="1" customHeight="1">
      <c r="B296" s="1494">
        <v>40032</v>
      </c>
      <c r="C296" s="1495">
        <v>45</v>
      </c>
      <c r="D296" s="1297">
        <v>740</v>
      </c>
      <c r="E296" s="1473">
        <v>7939</v>
      </c>
      <c r="F296" s="1297">
        <v>305.35000000000002</v>
      </c>
      <c r="G296" s="1310" t="s">
        <v>1253</v>
      </c>
      <c r="H296" s="1474">
        <v>4</v>
      </c>
    </row>
    <row r="297" spans="2:8" ht="15" hidden="1" customHeight="1">
      <c r="B297" s="1494">
        <v>40063</v>
      </c>
      <c r="C297" s="1495">
        <v>30</v>
      </c>
      <c r="D297" s="1297">
        <v>685</v>
      </c>
      <c r="E297" s="1473">
        <v>10975</v>
      </c>
      <c r="F297" s="1297">
        <v>378</v>
      </c>
      <c r="G297" s="1310" t="s">
        <v>1254</v>
      </c>
      <c r="H297" s="1474">
        <v>4.01</v>
      </c>
    </row>
    <row r="298" spans="2:8" ht="15" hidden="1" customHeight="1">
      <c r="B298" s="1494">
        <v>40093</v>
      </c>
      <c r="C298" s="1495">
        <v>50</v>
      </c>
      <c r="D298" s="1297">
        <v>1055</v>
      </c>
      <c r="E298" s="1473">
        <v>12300</v>
      </c>
      <c r="F298" s="1297">
        <v>396.77</v>
      </c>
      <c r="G298" s="1310" t="s">
        <v>1255</v>
      </c>
      <c r="H298" s="1474">
        <v>4</v>
      </c>
    </row>
    <row r="299" spans="2:8" ht="15" hidden="1" customHeight="1">
      <c r="B299" s="1494">
        <v>40124</v>
      </c>
      <c r="C299" s="1495">
        <v>25</v>
      </c>
      <c r="D299" s="1297">
        <v>850</v>
      </c>
      <c r="E299" s="1473">
        <v>6765</v>
      </c>
      <c r="F299" s="1297">
        <v>241.61</v>
      </c>
      <c r="G299" s="1310" t="s">
        <v>1256</v>
      </c>
      <c r="H299" s="1474">
        <v>3.97</v>
      </c>
    </row>
    <row r="300" spans="2:8" ht="15" hidden="1" customHeight="1">
      <c r="B300" s="1494">
        <v>40154</v>
      </c>
      <c r="C300" s="1495">
        <v>25</v>
      </c>
      <c r="D300" s="1297">
        <v>1409.5</v>
      </c>
      <c r="E300" s="1473">
        <v>9239.5</v>
      </c>
      <c r="F300" s="1297">
        <v>307.98</v>
      </c>
      <c r="G300" s="1310" t="s">
        <v>1173</v>
      </c>
      <c r="H300" s="1474">
        <v>4.08</v>
      </c>
    </row>
    <row r="301" spans="2:8" ht="15" hidden="1" customHeight="1">
      <c r="B301" s="1494">
        <v>40185</v>
      </c>
      <c r="C301" s="1495">
        <v>15</v>
      </c>
      <c r="D301" s="1297">
        <v>1225</v>
      </c>
      <c r="E301" s="1473">
        <v>8920</v>
      </c>
      <c r="F301" s="1297">
        <v>343.08</v>
      </c>
      <c r="G301" s="1310" t="s">
        <v>1257</v>
      </c>
      <c r="H301" s="1474">
        <v>3.96</v>
      </c>
    </row>
    <row r="302" spans="2:8" ht="15" hidden="1" customHeight="1">
      <c r="B302" s="1494">
        <v>40216</v>
      </c>
      <c r="C302" s="1495">
        <v>164</v>
      </c>
      <c r="D302" s="1297">
        <v>1225</v>
      </c>
      <c r="E302" s="1473">
        <v>12568</v>
      </c>
      <c r="F302" s="1297">
        <v>502.72</v>
      </c>
      <c r="G302" s="1310" t="s">
        <v>1258</v>
      </c>
      <c r="H302" s="1474">
        <v>3.89</v>
      </c>
    </row>
    <row r="303" spans="2:8" ht="15" hidden="1" customHeight="1">
      <c r="B303" s="1494">
        <v>40244</v>
      </c>
      <c r="C303" s="1495">
        <v>5</v>
      </c>
      <c r="D303" s="1297">
        <v>750</v>
      </c>
      <c r="E303" s="1473">
        <v>3153</v>
      </c>
      <c r="F303" s="1297">
        <v>210.2</v>
      </c>
      <c r="G303" s="1310" t="s">
        <v>1259</v>
      </c>
      <c r="H303" s="1474">
        <v>3.8</v>
      </c>
    </row>
    <row r="304" spans="2:8" ht="15" hidden="1" customHeight="1">
      <c r="B304" s="1494">
        <v>40275</v>
      </c>
      <c r="C304" s="1495">
        <v>45</v>
      </c>
      <c r="D304" s="1297">
        <v>580</v>
      </c>
      <c r="E304" s="1473">
        <v>6465</v>
      </c>
      <c r="F304" s="1297">
        <v>281.08999999999997</v>
      </c>
      <c r="G304" s="1310" t="s">
        <v>1260</v>
      </c>
      <c r="H304" s="1474">
        <v>3.9</v>
      </c>
    </row>
    <row r="305" spans="2:9" ht="15" hidden="1" customHeight="1">
      <c r="B305" s="1494">
        <v>40305</v>
      </c>
      <c r="C305" s="1495">
        <v>50</v>
      </c>
      <c r="D305" s="1297">
        <v>895</v>
      </c>
      <c r="E305" s="1473">
        <v>8285</v>
      </c>
      <c r="F305" s="1297">
        <v>285.69</v>
      </c>
      <c r="G305" s="1474" t="s">
        <v>1261</v>
      </c>
      <c r="H305" s="1474">
        <v>3.69</v>
      </c>
      <c r="I305" s="1540"/>
    </row>
    <row r="306" spans="2:9" ht="15" hidden="1" customHeight="1">
      <c r="B306" s="1494">
        <v>40336</v>
      </c>
      <c r="C306" s="1495">
        <v>15</v>
      </c>
      <c r="D306" s="1297">
        <v>1245</v>
      </c>
      <c r="E306" s="1473">
        <v>6730</v>
      </c>
      <c r="F306" s="1297">
        <v>336.5</v>
      </c>
      <c r="G306" s="1474" t="s">
        <v>980</v>
      </c>
      <c r="H306" s="1474">
        <v>3.26</v>
      </c>
      <c r="I306" s="1541"/>
    </row>
    <row r="307" spans="2:9" ht="15" hidden="1" customHeight="1">
      <c r="B307" s="1494">
        <v>40366</v>
      </c>
      <c r="C307" s="1495">
        <v>5</v>
      </c>
      <c r="D307" s="1297">
        <v>1075</v>
      </c>
      <c r="E307" s="1473">
        <v>6536</v>
      </c>
      <c r="F307" s="1297">
        <v>217.87</v>
      </c>
      <c r="G307" s="1474" t="s">
        <v>1180</v>
      </c>
      <c r="H307" s="1474">
        <v>3.41</v>
      </c>
      <c r="I307" s="1541"/>
    </row>
    <row r="308" spans="2:9" ht="15" hidden="1" customHeight="1">
      <c r="B308" s="1494">
        <v>40397</v>
      </c>
      <c r="C308" s="1495">
        <v>15</v>
      </c>
      <c r="D308" s="1297">
        <v>360</v>
      </c>
      <c r="E308" s="1473">
        <v>2422</v>
      </c>
      <c r="F308" s="1297">
        <v>100.92</v>
      </c>
      <c r="G308" s="1474" t="s">
        <v>1181</v>
      </c>
      <c r="H308" s="1474">
        <v>2.52</v>
      </c>
      <c r="I308" s="1541"/>
    </row>
    <row r="309" spans="2:9" ht="15" hidden="1" customHeight="1">
      <c r="B309" s="1494">
        <v>40428</v>
      </c>
      <c r="C309" s="1495">
        <v>50</v>
      </c>
      <c r="D309" s="1297">
        <v>385</v>
      </c>
      <c r="E309" s="1473">
        <v>5570</v>
      </c>
      <c r="F309" s="1297">
        <v>206</v>
      </c>
      <c r="G309" s="1474" t="s">
        <v>1262</v>
      </c>
      <c r="H309" s="1474">
        <v>2.04</v>
      </c>
      <c r="I309" s="1541"/>
    </row>
    <row r="310" spans="2:9" ht="15" hidden="1" customHeight="1">
      <c r="B310" s="1494">
        <v>40458</v>
      </c>
      <c r="C310" s="1495">
        <v>15</v>
      </c>
      <c r="D310" s="1297">
        <v>585</v>
      </c>
      <c r="E310" s="1473">
        <v>9410</v>
      </c>
      <c r="F310" s="1297">
        <v>313.67</v>
      </c>
      <c r="G310" s="1474" t="s">
        <v>1263</v>
      </c>
      <c r="H310" s="1474">
        <v>2.23</v>
      </c>
      <c r="I310" s="1541"/>
    </row>
    <row r="311" spans="2:9" ht="15" hidden="1" customHeight="1">
      <c r="B311" s="1494">
        <v>40489</v>
      </c>
      <c r="C311" s="1495">
        <v>157</v>
      </c>
      <c r="D311" s="1297">
        <v>730</v>
      </c>
      <c r="E311" s="1473">
        <v>9921</v>
      </c>
      <c r="F311" s="1297">
        <v>330.7</v>
      </c>
      <c r="G311" s="1474" t="s">
        <v>1182</v>
      </c>
      <c r="H311" s="1474">
        <v>2.17</v>
      </c>
      <c r="I311" s="1541"/>
    </row>
    <row r="312" spans="2:9" ht="15" hidden="1" customHeight="1">
      <c r="B312" s="1494">
        <v>40519</v>
      </c>
      <c r="C312" s="1495">
        <v>185</v>
      </c>
      <c r="D312" s="1297">
        <v>692</v>
      </c>
      <c r="E312" s="1473">
        <v>13025</v>
      </c>
      <c r="F312" s="1297">
        <v>420.16</v>
      </c>
      <c r="G312" s="1474" t="s">
        <v>1264</v>
      </c>
      <c r="H312" s="1474">
        <v>1.99</v>
      </c>
      <c r="I312" s="1541"/>
    </row>
    <row r="313" spans="2:9" ht="15" hidden="1" customHeight="1">
      <c r="B313" s="1494">
        <v>40550</v>
      </c>
      <c r="C313" s="1495">
        <v>170</v>
      </c>
      <c r="D313" s="1297">
        <v>520</v>
      </c>
      <c r="E313" s="1473">
        <v>9505</v>
      </c>
      <c r="F313" s="1297">
        <v>306.61</v>
      </c>
      <c r="G313" s="1474" t="s">
        <v>1265</v>
      </c>
      <c r="H313" s="1474">
        <v>1.93</v>
      </c>
      <c r="I313" s="1541"/>
    </row>
    <row r="314" spans="2:9" ht="15" hidden="1" customHeight="1">
      <c r="B314" s="1494">
        <v>40581</v>
      </c>
      <c r="C314" s="1495">
        <v>30</v>
      </c>
      <c r="D314" s="1297">
        <v>325</v>
      </c>
      <c r="E314" s="1473">
        <v>2755</v>
      </c>
      <c r="F314" s="1297">
        <v>162.06</v>
      </c>
      <c r="G314" s="1474" t="s">
        <v>1266</v>
      </c>
      <c r="H314" s="1474">
        <v>1.75</v>
      </c>
      <c r="I314" s="1541"/>
    </row>
    <row r="315" spans="2:9" ht="15" hidden="1" customHeight="1">
      <c r="B315" s="1494">
        <v>40609</v>
      </c>
      <c r="C315" s="1495">
        <v>10</v>
      </c>
      <c r="D315" s="1297">
        <v>940</v>
      </c>
      <c r="E315" s="1473">
        <v>5445</v>
      </c>
      <c r="F315" s="1297">
        <v>217.8</v>
      </c>
      <c r="G315" s="1474" t="s">
        <v>1267</v>
      </c>
      <c r="H315" s="1474">
        <v>1.61</v>
      </c>
      <c r="I315" s="1541"/>
    </row>
    <row r="316" spans="2:9" ht="15" hidden="1" customHeight="1">
      <c r="B316" s="1494">
        <v>40640</v>
      </c>
      <c r="C316" s="1495">
        <v>320</v>
      </c>
      <c r="D316" s="1297">
        <v>1900</v>
      </c>
      <c r="E316" s="1473">
        <v>37173</v>
      </c>
      <c r="F316" s="1297">
        <v>1239</v>
      </c>
      <c r="G316" s="1474" t="s">
        <v>1268</v>
      </c>
      <c r="H316" s="1474">
        <v>1.5</v>
      </c>
      <c r="I316" s="1541"/>
    </row>
    <row r="317" spans="2:9" ht="15" hidden="1" customHeight="1">
      <c r="B317" s="1494">
        <v>40670</v>
      </c>
      <c r="C317" s="1495">
        <v>100</v>
      </c>
      <c r="D317" s="1297">
        <v>1279</v>
      </c>
      <c r="E317" s="1473">
        <v>17494</v>
      </c>
      <c r="F317" s="1297">
        <v>647.92999999999995</v>
      </c>
      <c r="G317" s="1474" t="s">
        <v>1189</v>
      </c>
      <c r="H317" s="1474">
        <v>1.37</v>
      </c>
      <c r="I317" s="1541"/>
    </row>
    <row r="318" spans="2:9" ht="15" hidden="1" customHeight="1">
      <c r="B318" s="1494">
        <v>40701</v>
      </c>
      <c r="C318" s="1495">
        <v>50</v>
      </c>
      <c r="D318" s="1297">
        <v>975</v>
      </c>
      <c r="E318" s="1473">
        <v>6367</v>
      </c>
      <c r="F318" s="1297">
        <v>397.94</v>
      </c>
      <c r="G318" s="1474" t="s">
        <v>1269</v>
      </c>
      <c r="H318" s="1474">
        <v>2.66</v>
      </c>
      <c r="I318" s="1541"/>
    </row>
    <row r="319" spans="2:9" ht="15" hidden="1" customHeight="1">
      <c r="B319" s="1494">
        <v>40731</v>
      </c>
      <c r="C319" s="1495">
        <v>290</v>
      </c>
      <c r="D319" s="1297">
        <v>1300</v>
      </c>
      <c r="E319" s="1473">
        <v>23100</v>
      </c>
      <c r="F319" s="1297">
        <v>796.55</v>
      </c>
      <c r="G319" s="1474" t="s">
        <v>1191</v>
      </c>
      <c r="H319" s="1474">
        <v>1.86</v>
      </c>
      <c r="I319" s="1541"/>
    </row>
    <row r="320" spans="2:9" ht="15" hidden="1" customHeight="1">
      <c r="B320" s="1494">
        <v>40762</v>
      </c>
      <c r="C320" s="1495">
        <v>25</v>
      </c>
      <c r="D320" s="1297">
        <v>1645</v>
      </c>
      <c r="E320" s="1473">
        <v>26465</v>
      </c>
      <c r="F320" s="1297">
        <v>882.17</v>
      </c>
      <c r="G320" s="1474" t="s">
        <v>1192</v>
      </c>
      <c r="H320" s="1474">
        <v>3.48</v>
      </c>
      <c r="I320" s="1541"/>
    </row>
    <row r="321" spans="2:9" ht="15" hidden="1" customHeight="1">
      <c r="B321" s="1494">
        <v>40793</v>
      </c>
      <c r="C321" s="1495">
        <v>40</v>
      </c>
      <c r="D321" s="1297">
        <v>1360</v>
      </c>
      <c r="E321" s="1473">
        <v>11395</v>
      </c>
      <c r="F321" s="1297">
        <v>474.8</v>
      </c>
      <c r="G321" s="1474" t="s">
        <v>1270</v>
      </c>
      <c r="H321" s="1474">
        <v>3.06</v>
      </c>
      <c r="I321" s="1541"/>
    </row>
    <row r="322" spans="2:9" ht="15" hidden="1" customHeight="1">
      <c r="B322" s="1494">
        <v>40823</v>
      </c>
      <c r="C322" s="1495">
        <v>100</v>
      </c>
      <c r="D322" s="1297">
        <v>1680</v>
      </c>
      <c r="E322" s="1473">
        <v>27435</v>
      </c>
      <c r="F322" s="1297">
        <v>885</v>
      </c>
      <c r="G322" s="1474" t="s">
        <v>1271</v>
      </c>
      <c r="H322" s="1474">
        <v>2.5499999999999998</v>
      </c>
      <c r="I322" s="1541"/>
    </row>
    <row r="323" spans="2:9" ht="15" hidden="1" customHeight="1">
      <c r="B323" s="1494">
        <v>40854</v>
      </c>
      <c r="C323" s="1495">
        <v>50</v>
      </c>
      <c r="D323" s="1297">
        <v>2045</v>
      </c>
      <c r="E323" s="1473">
        <v>34454</v>
      </c>
      <c r="F323" s="1297">
        <v>1148</v>
      </c>
      <c r="G323" s="1474" t="s">
        <v>1137</v>
      </c>
      <c r="H323" s="1474">
        <v>2.85</v>
      </c>
      <c r="I323" s="1541"/>
    </row>
    <row r="324" spans="2:9" ht="15" hidden="1" customHeight="1">
      <c r="B324" s="1494">
        <v>40884</v>
      </c>
      <c r="C324" s="1495">
        <v>30</v>
      </c>
      <c r="D324" s="1297">
        <v>2125</v>
      </c>
      <c r="E324" s="1473">
        <v>29645</v>
      </c>
      <c r="F324" s="1297">
        <v>1140.19</v>
      </c>
      <c r="G324" s="1474" t="s">
        <v>1195</v>
      </c>
      <c r="H324" s="1474">
        <v>3.31</v>
      </c>
      <c r="I324" s="1541"/>
    </row>
    <row r="325" spans="2:9" ht="15" hidden="1" customHeight="1">
      <c r="B325" s="1494">
        <v>40915</v>
      </c>
      <c r="C325" s="1495">
        <v>110</v>
      </c>
      <c r="D325" s="1297">
        <v>1065</v>
      </c>
      <c r="E325" s="1473">
        <v>10195</v>
      </c>
      <c r="F325" s="1297">
        <v>407.8</v>
      </c>
      <c r="G325" s="1474" t="s">
        <v>1196</v>
      </c>
      <c r="H325" s="1474">
        <v>2.4</v>
      </c>
      <c r="I325" s="1541"/>
    </row>
    <row r="326" spans="2:9" ht="15" hidden="1" customHeight="1">
      <c r="B326" s="1494">
        <v>40946</v>
      </c>
      <c r="C326" s="1495">
        <v>45</v>
      </c>
      <c r="D326" s="1297">
        <v>1350</v>
      </c>
      <c r="E326" s="1473">
        <v>15885</v>
      </c>
      <c r="F326" s="1297">
        <v>547.76</v>
      </c>
      <c r="G326" s="1474" t="s">
        <v>1196</v>
      </c>
      <c r="H326" s="1474">
        <v>2.3199999999999998</v>
      </c>
      <c r="I326" s="1541"/>
    </row>
    <row r="327" spans="2:9" ht="15" hidden="1" customHeight="1">
      <c r="B327" s="1494">
        <v>40975</v>
      </c>
      <c r="C327" s="1495">
        <v>40</v>
      </c>
      <c r="D327" s="1297">
        <v>1155</v>
      </c>
      <c r="E327" s="1473">
        <v>9890</v>
      </c>
      <c r="F327" s="1297">
        <v>353.21</v>
      </c>
      <c r="G327" s="1474" t="s">
        <v>1198</v>
      </c>
      <c r="H327" s="1474">
        <v>1.97</v>
      </c>
      <c r="I327" s="1541"/>
    </row>
    <row r="328" spans="2:9" ht="15" hidden="1" customHeight="1">
      <c r="B328" s="1494">
        <v>41006</v>
      </c>
      <c r="C328" s="1495">
        <v>170</v>
      </c>
      <c r="D328" s="1297">
        <v>1685</v>
      </c>
      <c r="E328" s="1473">
        <v>22085</v>
      </c>
      <c r="F328" s="1297">
        <v>736.17</v>
      </c>
      <c r="G328" s="1474" t="s">
        <v>1199</v>
      </c>
      <c r="H328" s="1474">
        <v>1.87</v>
      </c>
      <c r="I328" s="1541"/>
    </row>
    <row r="329" spans="2:9" ht="15" hidden="1" customHeight="1">
      <c r="B329" s="1494">
        <v>41036</v>
      </c>
      <c r="C329" s="1495">
        <v>50</v>
      </c>
      <c r="D329" s="1297">
        <v>1680</v>
      </c>
      <c r="E329" s="1473">
        <v>15375</v>
      </c>
      <c r="F329" s="1297">
        <v>495.97</v>
      </c>
      <c r="G329" s="1474" t="s">
        <v>1272</v>
      </c>
      <c r="H329" s="1474">
        <v>1.59</v>
      </c>
      <c r="I329" s="1541"/>
    </row>
    <row r="330" spans="2:9" ht="15" hidden="1" customHeight="1">
      <c r="B330" s="1494">
        <v>41067</v>
      </c>
      <c r="C330" s="1495">
        <v>80</v>
      </c>
      <c r="D330" s="1297">
        <v>2170</v>
      </c>
      <c r="E330" s="1473">
        <v>25770</v>
      </c>
      <c r="F330" s="1297">
        <v>859</v>
      </c>
      <c r="G330" s="1474" t="s">
        <v>1273</v>
      </c>
      <c r="H330" s="1474">
        <v>1.65</v>
      </c>
      <c r="I330" s="1541"/>
    </row>
    <row r="331" spans="2:9" ht="15" hidden="1" customHeight="1">
      <c r="B331" s="1494">
        <v>41128</v>
      </c>
      <c r="C331" s="1495">
        <v>65</v>
      </c>
      <c r="D331" s="1297">
        <v>1630</v>
      </c>
      <c r="E331" s="1473">
        <v>19250</v>
      </c>
      <c r="F331" s="1297">
        <v>621</v>
      </c>
      <c r="G331" s="1474" t="s">
        <v>1274</v>
      </c>
      <c r="H331" s="1474">
        <v>1.81</v>
      </c>
      <c r="I331" s="1541"/>
    </row>
    <row r="332" spans="2:9" ht="15" hidden="1" customHeight="1">
      <c r="B332" s="1494">
        <v>41159</v>
      </c>
      <c r="C332" s="1495">
        <v>15</v>
      </c>
      <c r="D332" s="1297">
        <v>575</v>
      </c>
      <c r="E332" s="1473">
        <v>6885</v>
      </c>
      <c r="F332" s="1297">
        <v>286.89999999999998</v>
      </c>
      <c r="G332" s="1474" t="s">
        <v>1203</v>
      </c>
      <c r="H332" s="1474">
        <v>1.67</v>
      </c>
      <c r="I332" s="1541"/>
    </row>
    <row r="333" spans="2:9" ht="15" hidden="1" customHeight="1">
      <c r="B333" s="1494">
        <v>41189</v>
      </c>
      <c r="C333" s="1495">
        <v>60</v>
      </c>
      <c r="D333" s="1297">
        <v>980</v>
      </c>
      <c r="E333" s="1473">
        <v>12570</v>
      </c>
      <c r="F333" s="1297">
        <v>433.45</v>
      </c>
      <c r="G333" s="1474" t="s">
        <v>1204</v>
      </c>
      <c r="H333" s="1474">
        <v>1.57</v>
      </c>
      <c r="I333" s="1541"/>
    </row>
    <row r="334" spans="2:9" ht="15" hidden="1" customHeight="1">
      <c r="B334" s="1494">
        <v>41220</v>
      </c>
      <c r="C334" s="1495">
        <v>415</v>
      </c>
      <c r="D334" s="1297">
        <v>2180</v>
      </c>
      <c r="E334" s="1473">
        <v>37495</v>
      </c>
      <c r="F334" s="1297">
        <v>1249.83</v>
      </c>
      <c r="G334" s="1474" t="s">
        <v>1205</v>
      </c>
      <c r="H334" s="1474">
        <v>1.53</v>
      </c>
      <c r="I334" s="1541"/>
    </row>
    <row r="335" spans="2:9" ht="15" hidden="1" customHeight="1">
      <c r="B335" s="1494">
        <v>41250</v>
      </c>
      <c r="C335" s="1495">
        <v>160</v>
      </c>
      <c r="D335" s="1297">
        <v>1650</v>
      </c>
      <c r="E335" s="1473">
        <v>26110</v>
      </c>
      <c r="F335" s="1297">
        <v>842.26</v>
      </c>
      <c r="G335" s="1474" t="s">
        <v>1206</v>
      </c>
      <c r="H335" s="1474">
        <v>1.61</v>
      </c>
      <c r="I335" s="1541"/>
    </row>
    <row r="336" spans="2:9" ht="15" hidden="1" customHeight="1">
      <c r="B336" s="1494">
        <v>41281</v>
      </c>
      <c r="C336" s="1495">
        <v>10</v>
      </c>
      <c r="D336" s="1297">
        <v>1085</v>
      </c>
      <c r="E336" s="1473">
        <v>8660</v>
      </c>
      <c r="F336" s="1297">
        <v>298.62</v>
      </c>
      <c r="G336" s="1474" t="s">
        <v>1208</v>
      </c>
      <c r="H336" s="1474">
        <v>1.46</v>
      </c>
      <c r="I336" s="1541"/>
    </row>
    <row r="337" spans="2:9" ht="15" hidden="1" customHeight="1">
      <c r="B337" s="1494">
        <v>41312</v>
      </c>
      <c r="C337" s="1495">
        <v>30</v>
      </c>
      <c r="D337" s="1297">
        <v>1105</v>
      </c>
      <c r="E337" s="1473">
        <v>17545</v>
      </c>
      <c r="F337" s="1297">
        <v>674.81</v>
      </c>
      <c r="G337" s="1474" t="s">
        <v>1275</v>
      </c>
      <c r="H337" s="1474">
        <v>1.37</v>
      </c>
      <c r="I337" s="1541"/>
    </row>
    <row r="338" spans="2:9" ht="15" hidden="1" customHeight="1">
      <c r="B338" s="1494">
        <v>41340</v>
      </c>
      <c r="C338" s="1495">
        <v>30</v>
      </c>
      <c r="D338" s="1297">
        <v>2000</v>
      </c>
      <c r="E338" s="1473">
        <v>25680</v>
      </c>
      <c r="F338" s="1297">
        <v>917.14</v>
      </c>
      <c r="G338" s="1474" t="s">
        <v>1275</v>
      </c>
      <c r="H338" s="1474">
        <v>1.35</v>
      </c>
      <c r="I338" s="1541"/>
    </row>
    <row r="339" spans="2:9" ht="15" hidden="1" customHeight="1">
      <c r="B339" s="1494">
        <v>41371</v>
      </c>
      <c r="C339" s="1495">
        <v>160</v>
      </c>
      <c r="D339" s="1297">
        <v>1455</v>
      </c>
      <c r="E339" s="1473">
        <v>20271</v>
      </c>
      <c r="F339" s="1297">
        <v>675.7</v>
      </c>
      <c r="G339" s="1474" t="s">
        <v>1075</v>
      </c>
      <c r="H339" s="1474">
        <v>1.26</v>
      </c>
      <c r="I339" s="1541"/>
    </row>
    <row r="340" spans="2:9" ht="15" hidden="1" customHeight="1">
      <c r="B340" s="1494">
        <v>41401</v>
      </c>
      <c r="C340" s="1495">
        <v>70</v>
      </c>
      <c r="D340" s="1297">
        <v>1435</v>
      </c>
      <c r="E340" s="1473">
        <v>13190</v>
      </c>
      <c r="F340" s="1297">
        <v>439.67</v>
      </c>
      <c r="G340" s="1474" t="s">
        <v>1209</v>
      </c>
      <c r="H340" s="1474">
        <v>1.25</v>
      </c>
      <c r="I340" s="1541"/>
    </row>
    <row r="341" spans="2:9" ht="15" hidden="1" customHeight="1">
      <c r="B341" s="1494">
        <v>41432</v>
      </c>
      <c r="C341" s="1495">
        <v>25</v>
      </c>
      <c r="D341" s="1297">
        <v>865</v>
      </c>
      <c r="E341" s="1473">
        <v>10471.5</v>
      </c>
      <c r="F341" s="1297">
        <v>361.09</v>
      </c>
      <c r="G341" s="1474" t="s">
        <v>1276</v>
      </c>
      <c r="H341" s="1474">
        <v>1.69</v>
      </c>
      <c r="I341" s="1541"/>
    </row>
    <row r="342" spans="2:9" ht="15" customHeight="1">
      <c r="B342" s="1494">
        <v>41462</v>
      </c>
      <c r="C342" s="1495">
        <v>75</v>
      </c>
      <c r="D342" s="1297">
        <v>1355</v>
      </c>
      <c r="E342" s="1473">
        <v>17340</v>
      </c>
      <c r="F342" s="1297">
        <v>559.35</v>
      </c>
      <c r="G342" s="1474" t="s">
        <v>1277</v>
      </c>
      <c r="H342" s="1474">
        <v>1.75</v>
      </c>
      <c r="I342" s="1541"/>
    </row>
    <row r="343" spans="2:9" ht="15" customHeight="1">
      <c r="B343" s="1494">
        <v>41499</v>
      </c>
      <c r="C343" s="1495">
        <v>90</v>
      </c>
      <c r="D343" s="1297">
        <v>885</v>
      </c>
      <c r="E343" s="1473">
        <v>14420</v>
      </c>
      <c r="F343" s="1297">
        <v>465</v>
      </c>
      <c r="G343" s="1474" t="s">
        <v>1278</v>
      </c>
      <c r="H343" s="1474">
        <v>1.64</v>
      </c>
      <c r="I343" s="1541"/>
    </row>
    <row r="344" spans="2:9" ht="15" customHeight="1">
      <c r="B344" s="1494">
        <v>41530</v>
      </c>
      <c r="C344" s="1495">
        <v>60</v>
      </c>
      <c r="D344" s="1297">
        <v>1625</v>
      </c>
      <c r="E344" s="1473">
        <v>16960</v>
      </c>
      <c r="F344" s="1297">
        <v>584.79999999999995</v>
      </c>
      <c r="G344" s="1474" t="s">
        <v>1212</v>
      </c>
      <c r="H344" s="1474">
        <v>1.62</v>
      </c>
      <c r="I344" s="1541"/>
    </row>
    <row r="345" spans="2:9" ht="15" customHeight="1">
      <c r="B345" s="1494">
        <v>41554</v>
      </c>
      <c r="C345" s="1495">
        <v>170</v>
      </c>
      <c r="D345" s="1297">
        <v>1715</v>
      </c>
      <c r="E345" s="1473">
        <v>26960</v>
      </c>
      <c r="F345" s="1297">
        <v>869.68</v>
      </c>
      <c r="G345" s="1474" t="s">
        <v>1213</v>
      </c>
      <c r="H345" s="1474">
        <v>2.35</v>
      </c>
      <c r="I345" s="1541"/>
    </row>
    <row r="346" spans="2:9" ht="15" customHeight="1">
      <c r="B346" s="1494">
        <v>41585</v>
      </c>
      <c r="C346" s="1495">
        <v>175</v>
      </c>
      <c r="D346" s="1297">
        <v>2700</v>
      </c>
      <c r="E346" s="1473">
        <v>26637</v>
      </c>
      <c r="F346" s="1297">
        <v>887.9</v>
      </c>
      <c r="G346" s="1474" t="s">
        <v>1279</v>
      </c>
      <c r="H346" s="1474">
        <v>3.43</v>
      </c>
      <c r="I346" s="1541"/>
    </row>
    <row r="347" spans="2:9" ht="15" customHeight="1">
      <c r="B347" s="1494">
        <v>41615</v>
      </c>
      <c r="C347" s="1495">
        <v>75</v>
      </c>
      <c r="D347" s="1297">
        <v>2525</v>
      </c>
      <c r="E347" s="1473">
        <v>21030</v>
      </c>
      <c r="F347" s="1297">
        <v>678.39</v>
      </c>
      <c r="G347" s="1474" t="s">
        <v>1280</v>
      </c>
      <c r="H347" s="1474">
        <v>3</v>
      </c>
      <c r="I347" s="1541"/>
    </row>
    <row r="348" spans="2:9" ht="15" customHeight="1">
      <c r="B348" s="1494">
        <v>41640</v>
      </c>
      <c r="C348" s="1495">
        <v>5</v>
      </c>
      <c r="D348" s="1297">
        <v>1200</v>
      </c>
      <c r="E348" s="1473">
        <v>4845</v>
      </c>
      <c r="F348" s="1297">
        <v>220.23</v>
      </c>
      <c r="G348" s="1474" t="s">
        <v>1281</v>
      </c>
      <c r="H348" s="1474">
        <v>3.19</v>
      </c>
      <c r="I348" s="1541"/>
    </row>
    <row r="349" spans="2:9" ht="15" customHeight="1">
      <c r="B349" s="1494">
        <v>41671</v>
      </c>
      <c r="C349" s="1495">
        <v>30</v>
      </c>
      <c r="D349" s="1297">
        <v>520</v>
      </c>
      <c r="E349" s="1473">
        <v>6385</v>
      </c>
      <c r="F349" s="1297">
        <v>228.04</v>
      </c>
      <c r="G349" s="1474" t="s">
        <v>1217</v>
      </c>
      <c r="H349" s="1474">
        <v>2.6</v>
      </c>
      <c r="I349" s="1541"/>
    </row>
    <row r="350" spans="2:9" ht="15" customHeight="1">
      <c r="B350" s="1494">
        <v>41699</v>
      </c>
      <c r="C350" s="1495">
        <v>10</v>
      </c>
      <c r="D350" s="1297">
        <v>260</v>
      </c>
      <c r="E350" s="1473">
        <v>1660</v>
      </c>
      <c r="F350" s="1297">
        <v>110.67</v>
      </c>
      <c r="G350" s="1474" t="s">
        <v>1218</v>
      </c>
      <c r="H350" s="1474">
        <v>2.35</v>
      </c>
      <c r="I350" s="1541"/>
    </row>
    <row r="351" spans="2:9" ht="15" customHeight="1">
      <c r="B351" s="1494">
        <v>41730</v>
      </c>
      <c r="C351" s="1495">
        <v>25</v>
      </c>
      <c r="D351" s="1297">
        <v>550</v>
      </c>
      <c r="E351" s="1473">
        <v>2815</v>
      </c>
      <c r="F351" s="1297">
        <v>112.6</v>
      </c>
      <c r="G351" s="1474" t="s">
        <v>1219</v>
      </c>
      <c r="H351" s="1474">
        <v>2.0299999999999998</v>
      </c>
      <c r="I351" s="1541"/>
    </row>
    <row r="352" spans="2:9" ht="15" customHeight="1">
      <c r="B352" s="1494">
        <v>41760</v>
      </c>
      <c r="C352" s="1495">
        <v>105</v>
      </c>
      <c r="D352" s="1297">
        <v>1100</v>
      </c>
      <c r="E352" s="1473">
        <v>9525</v>
      </c>
      <c r="F352" s="1297">
        <v>340.18</v>
      </c>
      <c r="G352" s="1474" t="s">
        <v>1220</v>
      </c>
      <c r="H352" s="1474">
        <v>1.77</v>
      </c>
      <c r="I352" s="1541"/>
    </row>
    <row r="353" spans="2:9" ht="15" customHeight="1">
      <c r="B353" s="1494">
        <v>41791</v>
      </c>
      <c r="C353" s="1495">
        <v>100</v>
      </c>
      <c r="D353" s="1297">
        <v>1100</v>
      </c>
      <c r="E353" s="1473">
        <v>7940</v>
      </c>
      <c r="F353" s="1297">
        <v>330.83</v>
      </c>
      <c r="G353" s="1474" t="s">
        <v>1282</v>
      </c>
      <c r="H353" s="1474">
        <v>1.46</v>
      </c>
      <c r="I353" s="1541"/>
    </row>
    <row r="354" spans="2:9" ht="15" customHeight="1">
      <c r="B354" s="1494">
        <v>41821</v>
      </c>
      <c r="C354" s="1495">
        <v>20</v>
      </c>
      <c r="D354" s="1297">
        <v>2385</v>
      </c>
      <c r="E354" s="1473">
        <v>19795</v>
      </c>
      <c r="F354" s="1297">
        <v>733.15</v>
      </c>
      <c r="G354" s="1474" t="s">
        <v>1283</v>
      </c>
      <c r="H354" s="1474">
        <v>1.18</v>
      </c>
      <c r="I354" s="1541"/>
    </row>
    <row r="355" spans="2:9" ht="15" customHeight="1" thickBot="1">
      <c r="B355" s="1542"/>
      <c r="C355" s="1543"/>
      <c r="D355" s="1544"/>
      <c r="E355" s="1545"/>
      <c r="F355" s="1544"/>
      <c r="G355" s="1546"/>
      <c r="H355" s="1547"/>
    </row>
    <row r="356" spans="2:9" ht="18" customHeight="1">
      <c r="B356" s="1513" t="s">
        <v>1223</v>
      </c>
      <c r="C356" s="1514"/>
      <c r="D356" s="1514"/>
      <c r="E356" s="1514"/>
      <c r="G356" s="1515"/>
      <c r="H356" s="1516"/>
    </row>
    <row r="357" spans="2:9" s="1518" customFormat="1">
      <c r="B357" s="967" t="s">
        <v>1228</v>
      </c>
    </row>
  </sheetData>
  <mergeCells count="4">
    <mergeCell ref="C6:F6"/>
    <mergeCell ref="G6:I6"/>
    <mergeCell ref="B190:I190"/>
    <mergeCell ref="G198:H198"/>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6"/>
  <sheetViews>
    <sheetView showGridLines="0" topLeftCell="A42" zoomScaleNormal="100" workbookViewId="0">
      <selection activeCell="K269" sqref="K269"/>
    </sheetView>
  </sheetViews>
  <sheetFormatPr defaultRowHeight="12.75"/>
  <cols>
    <col min="1" max="1" width="13.85546875" style="1549" customWidth="1"/>
    <col min="2" max="2" width="13" style="1549" customWidth="1"/>
    <col min="3" max="3" width="15.140625" style="1549" customWidth="1"/>
    <col min="4" max="4" width="19.28515625" style="1549" customWidth="1"/>
    <col min="5" max="5" width="10.28515625" style="1549" customWidth="1"/>
    <col min="6" max="6" width="10.42578125" style="1549" customWidth="1"/>
    <col min="7" max="7" width="14.140625" style="1549" customWidth="1"/>
    <col min="8" max="8" width="9.85546875" style="1550" bestFit="1" customWidth="1"/>
    <col min="9" max="256" width="9.140625" style="1549"/>
    <col min="257" max="257" width="13.85546875" style="1549" customWidth="1"/>
    <col min="258" max="258" width="13" style="1549" customWidth="1"/>
    <col min="259" max="259" width="15.140625" style="1549" customWidth="1"/>
    <col min="260" max="260" width="19.28515625" style="1549" customWidth="1"/>
    <col min="261" max="261" width="10.28515625" style="1549" customWidth="1"/>
    <col min="262" max="262" width="10.42578125" style="1549" customWidth="1"/>
    <col min="263" max="263" width="14.140625" style="1549" customWidth="1"/>
    <col min="264" max="264" width="9.85546875" style="1549" bestFit="1" customWidth="1"/>
    <col min="265" max="512" width="9.140625" style="1549"/>
    <col min="513" max="513" width="13.85546875" style="1549" customWidth="1"/>
    <col min="514" max="514" width="13" style="1549" customWidth="1"/>
    <col min="515" max="515" width="15.140625" style="1549" customWidth="1"/>
    <col min="516" max="516" width="19.28515625" style="1549" customWidth="1"/>
    <col min="517" max="517" width="10.28515625" style="1549" customWidth="1"/>
    <col min="518" max="518" width="10.42578125" style="1549" customWidth="1"/>
    <col min="519" max="519" width="14.140625" style="1549" customWidth="1"/>
    <col min="520" max="520" width="9.85546875" style="1549" bestFit="1" customWidth="1"/>
    <col min="521" max="768" width="9.140625" style="1549"/>
    <col min="769" max="769" width="13.85546875" style="1549" customWidth="1"/>
    <col min="770" max="770" width="13" style="1549" customWidth="1"/>
    <col min="771" max="771" width="15.140625" style="1549" customWidth="1"/>
    <col min="772" max="772" width="19.28515625" style="1549" customWidth="1"/>
    <col min="773" max="773" width="10.28515625" style="1549" customWidth="1"/>
    <col min="774" max="774" width="10.42578125" style="1549" customWidth="1"/>
    <col min="775" max="775" width="14.140625" style="1549" customWidth="1"/>
    <col min="776" max="776" width="9.85546875" style="1549" bestFit="1" customWidth="1"/>
    <col min="777" max="1024" width="9.140625" style="1549"/>
    <col min="1025" max="1025" width="13.85546875" style="1549" customWidth="1"/>
    <col min="1026" max="1026" width="13" style="1549" customWidth="1"/>
    <col min="1027" max="1027" width="15.140625" style="1549" customWidth="1"/>
    <col min="1028" max="1028" width="19.28515625" style="1549" customWidth="1"/>
    <col min="1029" max="1029" width="10.28515625" style="1549" customWidth="1"/>
    <col min="1030" max="1030" width="10.42578125" style="1549" customWidth="1"/>
    <col min="1031" max="1031" width="14.140625" style="1549" customWidth="1"/>
    <col min="1032" max="1032" width="9.85546875" style="1549" bestFit="1" customWidth="1"/>
    <col min="1033" max="1280" width="9.140625" style="1549"/>
    <col min="1281" max="1281" width="13.85546875" style="1549" customWidth="1"/>
    <col min="1282" max="1282" width="13" style="1549" customWidth="1"/>
    <col min="1283" max="1283" width="15.140625" style="1549" customWidth="1"/>
    <col min="1284" max="1284" width="19.28515625" style="1549" customWidth="1"/>
    <col min="1285" max="1285" width="10.28515625" style="1549" customWidth="1"/>
    <col min="1286" max="1286" width="10.42578125" style="1549" customWidth="1"/>
    <col min="1287" max="1287" width="14.140625" style="1549" customWidth="1"/>
    <col min="1288" max="1288" width="9.85546875" style="1549" bestFit="1" customWidth="1"/>
    <col min="1289" max="1536" width="9.140625" style="1549"/>
    <col min="1537" max="1537" width="13.85546875" style="1549" customWidth="1"/>
    <col min="1538" max="1538" width="13" style="1549" customWidth="1"/>
    <col min="1539" max="1539" width="15.140625" style="1549" customWidth="1"/>
    <col min="1540" max="1540" width="19.28515625" style="1549" customWidth="1"/>
    <col min="1541" max="1541" width="10.28515625" style="1549" customWidth="1"/>
    <col min="1542" max="1542" width="10.42578125" style="1549" customWidth="1"/>
    <col min="1543" max="1543" width="14.140625" style="1549" customWidth="1"/>
    <col min="1544" max="1544" width="9.85546875" style="1549" bestFit="1" customWidth="1"/>
    <col min="1545" max="1792" width="9.140625" style="1549"/>
    <col min="1793" max="1793" width="13.85546875" style="1549" customWidth="1"/>
    <col min="1794" max="1794" width="13" style="1549" customWidth="1"/>
    <col min="1795" max="1795" width="15.140625" style="1549" customWidth="1"/>
    <col min="1796" max="1796" width="19.28515625" style="1549" customWidth="1"/>
    <col min="1797" max="1797" width="10.28515625" style="1549" customWidth="1"/>
    <col min="1798" max="1798" width="10.42578125" style="1549" customWidth="1"/>
    <col min="1799" max="1799" width="14.140625" style="1549" customWidth="1"/>
    <col min="1800" max="1800" width="9.85546875" style="1549" bestFit="1" customWidth="1"/>
    <col min="1801" max="2048" width="9.140625" style="1549"/>
    <col min="2049" max="2049" width="13.85546875" style="1549" customWidth="1"/>
    <col min="2050" max="2050" width="13" style="1549" customWidth="1"/>
    <col min="2051" max="2051" width="15.140625" style="1549" customWidth="1"/>
    <col min="2052" max="2052" width="19.28515625" style="1549" customWidth="1"/>
    <col min="2053" max="2053" width="10.28515625" style="1549" customWidth="1"/>
    <col min="2054" max="2054" width="10.42578125" style="1549" customWidth="1"/>
    <col min="2055" max="2055" width="14.140625" style="1549" customWidth="1"/>
    <col min="2056" max="2056" width="9.85546875" style="1549" bestFit="1" customWidth="1"/>
    <col min="2057" max="2304" width="9.140625" style="1549"/>
    <col min="2305" max="2305" width="13.85546875" style="1549" customWidth="1"/>
    <col min="2306" max="2306" width="13" style="1549" customWidth="1"/>
    <col min="2307" max="2307" width="15.140625" style="1549" customWidth="1"/>
    <col min="2308" max="2308" width="19.28515625" style="1549" customWidth="1"/>
    <col min="2309" max="2309" width="10.28515625" style="1549" customWidth="1"/>
    <col min="2310" max="2310" width="10.42578125" style="1549" customWidth="1"/>
    <col min="2311" max="2311" width="14.140625" style="1549" customWidth="1"/>
    <col min="2312" max="2312" width="9.85546875" style="1549" bestFit="1" customWidth="1"/>
    <col min="2313" max="2560" width="9.140625" style="1549"/>
    <col min="2561" max="2561" width="13.85546875" style="1549" customWidth="1"/>
    <col min="2562" max="2562" width="13" style="1549" customWidth="1"/>
    <col min="2563" max="2563" width="15.140625" style="1549" customWidth="1"/>
    <col min="2564" max="2564" width="19.28515625" style="1549" customWidth="1"/>
    <col min="2565" max="2565" width="10.28515625" style="1549" customWidth="1"/>
    <col min="2566" max="2566" width="10.42578125" style="1549" customWidth="1"/>
    <col min="2567" max="2567" width="14.140625" style="1549" customWidth="1"/>
    <col min="2568" max="2568" width="9.85546875" style="1549" bestFit="1" customWidth="1"/>
    <col min="2569" max="2816" width="9.140625" style="1549"/>
    <col min="2817" max="2817" width="13.85546875" style="1549" customWidth="1"/>
    <col min="2818" max="2818" width="13" style="1549" customWidth="1"/>
    <col min="2819" max="2819" width="15.140625" style="1549" customWidth="1"/>
    <col min="2820" max="2820" width="19.28515625" style="1549" customWidth="1"/>
    <col min="2821" max="2821" width="10.28515625" style="1549" customWidth="1"/>
    <col min="2822" max="2822" width="10.42578125" style="1549" customWidth="1"/>
    <col min="2823" max="2823" width="14.140625" style="1549" customWidth="1"/>
    <col min="2824" max="2824" width="9.85546875" style="1549" bestFit="1" customWidth="1"/>
    <col min="2825" max="3072" width="9.140625" style="1549"/>
    <col min="3073" max="3073" width="13.85546875" style="1549" customWidth="1"/>
    <col min="3074" max="3074" width="13" style="1549" customWidth="1"/>
    <col min="3075" max="3075" width="15.140625" style="1549" customWidth="1"/>
    <col min="3076" max="3076" width="19.28515625" style="1549" customWidth="1"/>
    <col min="3077" max="3077" width="10.28515625" style="1549" customWidth="1"/>
    <col min="3078" max="3078" width="10.42578125" style="1549" customWidth="1"/>
    <col min="3079" max="3079" width="14.140625" style="1549" customWidth="1"/>
    <col min="3080" max="3080" width="9.85546875" style="1549" bestFit="1" customWidth="1"/>
    <col min="3081" max="3328" width="9.140625" style="1549"/>
    <col min="3329" max="3329" width="13.85546875" style="1549" customWidth="1"/>
    <col min="3330" max="3330" width="13" style="1549" customWidth="1"/>
    <col min="3331" max="3331" width="15.140625" style="1549" customWidth="1"/>
    <col min="3332" max="3332" width="19.28515625" style="1549" customWidth="1"/>
    <col min="3333" max="3333" width="10.28515625" style="1549" customWidth="1"/>
    <col min="3334" max="3334" width="10.42578125" style="1549" customWidth="1"/>
    <col min="3335" max="3335" width="14.140625" style="1549" customWidth="1"/>
    <col min="3336" max="3336" width="9.85546875" style="1549" bestFit="1" customWidth="1"/>
    <col min="3337" max="3584" width="9.140625" style="1549"/>
    <col min="3585" max="3585" width="13.85546875" style="1549" customWidth="1"/>
    <col min="3586" max="3586" width="13" style="1549" customWidth="1"/>
    <col min="3587" max="3587" width="15.140625" style="1549" customWidth="1"/>
    <col min="3588" max="3588" width="19.28515625" style="1549" customWidth="1"/>
    <col min="3589" max="3589" width="10.28515625" style="1549" customWidth="1"/>
    <col min="3590" max="3590" width="10.42578125" style="1549" customWidth="1"/>
    <col min="3591" max="3591" width="14.140625" style="1549" customWidth="1"/>
    <col min="3592" max="3592" width="9.85546875" style="1549" bestFit="1" customWidth="1"/>
    <col min="3593" max="3840" width="9.140625" style="1549"/>
    <col min="3841" max="3841" width="13.85546875" style="1549" customWidth="1"/>
    <col min="3842" max="3842" width="13" style="1549" customWidth="1"/>
    <col min="3843" max="3843" width="15.140625" style="1549" customWidth="1"/>
    <col min="3844" max="3844" width="19.28515625" style="1549" customWidth="1"/>
    <col min="3845" max="3845" width="10.28515625" style="1549" customWidth="1"/>
    <col min="3846" max="3846" width="10.42578125" style="1549" customWidth="1"/>
    <col min="3847" max="3847" width="14.140625" style="1549" customWidth="1"/>
    <col min="3848" max="3848" width="9.85546875" style="1549" bestFit="1" customWidth="1"/>
    <col min="3849" max="4096" width="9.140625" style="1549"/>
    <col min="4097" max="4097" width="13.85546875" style="1549" customWidth="1"/>
    <col min="4098" max="4098" width="13" style="1549" customWidth="1"/>
    <col min="4099" max="4099" width="15.140625" style="1549" customWidth="1"/>
    <col min="4100" max="4100" width="19.28515625" style="1549" customWidth="1"/>
    <col min="4101" max="4101" width="10.28515625" style="1549" customWidth="1"/>
    <col min="4102" max="4102" width="10.42578125" style="1549" customWidth="1"/>
    <col min="4103" max="4103" width="14.140625" style="1549" customWidth="1"/>
    <col min="4104" max="4104" width="9.85546875" style="1549" bestFit="1" customWidth="1"/>
    <col min="4105" max="4352" width="9.140625" style="1549"/>
    <col min="4353" max="4353" width="13.85546875" style="1549" customWidth="1"/>
    <col min="4354" max="4354" width="13" style="1549" customWidth="1"/>
    <col min="4355" max="4355" width="15.140625" style="1549" customWidth="1"/>
    <col min="4356" max="4356" width="19.28515625" style="1549" customWidth="1"/>
    <col min="4357" max="4357" width="10.28515625" style="1549" customWidth="1"/>
    <col min="4358" max="4358" width="10.42578125" style="1549" customWidth="1"/>
    <col min="4359" max="4359" width="14.140625" style="1549" customWidth="1"/>
    <col min="4360" max="4360" width="9.85546875" style="1549" bestFit="1" customWidth="1"/>
    <col min="4361" max="4608" width="9.140625" style="1549"/>
    <col min="4609" max="4609" width="13.85546875" style="1549" customWidth="1"/>
    <col min="4610" max="4610" width="13" style="1549" customWidth="1"/>
    <col min="4611" max="4611" width="15.140625" style="1549" customWidth="1"/>
    <col min="4612" max="4612" width="19.28515625" style="1549" customWidth="1"/>
    <col min="4613" max="4613" width="10.28515625" style="1549" customWidth="1"/>
    <col min="4614" max="4614" width="10.42578125" style="1549" customWidth="1"/>
    <col min="4615" max="4615" width="14.140625" style="1549" customWidth="1"/>
    <col min="4616" max="4616" width="9.85546875" style="1549" bestFit="1" customWidth="1"/>
    <col min="4617" max="4864" width="9.140625" style="1549"/>
    <col min="4865" max="4865" width="13.85546875" style="1549" customWidth="1"/>
    <col min="4866" max="4866" width="13" style="1549" customWidth="1"/>
    <col min="4867" max="4867" width="15.140625" style="1549" customWidth="1"/>
    <col min="4868" max="4868" width="19.28515625" style="1549" customWidth="1"/>
    <col min="4869" max="4869" width="10.28515625" style="1549" customWidth="1"/>
    <col min="4870" max="4870" width="10.42578125" style="1549" customWidth="1"/>
    <col min="4871" max="4871" width="14.140625" style="1549" customWidth="1"/>
    <col min="4872" max="4872" width="9.85546875" style="1549" bestFit="1" customWidth="1"/>
    <col min="4873" max="5120" width="9.140625" style="1549"/>
    <col min="5121" max="5121" width="13.85546875" style="1549" customWidth="1"/>
    <col min="5122" max="5122" width="13" style="1549" customWidth="1"/>
    <col min="5123" max="5123" width="15.140625" style="1549" customWidth="1"/>
    <col min="5124" max="5124" width="19.28515625" style="1549" customWidth="1"/>
    <col min="5125" max="5125" width="10.28515625" style="1549" customWidth="1"/>
    <col min="5126" max="5126" width="10.42578125" style="1549" customWidth="1"/>
    <col min="5127" max="5127" width="14.140625" style="1549" customWidth="1"/>
    <col min="5128" max="5128" width="9.85546875" style="1549" bestFit="1" customWidth="1"/>
    <col min="5129" max="5376" width="9.140625" style="1549"/>
    <col min="5377" max="5377" width="13.85546875" style="1549" customWidth="1"/>
    <col min="5378" max="5378" width="13" style="1549" customWidth="1"/>
    <col min="5379" max="5379" width="15.140625" style="1549" customWidth="1"/>
    <col min="5380" max="5380" width="19.28515625" style="1549" customWidth="1"/>
    <col min="5381" max="5381" width="10.28515625" style="1549" customWidth="1"/>
    <col min="5382" max="5382" width="10.42578125" style="1549" customWidth="1"/>
    <col min="5383" max="5383" width="14.140625" style="1549" customWidth="1"/>
    <col min="5384" max="5384" width="9.85546875" style="1549" bestFit="1" customWidth="1"/>
    <col min="5385" max="5632" width="9.140625" style="1549"/>
    <col min="5633" max="5633" width="13.85546875" style="1549" customWidth="1"/>
    <col min="5634" max="5634" width="13" style="1549" customWidth="1"/>
    <col min="5635" max="5635" width="15.140625" style="1549" customWidth="1"/>
    <col min="5636" max="5636" width="19.28515625" style="1549" customWidth="1"/>
    <col min="5637" max="5637" width="10.28515625" style="1549" customWidth="1"/>
    <col min="5638" max="5638" width="10.42578125" style="1549" customWidth="1"/>
    <col min="5639" max="5639" width="14.140625" style="1549" customWidth="1"/>
    <col min="5640" max="5640" width="9.85546875" style="1549" bestFit="1" customWidth="1"/>
    <col min="5641" max="5888" width="9.140625" style="1549"/>
    <col min="5889" max="5889" width="13.85546875" style="1549" customWidth="1"/>
    <col min="5890" max="5890" width="13" style="1549" customWidth="1"/>
    <col min="5891" max="5891" width="15.140625" style="1549" customWidth="1"/>
    <col min="5892" max="5892" width="19.28515625" style="1549" customWidth="1"/>
    <col min="5893" max="5893" width="10.28515625" style="1549" customWidth="1"/>
    <col min="5894" max="5894" width="10.42578125" style="1549" customWidth="1"/>
    <col min="5895" max="5895" width="14.140625" style="1549" customWidth="1"/>
    <col min="5896" max="5896" width="9.85546875" style="1549" bestFit="1" customWidth="1"/>
    <col min="5897" max="6144" width="9.140625" style="1549"/>
    <col min="6145" max="6145" width="13.85546875" style="1549" customWidth="1"/>
    <col min="6146" max="6146" width="13" style="1549" customWidth="1"/>
    <col min="6147" max="6147" width="15.140625" style="1549" customWidth="1"/>
    <col min="6148" max="6148" width="19.28515625" style="1549" customWidth="1"/>
    <col min="6149" max="6149" width="10.28515625" style="1549" customWidth="1"/>
    <col min="6150" max="6150" width="10.42578125" style="1549" customWidth="1"/>
    <col min="6151" max="6151" width="14.140625" style="1549" customWidth="1"/>
    <col min="6152" max="6152" width="9.85546875" style="1549" bestFit="1" customWidth="1"/>
    <col min="6153" max="6400" width="9.140625" style="1549"/>
    <col min="6401" max="6401" width="13.85546875" style="1549" customWidth="1"/>
    <col min="6402" max="6402" width="13" style="1549" customWidth="1"/>
    <col min="6403" max="6403" width="15.140625" style="1549" customWidth="1"/>
    <col min="6404" max="6404" width="19.28515625" style="1549" customWidth="1"/>
    <col min="6405" max="6405" width="10.28515625" style="1549" customWidth="1"/>
    <col min="6406" max="6406" width="10.42578125" style="1549" customWidth="1"/>
    <col min="6407" max="6407" width="14.140625" style="1549" customWidth="1"/>
    <col min="6408" max="6408" width="9.85546875" style="1549" bestFit="1" customWidth="1"/>
    <col min="6409" max="6656" width="9.140625" style="1549"/>
    <col min="6657" max="6657" width="13.85546875" style="1549" customWidth="1"/>
    <col min="6658" max="6658" width="13" style="1549" customWidth="1"/>
    <col min="6659" max="6659" width="15.140625" style="1549" customWidth="1"/>
    <col min="6660" max="6660" width="19.28515625" style="1549" customWidth="1"/>
    <col min="6661" max="6661" width="10.28515625" style="1549" customWidth="1"/>
    <col min="6662" max="6662" width="10.42578125" style="1549" customWidth="1"/>
    <col min="6663" max="6663" width="14.140625" style="1549" customWidth="1"/>
    <col min="6664" max="6664" width="9.85546875" style="1549" bestFit="1" customWidth="1"/>
    <col min="6665" max="6912" width="9.140625" style="1549"/>
    <col min="6913" max="6913" width="13.85546875" style="1549" customWidth="1"/>
    <col min="6914" max="6914" width="13" style="1549" customWidth="1"/>
    <col min="6915" max="6915" width="15.140625" style="1549" customWidth="1"/>
    <col min="6916" max="6916" width="19.28515625" style="1549" customWidth="1"/>
    <col min="6917" max="6917" width="10.28515625" style="1549" customWidth="1"/>
    <col min="6918" max="6918" width="10.42578125" style="1549" customWidth="1"/>
    <col min="6919" max="6919" width="14.140625" style="1549" customWidth="1"/>
    <col min="6920" max="6920" width="9.85546875" style="1549" bestFit="1" customWidth="1"/>
    <col min="6921" max="7168" width="9.140625" style="1549"/>
    <col min="7169" max="7169" width="13.85546875" style="1549" customWidth="1"/>
    <col min="7170" max="7170" width="13" style="1549" customWidth="1"/>
    <col min="7171" max="7171" width="15.140625" style="1549" customWidth="1"/>
    <col min="7172" max="7172" width="19.28515625" style="1549" customWidth="1"/>
    <col min="7173" max="7173" width="10.28515625" style="1549" customWidth="1"/>
    <col min="7174" max="7174" width="10.42578125" style="1549" customWidth="1"/>
    <col min="7175" max="7175" width="14.140625" style="1549" customWidth="1"/>
    <col min="7176" max="7176" width="9.85546875" style="1549" bestFit="1" customWidth="1"/>
    <col min="7177" max="7424" width="9.140625" style="1549"/>
    <col min="7425" max="7425" width="13.85546875" style="1549" customWidth="1"/>
    <col min="7426" max="7426" width="13" style="1549" customWidth="1"/>
    <col min="7427" max="7427" width="15.140625" style="1549" customWidth="1"/>
    <col min="7428" max="7428" width="19.28515625" style="1549" customWidth="1"/>
    <col min="7429" max="7429" width="10.28515625" style="1549" customWidth="1"/>
    <col min="7430" max="7430" width="10.42578125" style="1549" customWidth="1"/>
    <col min="7431" max="7431" width="14.140625" style="1549" customWidth="1"/>
    <col min="7432" max="7432" width="9.85546875" style="1549" bestFit="1" customWidth="1"/>
    <col min="7433" max="7680" width="9.140625" style="1549"/>
    <col min="7681" max="7681" width="13.85546875" style="1549" customWidth="1"/>
    <col min="7682" max="7682" width="13" style="1549" customWidth="1"/>
    <col min="7683" max="7683" width="15.140625" style="1549" customWidth="1"/>
    <col min="7684" max="7684" width="19.28515625" style="1549" customWidth="1"/>
    <col min="7685" max="7685" width="10.28515625" style="1549" customWidth="1"/>
    <col min="7686" max="7686" width="10.42578125" style="1549" customWidth="1"/>
    <col min="7687" max="7687" width="14.140625" style="1549" customWidth="1"/>
    <col min="7688" max="7688" width="9.85546875" style="1549" bestFit="1" customWidth="1"/>
    <col min="7689" max="7936" width="9.140625" style="1549"/>
    <col min="7937" max="7937" width="13.85546875" style="1549" customWidth="1"/>
    <col min="7938" max="7938" width="13" style="1549" customWidth="1"/>
    <col min="7939" max="7939" width="15.140625" style="1549" customWidth="1"/>
    <col min="7940" max="7940" width="19.28515625" style="1549" customWidth="1"/>
    <col min="7941" max="7941" width="10.28515625" style="1549" customWidth="1"/>
    <col min="7942" max="7942" width="10.42578125" style="1549" customWidth="1"/>
    <col min="7943" max="7943" width="14.140625" style="1549" customWidth="1"/>
    <col min="7944" max="7944" width="9.85546875" style="1549" bestFit="1" customWidth="1"/>
    <col min="7945" max="8192" width="9.140625" style="1549"/>
    <col min="8193" max="8193" width="13.85546875" style="1549" customWidth="1"/>
    <col min="8194" max="8194" width="13" style="1549" customWidth="1"/>
    <col min="8195" max="8195" width="15.140625" style="1549" customWidth="1"/>
    <col min="8196" max="8196" width="19.28515625" style="1549" customWidth="1"/>
    <col min="8197" max="8197" width="10.28515625" style="1549" customWidth="1"/>
    <col min="8198" max="8198" width="10.42578125" style="1549" customWidth="1"/>
    <col min="8199" max="8199" width="14.140625" style="1549" customWidth="1"/>
    <col min="8200" max="8200" width="9.85546875" style="1549" bestFit="1" customWidth="1"/>
    <col min="8201" max="8448" width="9.140625" style="1549"/>
    <col min="8449" max="8449" width="13.85546875" style="1549" customWidth="1"/>
    <col min="8450" max="8450" width="13" style="1549" customWidth="1"/>
    <col min="8451" max="8451" width="15.140625" style="1549" customWidth="1"/>
    <col min="8452" max="8452" width="19.28515625" style="1549" customWidth="1"/>
    <col min="8453" max="8453" width="10.28515625" style="1549" customWidth="1"/>
    <col min="8454" max="8454" width="10.42578125" style="1549" customWidth="1"/>
    <col min="8455" max="8455" width="14.140625" style="1549" customWidth="1"/>
    <col min="8456" max="8456" width="9.85546875" style="1549" bestFit="1" customWidth="1"/>
    <col min="8457" max="8704" width="9.140625" style="1549"/>
    <col min="8705" max="8705" width="13.85546875" style="1549" customWidth="1"/>
    <col min="8706" max="8706" width="13" style="1549" customWidth="1"/>
    <col min="8707" max="8707" width="15.140625" style="1549" customWidth="1"/>
    <col min="8708" max="8708" width="19.28515625" style="1549" customWidth="1"/>
    <col min="8709" max="8709" width="10.28515625" style="1549" customWidth="1"/>
    <col min="8710" max="8710" width="10.42578125" style="1549" customWidth="1"/>
    <col min="8711" max="8711" width="14.140625" style="1549" customWidth="1"/>
    <col min="8712" max="8712" width="9.85546875" style="1549" bestFit="1" customWidth="1"/>
    <col min="8713" max="8960" width="9.140625" style="1549"/>
    <col min="8961" max="8961" width="13.85546875" style="1549" customWidth="1"/>
    <col min="8962" max="8962" width="13" style="1549" customWidth="1"/>
    <col min="8963" max="8963" width="15.140625" style="1549" customWidth="1"/>
    <col min="8964" max="8964" width="19.28515625" style="1549" customWidth="1"/>
    <col min="8965" max="8965" width="10.28515625" style="1549" customWidth="1"/>
    <col min="8966" max="8966" width="10.42578125" style="1549" customWidth="1"/>
    <col min="8967" max="8967" width="14.140625" style="1549" customWidth="1"/>
    <col min="8968" max="8968" width="9.85546875" style="1549" bestFit="1" customWidth="1"/>
    <col min="8969" max="9216" width="9.140625" style="1549"/>
    <col min="9217" max="9217" width="13.85546875" style="1549" customWidth="1"/>
    <col min="9218" max="9218" width="13" style="1549" customWidth="1"/>
    <col min="9219" max="9219" width="15.140625" style="1549" customWidth="1"/>
    <col min="9220" max="9220" width="19.28515625" style="1549" customWidth="1"/>
    <col min="9221" max="9221" width="10.28515625" style="1549" customWidth="1"/>
    <col min="9222" max="9222" width="10.42578125" style="1549" customWidth="1"/>
    <col min="9223" max="9223" width="14.140625" style="1549" customWidth="1"/>
    <col min="9224" max="9224" width="9.85546875" style="1549" bestFit="1" customWidth="1"/>
    <col min="9225" max="9472" width="9.140625" style="1549"/>
    <col min="9473" max="9473" width="13.85546875" style="1549" customWidth="1"/>
    <col min="9474" max="9474" width="13" style="1549" customWidth="1"/>
    <col min="9475" max="9475" width="15.140625" style="1549" customWidth="1"/>
    <col min="9476" max="9476" width="19.28515625" style="1549" customWidth="1"/>
    <col min="9477" max="9477" width="10.28515625" style="1549" customWidth="1"/>
    <col min="9478" max="9478" width="10.42578125" style="1549" customWidth="1"/>
    <col min="9479" max="9479" width="14.140625" style="1549" customWidth="1"/>
    <col min="9480" max="9480" width="9.85546875" style="1549" bestFit="1" customWidth="1"/>
    <col min="9481" max="9728" width="9.140625" style="1549"/>
    <col min="9729" max="9729" width="13.85546875" style="1549" customWidth="1"/>
    <col min="9730" max="9730" width="13" style="1549" customWidth="1"/>
    <col min="9731" max="9731" width="15.140625" style="1549" customWidth="1"/>
    <col min="9732" max="9732" width="19.28515625" style="1549" customWidth="1"/>
    <col min="9733" max="9733" width="10.28515625" style="1549" customWidth="1"/>
    <col min="9734" max="9734" width="10.42578125" style="1549" customWidth="1"/>
    <col min="9735" max="9735" width="14.140625" style="1549" customWidth="1"/>
    <col min="9736" max="9736" width="9.85546875" style="1549" bestFit="1" customWidth="1"/>
    <col min="9737" max="9984" width="9.140625" style="1549"/>
    <col min="9985" max="9985" width="13.85546875" style="1549" customWidth="1"/>
    <col min="9986" max="9986" width="13" style="1549" customWidth="1"/>
    <col min="9987" max="9987" width="15.140625" style="1549" customWidth="1"/>
    <col min="9988" max="9988" width="19.28515625" style="1549" customWidth="1"/>
    <col min="9989" max="9989" width="10.28515625" style="1549" customWidth="1"/>
    <col min="9990" max="9990" width="10.42578125" style="1549" customWidth="1"/>
    <col min="9991" max="9991" width="14.140625" style="1549" customWidth="1"/>
    <col min="9992" max="9992" width="9.85546875" style="1549" bestFit="1" customWidth="1"/>
    <col min="9993" max="10240" width="9.140625" style="1549"/>
    <col min="10241" max="10241" width="13.85546875" style="1549" customWidth="1"/>
    <col min="10242" max="10242" width="13" style="1549" customWidth="1"/>
    <col min="10243" max="10243" width="15.140625" style="1549" customWidth="1"/>
    <col min="10244" max="10244" width="19.28515625" style="1549" customWidth="1"/>
    <col min="10245" max="10245" width="10.28515625" style="1549" customWidth="1"/>
    <col min="10246" max="10246" width="10.42578125" style="1549" customWidth="1"/>
    <col min="10247" max="10247" width="14.140625" style="1549" customWidth="1"/>
    <col min="10248" max="10248" width="9.85546875" style="1549" bestFit="1" customWidth="1"/>
    <col min="10249" max="10496" width="9.140625" style="1549"/>
    <col min="10497" max="10497" width="13.85546875" style="1549" customWidth="1"/>
    <col min="10498" max="10498" width="13" style="1549" customWidth="1"/>
    <col min="10499" max="10499" width="15.140625" style="1549" customWidth="1"/>
    <col min="10500" max="10500" width="19.28515625" style="1549" customWidth="1"/>
    <col min="10501" max="10501" width="10.28515625" style="1549" customWidth="1"/>
    <col min="10502" max="10502" width="10.42578125" style="1549" customWidth="1"/>
    <col min="10503" max="10503" width="14.140625" style="1549" customWidth="1"/>
    <col min="10504" max="10504" width="9.85546875" style="1549" bestFit="1" customWidth="1"/>
    <col min="10505" max="10752" width="9.140625" style="1549"/>
    <col min="10753" max="10753" width="13.85546875" style="1549" customWidth="1"/>
    <col min="10754" max="10754" width="13" style="1549" customWidth="1"/>
    <col min="10755" max="10755" width="15.140625" style="1549" customWidth="1"/>
    <col min="10756" max="10756" width="19.28515625" style="1549" customWidth="1"/>
    <col min="10757" max="10757" width="10.28515625" style="1549" customWidth="1"/>
    <col min="10758" max="10758" width="10.42578125" style="1549" customWidth="1"/>
    <col min="10759" max="10759" width="14.140625" style="1549" customWidth="1"/>
    <col min="10760" max="10760" width="9.85546875" style="1549" bestFit="1" customWidth="1"/>
    <col min="10761" max="11008" width="9.140625" style="1549"/>
    <col min="11009" max="11009" width="13.85546875" style="1549" customWidth="1"/>
    <col min="11010" max="11010" width="13" style="1549" customWidth="1"/>
    <col min="11011" max="11011" width="15.140625" style="1549" customWidth="1"/>
    <col min="11012" max="11012" width="19.28515625" style="1549" customWidth="1"/>
    <col min="11013" max="11013" width="10.28515625" style="1549" customWidth="1"/>
    <col min="11014" max="11014" width="10.42578125" style="1549" customWidth="1"/>
    <col min="11015" max="11015" width="14.140625" style="1549" customWidth="1"/>
    <col min="11016" max="11016" width="9.85546875" style="1549" bestFit="1" customWidth="1"/>
    <col min="11017" max="11264" width="9.140625" style="1549"/>
    <col min="11265" max="11265" width="13.85546875" style="1549" customWidth="1"/>
    <col min="11266" max="11266" width="13" style="1549" customWidth="1"/>
    <col min="11267" max="11267" width="15.140625" style="1549" customWidth="1"/>
    <col min="11268" max="11268" width="19.28515625" style="1549" customWidth="1"/>
    <col min="11269" max="11269" width="10.28515625" style="1549" customWidth="1"/>
    <col min="11270" max="11270" width="10.42578125" style="1549" customWidth="1"/>
    <col min="11271" max="11271" width="14.140625" style="1549" customWidth="1"/>
    <col min="11272" max="11272" width="9.85546875" style="1549" bestFit="1" customWidth="1"/>
    <col min="11273" max="11520" width="9.140625" style="1549"/>
    <col min="11521" max="11521" width="13.85546875" style="1549" customWidth="1"/>
    <col min="11522" max="11522" width="13" style="1549" customWidth="1"/>
    <col min="11523" max="11523" width="15.140625" style="1549" customWidth="1"/>
    <col min="11524" max="11524" width="19.28515625" style="1549" customWidth="1"/>
    <col min="11525" max="11525" width="10.28515625" style="1549" customWidth="1"/>
    <col min="11526" max="11526" width="10.42578125" style="1549" customWidth="1"/>
    <col min="11527" max="11527" width="14.140625" style="1549" customWidth="1"/>
    <col min="11528" max="11528" width="9.85546875" style="1549" bestFit="1" customWidth="1"/>
    <col min="11529" max="11776" width="9.140625" style="1549"/>
    <col min="11777" max="11777" width="13.85546875" style="1549" customWidth="1"/>
    <col min="11778" max="11778" width="13" style="1549" customWidth="1"/>
    <col min="11779" max="11779" width="15.140625" style="1549" customWidth="1"/>
    <col min="11780" max="11780" width="19.28515625" style="1549" customWidth="1"/>
    <col min="11781" max="11781" width="10.28515625" style="1549" customWidth="1"/>
    <col min="11782" max="11782" width="10.42578125" style="1549" customWidth="1"/>
    <col min="11783" max="11783" width="14.140625" style="1549" customWidth="1"/>
    <col min="11784" max="11784" width="9.85546875" style="1549" bestFit="1" customWidth="1"/>
    <col min="11785" max="12032" width="9.140625" style="1549"/>
    <col min="12033" max="12033" width="13.85546875" style="1549" customWidth="1"/>
    <col min="12034" max="12034" width="13" style="1549" customWidth="1"/>
    <col min="12035" max="12035" width="15.140625" style="1549" customWidth="1"/>
    <col min="12036" max="12036" width="19.28515625" style="1549" customWidth="1"/>
    <col min="12037" max="12037" width="10.28515625" style="1549" customWidth="1"/>
    <col min="12038" max="12038" width="10.42578125" style="1549" customWidth="1"/>
    <col min="12039" max="12039" width="14.140625" style="1549" customWidth="1"/>
    <col min="12040" max="12040" width="9.85546875" style="1549" bestFit="1" customWidth="1"/>
    <col min="12041" max="12288" width="9.140625" style="1549"/>
    <col min="12289" max="12289" width="13.85546875" style="1549" customWidth="1"/>
    <col min="12290" max="12290" width="13" style="1549" customWidth="1"/>
    <col min="12291" max="12291" width="15.140625" style="1549" customWidth="1"/>
    <col min="12292" max="12292" width="19.28515625" style="1549" customWidth="1"/>
    <col min="12293" max="12293" width="10.28515625" style="1549" customWidth="1"/>
    <col min="12294" max="12294" width="10.42578125" style="1549" customWidth="1"/>
    <col min="12295" max="12295" width="14.140625" style="1549" customWidth="1"/>
    <col min="12296" max="12296" width="9.85546875" style="1549" bestFit="1" customWidth="1"/>
    <col min="12297" max="12544" width="9.140625" style="1549"/>
    <col min="12545" max="12545" width="13.85546875" style="1549" customWidth="1"/>
    <col min="12546" max="12546" width="13" style="1549" customWidth="1"/>
    <col min="12547" max="12547" width="15.140625" style="1549" customWidth="1"/>
    <col min="12548" max="12548" width="19.28515625" style="1549" customWidth="1"/>
    <col min="12549" max="12549" width="10.28515625" style="1549" customWidth="1"/>
    <col min="12550" max="12550" width="10.42578125" style="1549" customWidth="1"/>
    <col min="12551" max="12551" width="14.140625" style="1549" customWidth="1"/>
    <col min="12552" max="12552" width="9.85546875" style="1549" bestFit="1" customWidth="1"/>
    <col min="12553" max="12800" width="9.140625" style="1549"/>
    <col min="12801" max="12801" width="13.85546875" style="1549" customWidth="1"/>
    <col min="12802" max="12802" width="13" style="1549" customWidth="1"/>
    <col min="12803" max="12803" width="15.140625" style="1549" customWidth="1"/>
    <col min="12804" max="12804" width="19.28515625" style="1549" customWidth="1"/>
    <col min="12805" max="12805" width="10.28515625" style="1549" customWidth="1"/>
    <col min="12806" max="12806" width="10.42578125" style="1549" customWidth="1"/>
    <col min="12807" max="12807" width="14.140625" style="1549" customWidth="1"/>
    <col min="12808" max="12808" width="9.85546875" style="1549" bestFit="1" customWidth="1"/>
    <col min="12809" max="13056" width="9.140625" style="1549"/>
    <col min="13057" max="13057" width="13.85546875" style="1549" customWidth="1"/>
    <col min="13058" max="13058" width="13" style="1549" customWidth="1"/>
    <col min="13059" max="13059" width="15.140625" style="1549" customWidth="1"/>
    <col min="13060" max="13060" width="19.28515625" style="1549" customWidth="1"/>
    <col min="13061" max="13061" width="10.28515625" style="1549" customWidth="1"/>
    <col min="13062" max="13062" width="10.42578125" style="1549" customWidth="1"/>
    <col min="13063" max="13063" width="14.140625" style="1549" customWidth="1"/>
    <col min="13064" max="13064" width="9.85546875" style="1549" bestFit="1" customWidth="1"/>
    <col min="13065" max="13312" width="9.140625" style="1549"/>
    <col min="13313" max="13313" width="13.85546875" style="1549" customWidth="1"/>
    <col min="13314" max="13314" width="13" style="1549" customWidth="1"/>
    <col min="13315" max="13315" width="15.140625" style="1549" customWidth="1"/>
    <col min="13316" max="13316" width="19.28515625" style="1549" customWidth="1"/>
    <col min="13317" max="13317" width="10.28515625" style="1549" customWidth="1"/>
    <col min="13318" max="13318" width="10.42578125" style="1549" customWidth="1"/>
    <col min="13319" max="13319" width="14.140625" style="1549" customWidth="1"/>
    <col min="13320" max="13320" width="9.85546875" style="1549" bestFit="1" customWidth="1"/>
    <col min="13321" max="13568" width="9.140625" style="1549"/>
    <col min="13569" max="13569" width="13.85546875" style="1549" customWidth="1"/>
    <col min="13570" max="13570" width="13" style="1549" customWidth="1"/>
    <col min="13571" max="13571" width="15.140625" style="1549" customWidth="1"/>
    <col min="13572" max="13572" width="19.28515625" style="1549" customWidth="1"/>
    <col min="13573" max="13573" width="10.28515625" style="1549" customWidth="1"/>
    <col min="13574" max="13574" width="10.42578125" style="1549" customWidth="1"/>
    <col min="13575" max="13575" width="14.140625" style="1549" customWidth="1"/>
    <col min="13576" max="13576" width="9.85546875" style="1549" bestFit="1" customWidth="1"/>
    <col min="13577" max="13824" width="9.140625" style="1549"/>
    <col min="13825" max="13825" width="13.85546875" style="1549" customWidth="1"/>
    <col min="13826" max="13826" width="13" style="1549" customWidth="1"/>
    <col min="13827" max="13827" width="15.140625" style="1549" customWidth="1"/>
    <col min="13828" max="13828" width="19.28515625" style="1549" customWidth="1"/>
    <col min="13829" max="13829" width="10.28515625" style="1549" customWidth="1"/>
    <col min="13830" max="13830" width="10.42578125" style="1549" customWidth="1"/>
    <col min="13831" max="13831" width="14.140625" style="1549" customWidth="1"/>
    <col min="13832" max="13832" width="9.85546875" style="1549" bestFit="1" customWidth="1"/>
    <col min="13833" max="14080" width="9.140625" style="1549"/>
    <col min="14081" max="14081" width="13.85546875" style="1549" customWidth="1"/>
    <col min="14082" max="14082" width="13" style="1549" customWidth="1"/>
    <col min="14083" max="14083" width="15.140625" style="1549" customWidth="1"/>
    <col min="14084" max="14084" width="19.28515625" style="1549" customWidth="1"/>
    <col min="14085" max="14085" width="10.28515625" style="1549" customWidth="1"/>
    <col min="14086" max="14086" width="10.42578125" style="1549" customWidth="1"/>
    <col min="14087" max="14087" width="14.140625" style="1549" customWidth="1"/>
    <col min="14088" max="14088" width="9.85546875" style="1549" bestFit="1" customWidth="1"/>
    <col min="14089" max="14336" width="9.140625" style="1549"/>
    <col min="14337" max="14337" width="13.85546875" style="1549" customWidth="1"/>
    <col min="14338" max="14338" width="13" style="1549" customWidth="1"/>
    <col min="14339" max="14339" width="15.140625" style="1549" customWidth="1"/>
    <col min="14340" max="14340" width="19.28515625" style="1549" customWidth="1"/>
    <col min="14341" max="14341" width="10.28515625" style="1549" customWidth="1"/>
    <col min="14342" max="14342" width="10.42578125" style="1549" customWidth="1"/>
    <col min="14343" max="14343" width="14.140625" style="1549" customWidth="1"/>
    <col min="14344" max="14344" width="9.85546875" style="1549" bestFit="1" customWidth="1"/>
    <col min="14345" max="14592" width="9.140625" style="1549"/>
    <col min="14593" max="14593" width="13.85546875" style="1549" customWidth="1"/>
    <col min="14594" max="14594" width="13" style="1549" customWidth="1"/>
    <col min="14595" max="14595" width="15.140625" style="1549" customWidth="1"/>
    <col min="14596" max="14596" width="19.28515625" style="1549" customWidth="1"/>
    <col min="14597" max="14597" width="10.28515625" style="1549" customWidth="1"/>
    <col min="14598" max="14598" width="10.42578125" style="1549" customWidth="1"/>
    <col min="14599" max="14599" width="14.140625" style="1549" customWidth="1"/>
    <col min="14600" max="14600" width="9.85546875" style="1549" bestFit="1" customWidth="1"/>
    <col min="14601" max="14848" width="9.140625" style="1549"/>
    <col min="14849" max="14849" width="13.85546875" style="1549" customWidth="1"/>
    <col min="14850" max="14850" width="13" style="1549" customWidth="1"/>
    <col min="14851" max="14851" width="15.140625" style="1549" customWidth="1"/>
    <col min="14852" max="14852" width="19.28515625" style="1549" customWidth="1"/>
    <col min="14853" max="14853" width="10.28515625" style="1549" customWidth="1"/>
    <col min="14854" max="14854" width="10.42578125" style="1549" customWidth="1"/>
    <col min="14855" max="14855" width="14.140625" style="1549" customWidth="1"/>
    <col min="14856" max="14856" width="9.85546875" style="1549" bestFit="1" customWidth="1"/>
    <col min="14857" max="15104" width="9.140625" style="1549"/>
    <col min="15105" max="15105" width="13.85546875" style="1549" customWidth="1"/>
    <col min="15106" max="15106" width="13" style="1549" customWidth="1"/>
    <col min="15107" max="15107" width="15.140625" style="1549" customWidth="1"/>
    <col min="15108" max="15108" width="19.28515625" style="1549" customWidth="1"/>
    <col min="15109" max="15109" width="10.28515625" style="1549" customWidth="1"/>
    <col min="15110" max="15110" width="10.42578125" style="1549" customWidth="1"/>
    <col min="15111" max="15111" width="14.140625" style="1549" customWidth="1"/>
    <col min="15112" max="15112" width="9.85546875" style="1549" bestFit="1" customWidth="1"/>
    <col min="15113" max="15360" width="9.140625" style="1549"/>
    <col min="15361" max="15361" width="13.85546875" style="1549" customWidth="1"/>
    <col min="15362" max="15362" width="13" style="1549" customWidth="1"/>
    <col min="15363" max="15363" width="15.140625" style="1549" customWidth="1"/>
    <col min="15364" max="15364" width="19.28515625" style="1549" customWidth="1"/>
    <col min="15365" max="15365" width="10.28515625" style="1549" customWidth="1"/>
    <col min="15366" max="15366" width="10.42578125" style="1549" customWidth="1"/>
    <col min="15367" max="15367" width="14.140625" style="1549" customWidth="1"/>
    <col min="15368" max="15368" width="9.85546875" style="1549" bestFit="1" customWidth="1"/>
    <col min="15369" max="15616" width="9.140625" style="1549"/>
    <col min="15617" max="15617" width="13.85546875" style="1549" customWidth="1"/>
    <col min="15618" max="15618" width="13" style="1549" customWidth="1"/>
    <col min="15619" max="15619" width="15.140625" style="1549" customWidth="1"/>
    <col min="15620" max="15620" width="19.28515625" style="1549" customWidth="1"/>
    <col min="15621" max="15621" width="10.28515625" style="1549" customWidth="1"/>
    <col min="15622" max="15622" width="10.42578125" style="1549" customWidth="1"/>
    <col min="15623" max="15623" width="14.140625" style="1549" customWidth="1"/>
    <col min="15624" max="15624" width="9.85546875" style="1549" bestFit="1" customWidth="1"/>
    <col min="15625" max="15872" width="9.140625" style="1549"/>
    <col min="15873" max="15873" width="13.85546875" style="1549" customWidth="1"/>
    <col min="15874" max="15874" width="13" style="1549" customWidth="1"/>
    <col min="15875" max="15875" width="15.140625" style="1549" customWidth="1"/>
    <col min="15876" max="15876" width="19.28515625" style="1549" customWidth="1"/>
    <col min="15877" max="15877" width="10.28515625" style="1549" customWidth="1"/>
    <col min="15878" max="15878" width="10.42578125" style="1549" customWidth="1"/>
    <col min="15879" max="15879" width="14.140625" style="1549" customWidth="1"/>
    <col min="15880" max="15880" width="9.85546875" style="1549" bestFit="1" customWidth="1"/>
    <col min="15881" max="16128" width="9.140625" style="1549"/>
    <col min="16129" max="16129" width="13.85546875" style="1549" customWidth="1"/>
    <col min="16130" max="16130" width="13" style="1549" customWidth="1"/>
    <col min="16131" max="16131" width="15.140625" style="1549" customWidth="1"/>
    <col min="16132" max="16132" width="19.28515625" style="1549" customWidth="1"/>
    <col min="16133" max="16133" width="10.28515625" style="1549" customWidth="1"/>
    <col min="16134" max="16134" width="10.42578125" style="1549" customWidth="1"/>
    <col min="16135" max="16135" width="14.140625" style="1549" customWidth="1"/>
    <col min="16136" max="16136" width="9.85546875" style="1549" bestFit="1" customWidth="1"/>
    <col min="16137" max="16384" width="9.140625" style="1549"/>
  </cols>
  <sheetData>
    <row r="1" spans="1:9" ht="18.75" hidden="1" customHeight="1">
      <c r="A1" s="1548" t="s">
        <v>1284</v>
      </c>
    </row>
    <row r="2" spans="1:9" ht="13.5" hidden="1" customHeight="1" thickBot="1">
      <c r="A2" s="1551"/>
    </row>
    <row r="3" spans="1:9" ht="13.5" hidden="1" customHeight="1" thickTop="1">
      <c r="A3" s="1552" t="s">
        <v>1285</v>
      </c>
      <c r="B3" s="1553" t="s">
        <v>1286</v>
      </c>
      <c r="C3" s="1554" t="s">
        <v>1287</v>
      </c>
      <c r="D3" s="1554" t="s">
        <v>1288</v>
      </c>
      <c r="E3" s="1554" t="s">
        <v>1289</v>
      </c>
      <c r="F3" s="1555" t="s">
        <v>1230</v>
      </c>
    </row>
    <row r="4" spans="1:9" ht="14.25" hidden="1" customHeight="1">
      <c r="A4" s="1556" t="s">
        <v>1290</v>
      </c>
      <c r="B4" s="1557" t="s">
        <v>1291</v>
      </c>
      <c r="C4" s="1558" t="s">
        <v>1292</v>
      </c>
      <c r="D4" s="1558" t="s">
        <v>1293</v>
      </c>
      <c r="E4" s="1558" t="s">
        <v>1294</v>
      </c>
      <c r="F4" s="1559" t="s">
        <v>1294</v>
      </c>
    </row>
    <row r="5" spans="1:9" ht="12.75" hidden="1" customHeight="1">
      <c r="A5" s="1560"/>
      <c r="B5" s="1557"/>
      <c r="C5" s="1558" t="s">
        <v>1295</v>
      </c>
      <c r="D5" s="1558" t="s">
        <v>1296</v>
      </c>
      <c r="E5" s="1558" t="s">
        <v>1027</v>
      </c>
      <c r="F5" s="1559" t="s">
        <v>1297</v>
      </c>
    </row>
    <row r="6" spans="1:9" ht="13.5" hidden="1" customHeight="1" thickBot="1">
      <c r="A6" s="1560"/>
      <c r="B6" s="1557" t="s">
        <v>1298</v>
      </c>
      <c r="C6" s="1561">
        <v>2</v>
      </c>
      <c r="D6" s="1561">
        <v>3</v>
      </c>
      <c r="E6" s="1561" t="s">
        <v>1299</v>
      </c>
      <c r="F6" s="1562" t="s">
        <v>1300</v>
      </c>
    </row>
    <row r="7" spans="1:9" ht="13.5" hidden="1" customHeight="1" thickBot="1">
      <c r="A7" s="1563"/>
      <c r="B7" s="1564" t="s">
        <v>74</v>
      </c>
      <c r="C7" s="1565"/>
      <c r="D7" s="1565"/>
      <c r="E7" s="1565"/>
      <c r="F7" s="1566" t="s">
        <v>1301</v>
      </c>
    </row>
    <row r="8" spans="1:9" ht="13.5" hidden="1" customHeight="1" thickTop="1">
      <c r="A8" s="1560"/>
      <c r="B8" s="1567"/>
      <c r="C8" s="1568"/>
      <c r="D8" s="1568"/>
      <c r="E8" s="1568"/>
      <c r="F8" s="1569"/>
    </row>
    <row r="9" spans="1:9" ht="14.25" hidden="1" customHeight="1">
      <c r="A9" s="1570" t="s">
        <v>1302</v>
      </c>
      <c r="B9" s="1571">
        <v>143443.1</v>
      </c>
      <c r="C9" s="1572">
        <v>8076.8</v>
      </c>
      <c r="D9" s="1572">
        <v>7889.3705</v>
      </c>
      <c r="E9" s="1572">
        <v>188.42950000000019</v>
      </c>
      <c r="F9" s="1573">
        <v>5.6306647025893897</v>
      </c>
      <c r="H9" s="1574"/>
      <c r="I9" s="1550"/>
    </row>
    <row r="10" spans="1:9" ht="14.25" hidden="1" customHeight="1">
      <c r="A10" s="1570">
        <v>38547</v>
      </c>
      <c r="B10" s="1571">
        <v>142427.5</v>
      </c>
      <c r="C10" s="1572">
        <v>8607.2000000000007</v>
      </c>
      <c r="D10" s="1572">
        <v>7833.5124999999998</v>
      </c>
      <c r="E10" s="1572">
        <v>772.68750000000091</v>
      </c>
      <c r="F10" s="1573">
        <v>6.043214969019326</v>
      </c>
      <c r="H10" s="1574"/>
      <c r="I10" s="1550"/>
    </row>
    <row r="11" spans="1:9" ht="14.25" hidden="1" customHeight="1">
      <c r="A11" s="1570">
        <v>38554</v>
      </c>
      <c r="B11" s="1571">
        <v>141800.29999999999</v>
      </c>
      <c r="C11" s="1572">
        <v>8499.1</v>
      </c>
      <c r="D11" s="1572">
        <v>7799.0164999999997</v>
      </c>
      <c r="E11" s="1572">
        <v>700.08350000000064</v>
      </c>
      <c r="F11" s="1573">
        <v>5.9937108736723417</v>
      </c>
      <c r="H11" s="1574"/>
      <c r="I11" s="1550"/>
    </row>
    <row r="12" spans="1:9" ht="14.25" hidden="1" customHeight="1">
      <c r="A12" s="1570">
        <v>38561</v>
      </c>
      <c r="B12" s="1571">
        <v>143002.29999999999</v>
      </c>
      <c r="C12" s="1572">
        <v>7977.6</v>
      </c>
      <c r="D12" s="1572">
        <v>7865.1264999999994</v>
      </c>
      <c r="E12" s="1572">
        <v>113.47350000000097</v>
      </c>
      <c r="F12" s="1573">
        <v>5.5786515321781547</v>
      </c>
      <c r="H12" s="1574"/>
      <c r="I12" s="1550"/>
    </row>
    <row r="13" spans="1:9" ht="14.25" hidden="1" customHeight="1">
      <c r="A13" s="1570">
        <v>38568</v>
      </c>
      <c r="B13" s="1571">
        <v>143929</v>
      </c>
      <c r="C13" s="1572">
        <v>8036</v>
      </c>
      <c r="D13" s="1572">
        <v>7916.0950000000003</v>
      </c>
      <c r="E13" s="1572">
        <v>119.90499999999975</v>
      </c>
      <c r="F13" s="1573">
        <v>5.5833084367986991</v>
      </c>
      <c r="H13" s="1574"/>
      <c r="I13" s="1550"/>
    </row>
    <row r="14" spans="1:9" ht="14.25" hidden="1" customHeight="1">
      <c r="A14" s="1570">
        <v>38575</v>
      </c>
      <c r="B14" s="1571">
        <v>144813</v>
      </c>
      <c r="C14" s="1572">
        <v>8248</v>
      </c>
      <c r="D14" s="1572">
        <v>7964.7150000000001</v>
      </c>
      <c r="E14" s="1572">
        <v>283.28499999999985</v>
      </c>
      <c r="F14" s="1573">
        <v>5.6956212494734588</v>
      </c>
      <c r="H14" s="1574"/>
      <c r="I14" s="1550"/>
    </row>
    <row r="15" spans="1:9" ht="14.25" hidden="1" customHeight="1">
      <c r="A15" s="1570">
        <v>38582</v>
      </c>
      <c r="B15" s="1571">
        <v>145671</v>
      </c>
      <c r="C15" s="1572">
        <v>8151</v>
      </c>
      <c r="D15" s="1572">
        <v>8011.9049999999997</v>
      </c>
      <c r="E15" s="1572">
        <v>139.09500000000025</v>
      </c>
      <c r="F15" s="1573">
        <v>5.5954857178161745</v>
      </c>
      <c r="H15" s="1574"/>
      <c r="I15" s="1550"/>
    </row>
    <row r="16" spans="1:9" ht="14.25" hidden="1" customHeight="1">
      <c r="A16" s="1570">
        <v>38589</v>
      </c>
      <c r="B16" s="1571">
        <v>144761</v>
      </c>
      <c r="C16" s="1572">
        <v>8442</v>
      </c>
      <c r="D16" s="1572">
        <v>7961.8550000000005</v>
      </c>
      <c r="E16" s="1572">
        <v>480.14499999999953</v>
      </c>
      <c r="F16" s="1573">
        <v>5.8316811848495105</v>
      </c>
      <c r="H16" s="1574"/>
      <c r="I16" s="1550"/>
    </row>
    <row r="17" spans="1:9" ht="14.25" hidden="1" customHeight="1">
      <c r="A17" s="1570">
        <v>38596</v>
      </c>
      <c r="B17" s="1571">
        <v>144530</v>
      </c>
      <c r="C17" s="1572">
        <v>9341</v>
      </c>
      <c r="D17" s="1572">
        <v>7949.15</v>
      </c>
      <c r="E17" s="1572">
        <v>1391.8500000000004</v>
      </c>
      <c r="F17" s="1573">
        <v>6.4630180585345602</v>
      </c>
      <c r="H17" s="1574"/>
      <c r="I17" s="1550"/>
    </row>
    <row r="18" spans="1:9" ht="14.25" hidden="1" customHeight="1">
      <c r="A18" s="1570">
        <v>38603</v>
      </c>
      <c r="B18" s="1571">
        <v>145233</v>
      </c>
      <c r="C18" s="1572">
        <v>9254</v>
      </c>
      <c r="D18" s="1572">
        <v>7987.8149999999996</v>
      </c>
      <c r="E18" s="1572">
        <v>1266.1850000000004</v>
      </c>
      <c r="F18" s="1573">
        <v>6.3718300937114849</v>
      </c>
      <c r="H18" s="1574"/>
      <c r="I18" s="1550"/>
    </row>
    <row r="19" spans="1:9" ht="14.25" hidden="1" customHeight="1">
      <c r="A19" s="1570">
        <v>38610</v>
      </c>
      <c r="B19" s="1571">
        <v>146894</v>
      </c>
      <c r="C19" s="1572">
        <v>9275</v>
      </c>
      <c r="D19" s="1572">
        <v>8079.17</v>
      </c>
      <c r="E19" s="1572">
        <v>1195.83</v>
      </c>
      <c r="F19" s="1573">
        <v>6.3140768172968267</v>
      </c>
      <c r="H19" s="1574"/>
      <c r="I19" s="1550"/>
    </row>
    <row r="20" spans="1:9" ht="14.25" hidden="1" customHeight="1">
      <c r="A20" s="1570">
        <v>38617</v>
      </c>
      <c r="B20" s="1571">
        <v>146802</v>
      </c>
      <c r="C20" s="1572">
        <v>9805</v>
      </c>
      <c r="D20" s="1572">
        <v>8074.11</v>
      </c>
      <c r="E20" s="1572">
        <v>1730.8900000000003</v>
      </c>
      <c r="F20" s="1573">
        <v>6.6790643179248237</v>
      </c>
      <c r="H20" s="1574"/>
      <c r="I20" s="1550"/>
    </row>
    <row r="21" spans="1:9" ht="14.25" hidden="1" customHeight="1">
      <c r="A21" s="1570">
        <v>38624</v>
      </c>
      <c r="B21" s="1571">
        <v>147249</v>
      </c>
      <c r="C21" s="1572">
        <v>9750</v>
      </c>
      <c r="D21" s="1572">
        <v>8098.6949999999997</v>
      </c>
      <c r="E21" s="1572">
        <v>1651.3050000000003</v>
      </c>
      <c r="F21" s="1573">
        <v>6.6214371574679616</v>
      </c>
      <c r="H21" s="1574"/>
      <c r="I21" s="1550"/>
    </row>
    <row r="22" spans="1:9" ht="14.25" hidden="1" customHeight="1">
      <c r="A22" s="1570">
        <v>38631</v>
      </c>
      <c r="B22" s="1571">
        <v>148149</v>
      </c>
      <c r="C22" s="1572">
        <v>8939</v>
      </c>
      <c r="D22" s="1572">
        <v>8148.1949999999997</v>
      </c>
      <c r="E22" s="1572">
        <v>790.80499999999995</v>
      </c>
      <c r="F22" s="1573">
        <v>6.0337903057057423</v>
      </c>
      <c r="H22" s="1574"/>
      <c r="I22" s="1550"/>
    </row>
    <row r="23" spans="1:9" ht="14.25" hidden="1" customHeight="1">
      <c r="A23" s="1570">
        <v>38638</v>
      </c>
      <c r="B23" s="1571">
        <v>149565</v>
      </c>
      <c r="C23" s="1572">
        <v>9047</v>
      </c>
      <c r="D23" s="1572">
        <v>8226.0750000000007</v>
      </c>
      <c r="E23" s="1572">
        <v>820.92499999999927</v>
      </c>
      <c r="F23" s="1573">
        <v>6.0488750710393475</v>
      </c>
      <c r="H23" s="1574"/>
      <c r="I23" s="1550"/>
    </row>
    <row r="24" spans="1:9" ht="14.25" hidden="1" customHeight="1">
      <c r="A24" s="1570">
        <v>38645</v>
      </c>
      <c r="B24" s="1571">
        <v>149717</v>
      </c>
      <c r="C24" s="1572">
        <v>9003</v>
      </c>
      <c r="D24" s="1572">
        <v>8234.4349999999995</v>
      </c>
      <c r="E24" s="1572">
        <v>768.56500000000051</v>
      </c>
      <c r="F24" s="1573">
        <v>6.013345177902309</v>
      </c>
      <c r="H24" s="1574"/>
      <c r="I24" s="1550"/>
    </row>
    <row r="25" spans="1:9" ht="14.25" hidden="1" customHeight="1">
      <c r="A25" s="1570">
        <v>38652</v>
      </c>
      <c r="B25" s="1571">
        <v>149128</v>
      </c>
      <c r="C25" s="1572">
        <v>9538</v>
      </c>
      <c r="D25" s="1572">
        <v>8202.0400000000009</v>
      </c>
      <c r="E25" s="1572">
        <v>1335.96</v>
      </c>
      <c r="F25" s="1573">
        <v>6.3958478622391501</v>
      </c>
      <c r="H25" s="1574"/>
      <c r="I25" s="1550"/>
    </row>
    <row r="26" spans="1:9" ht="14.25" hidden="1" customHeight="1">
      <c r="A26" s="1570">
        <v>38659</v>
      </c>
      <c r="B26" s="1571">
        <v>149956</v>
      </c>
      <c r="C26" s="1572">
        <v>8650</v>
      </c>
      <c r="D26" s="1572">
        <v>8248</v>
      </c>
      <c r="E26" s="1572">
        <v>402</v>
      </c>
      <c r="F26" s="1573">
        <v>5.77</v>
      </c>
      <c r="H26" s="1574"/>
      <c r="I26" s="1550"/>
    </row>
    <row r="27" spans="1:9" ht="14.25" hidden="1" customHeight="1">
      <c r="A27" s="1570">
        <v>38666</v>
      </c>
      <c r="B27" s="1571">
        <v>150523.5</v>
      </c>
      <c r="C27" s="1572">
        <v>9229</v>
      </c>
      <c r="D27" s="1572">
        <v>8279</v>
      </c>
      <c r="E27" s="1572">
        <v>950</v>
      </c>
      <c r="F27" s="1573">
        <v>6.13</v>
      </c>
      <c r="H27" s="1574"/>
      <c r="I27" s="1550"/>
    </row>
    <row r="28" spans="1:9" ht="14.25" hidden="1" customHeight="1">
      <c r="A28" s="1570">
        <v>38673</v>
      </c>
      <c r="B28" s="1571">
        <v>150869</v>
      </c>
      <c r="C28" s="1572">
        <v>9735</v>
      </c>
      <c r="D28" s="1572">
        <v>8298</v>
      </c>
      <c r="E28" s="1572">
        <v>1437</v>
      </c>
      <c r="F28" s="1573">
        <v>6.45</v>
      </c>
      <c r="H28" s="1574"/>
      <c r="I28" s="1550"/>
    </row>
    <row r="29" spans="1:9" ht="14.25" hidden="1" customHeight="1">
      <c r="A29" s="1570">
        <v>38680</v>
      </c>
      <c r="B29" s="1571">
        <v>151086</v>
      </c>
      <c r="C29" s="1572">
        <v>9914</v>
      </c>
      <c r="D29" s="1572">
        <v>8310</v>
      </c>
      <c r="E29" s="1572">
        <v>1604</v>
      </c>
      <c r="F29" s="1573">
        <v>6.56</v>
      </c>
      <c r="H29" s="1574"/>
      <c r="I29" s="1550"/>
    </row>
    <row r="30" spans="1:9" ht="14.25" hidden="1" customHeight="1">
      <c r="A30" s="1570">
        <v>38687</v>
      </c>
      <c r="B30" s="1571">
        <v>152008</v>
      </c>
      <c r="C30" s="1572">
        <v>10406.5</v>
      </c>
      <c r="D30" s="1572">
        <v>8360.5</v>
      </c>
      <c r="E30" s="1572">
        <v>2046</v>
      </c>
      <c r="F30" s="1573">
        <v>6.85</v>
      </c>
      <c r="G30" s="1575"/>
      <c r="H30" s="1574"/>
      <c r="I30" s="1550"/>
    </row>
    <row r="31" spans="1:9" ht="14.25" hidden="1" customHeight="1">
      <c r="A31" s="1570">
        <v>38694</v>
      </c>
      <c r="B31" s="1571">
        <v>153696.6</v>
      </c>
      <c r="C31" s="1572">
        <v>9754.7000000000007</v>
      </c>
      <c r="D31" s="1572">
        <v>8453.2999999999993</v>
      </c>
      <c r="E31" s="1572">
        <v>1302</v>
      </c>
      <c r="F31" s="1573">
        <v>6.35</v>
      </c>
      <c r="G31" s="1575"/>
      <c r="H31" s="1574"/>
      <c r="I31" s="1550"/>
    </row>
    <row r="32" spans="1:9" ht="14.25" hidden="1" customHeight="1">
      <c r="A32" s="1570">
        <v>38701</v>
      </c>
      <c r="B32" s="1571">
        <v>153531.29999999999</v>
      </c>
      <c r="C32" s="1572">
        <v>10647.6</v>
      </c>
      <c r="D32" s="1572">
        <v>8444.2000000000007</v>
      </c>
      <c r="E32" s="1572">
        <v>2204</v>
      </c>
      <c r="F32" s="1573">
        <v>6.94</v>
      </c>
      <c r="G32" s="1575"/>
      <c r="H32" s="1574"/>
      <c r="I32" s="1550"/>
    </row>
    <row r="33" spans="1:9" ht="14.25" hidden="1" customHeight="1">
      <c r="A33" s="1570">
        <v>38708</v>
      </c>
      <c r="B33" s="1571">
        <v>151790.6</v>
      </c>
      <c r="C33" s="1572">
        <v>10498.2</v>
      </c>
      <c r="D33" s="1572">
        <v>8348.2000000000007</v>
      </c>
      <c r="E33" s="1572">
        <v>2150</v>
      </c>
      <c r="F33" s="1573">
        <v>6.92</v>
      </c>
      <c r="G33" s="1575"/>
      <c r="H33" s="1574"/>
      <c r="I33" s="1550"/>
    </row>
    <row r="34" spans="1:9" ht="14.25" hidden="1" customHeight="1">
      <c r="A34" s="1570">
        <v>38715</v>
      </c>
      <c r="B34" s="1571">
        <v>153075.79999999999</v>
      </c>
      <c r="C34" s="1572">
        <v>10203.1</v>
      </c>
      <c r="D34" s="1572">
        <v>8419.2000000000007</v>
      </c>
      <c r="E34" s="1572">
        <v>1784</v>
      </c>
      <c r="F34" s="1573">
        <v>6.67</v>
      </c>
      <c r="G34" s="1575"/>
      <c r="H34" s="1574"/>
      <c r="I34" s="1550"/>
    </row>
    <row r="35" spans="1:9" ht="14.25" hidden="1" customHeight="1">
      <c r="A35" s="1570">
        <v>38722</v>
      </c>
      <c r="B35" s="1571">
        <v>154990.70808513797</v>
      </c>
      <c r="C35" s="1572">
        <v>10097.049401216378</v>
      </c>
      <c r="D35" s="1572">
        <v>8524.4889446825891</v>
      </c>
      <c r="E35" s="1572">
        <v>1572.560456533789</v>
      </c>
      <c r="F35" s="1573">
        <v>6.5146159572804621</v>
      </c>
      <c r="G35" s="1575"/>
      <c r="H35" s="1574"/>
      <c r="I35" s="1550"/>
    </row>
    <row r="36" spans="1:9" ht="14.25" hidden="1" customHeight="1" thickBot="1">
      <c r="A36" s="1576"/>
      <c r="B36" s="1577"/>
      <c r="C36" s="1578"/>
      <c r="D36" s="1578"/>
      <c r="E36" s="1578"/>
      <c r="F36" s="1579"/>
      <c r="G36" s="1575"/>
      <c r="H36" s="1574"/>
      <c r="I36" s="1550"/>
    </row>
    <row r="37" spans="1:9" ht="14.25" hidden="1" customHeight="1" thickTop="1">
      <c r="A37" s="1580" t="s">
        <v>1303</v>
      </c>
      <c r="B37" s="1581"/>
      <c r="C37" s="1582"/>
      <c r="D37" s="1582"/>
      <c r="E37" s="1582"/>
      <c r="F37" s="1583"/>
      <c r="H37" s="1574"/>
      <c r="I37" s="1550"/>
    </row>
    <row r="38" spans="1:9" ht="12.75" hidden="1" customHeight="1">
      <c r="A38" s="1584" t="s">
        <v>1304</v>
      </c>
      <c r="D38" s="1550"/>
    </row>
    <row r="39" spans="1:9" ht="12.75" hidden="1" customHeight="1">
      <c r="A39" s="1584" t="s">
        <v>1305</v>
      </c>
      <c r="D39" s="1550"/>
    </row>
    <row r="40" spans="1:9" ht="15" hidden="1" customHeight="1">
      <c r="A40" s="1585" t="s">
        <v>1306</v>
      </c>
      <c r="D40" s="1550"/>
    </row>
    <row r="41" spans="1:9" ht="15" hidden="1" customHeight="1">
      <c r="A41" s="1584"/>
      <c r="D41" s="1550"/>
    </row>
    <row r="42" spans="1:9" ht="16.5" customHeight="1">
      <c r="A42" s="1586" t="s">
        <v>1307</v>
      </c>
    </row>
    <row r="43" spans="1:9" ht="15" customHeight="1" thickBot="1">
      <c r="A43" s="1551"/>
    </row>
    <row r="44" spans="1:9" ht="15" customHeight="1" thickTop="1">
      <c r="A44" s="1587" t="s">
        <v>1308</v>
      </c>
      <c r="B44" s="1588" t="s">
        <v>1286</v>
      </c>
      <c r="C44" s="1589" t="s">
        <v>1287</v>
      </c>
      <c r="D44" s="1589" t="s">
        <v>1288</v>
      </c>
      <c r="E44" s="1589" t="s">
        <v>1289</v>
      </c>
      <c r="F44" s="1590" t="s">
        <v>1230</v>
      </c>
    </row>
    <row r="45" spans="1:9" ht="15" customHeight="1">
      <c r="A45" s="1591" t="s">
        <v>1290</v>
      </c>
      <c r="B45" s="1592" t="s">
        <v>1309</v>
      </c>
      <c r="C45" s="1593" t="s">
        <v>1292</v>
      </c>
      <c r="D45" s="1593" t="s">
        <v>1293</v>
      </c>
      <c r="E45" s="1593" t="s">
        <v>1294</v>
      </c>
      <c r="F45" s="1594" t="s">
        <v>1294</v>
      </c>
    </row>
    <row r="46" spans="1:9" ht="15" customHeight="1">
      <c r="A46" s="1595"/>
      <c r="B46" s="1592"/>
      <c r="C46" s="1593" t="s">
        <v>1310</v>
      </c>
      <c r="D46" s="1593" t="s">
        <v>1311</v>
      </c>
      <c r="E46" s="1593" t="s">
        <v>1027</v>
      </c>
      <c r="F46" s="1594" t="s">
        <v>1297</v>
      </c>
    </row>
    <row r="47" spans="1:9" ht="15" customHeight="1" thickBot="1">
      <c r="A47" s="1595"/>
      <c r="B47" s="1592" t="s">
        <v>1298</v>
      </c>
      <c r="C47" s="1596">
        <v>2</v>
      </c>
      <c r="D47" s="1596">
        <v>3</v>
      </c>
      <c r="E47" s="1596" t="s">
        <v>1299</v>
      </c>
      <c r="F47" s="1597" t="s">
        <v>1300</v>
      </c>
    </row>
    <row r="48" spans="1:9" ht="15" customHeight="1" thickBot="1">
      <c r="A48" s="1598"/>
      <c r="B48" s="1599" t="s">
        <v>74</v>
      </c>
      <c r="C48" s="1600"/>
      <c r="D48" s="1600"/>
      <c r="E48" s="1600"/>
      <c r="F48" s="1601" t="s">
        <v>1301</v>
      </c>
    </row>
    <row r="49" spans="1:9" ht="14.25" hidden="1" customHeight="1" thickTop="1">
      <c r="A49" s="1602"/>
      <c r="B49" s="1571"/>
      <c r="C49" s="1572"/>
      <c r="D49" s="1572"/>
      <c r="E49" s="1572"/>
      <c r="F49" s="1573"/>
      <c r="G49" s="1575"/>
      <c r="H49" s="1574"/>
      <c r="I49" s="1550"/>
    </row>
    <row r="50" spans="1:9" ht="14.25" hidden="1" customHeight="1">
      <c r="A50" s="1602">
        <v>38729</v>
      </c>
      <c r="B50" s="1571">
        <v>153782.29360303676</v>
      </c>
      <c r="C50" s="1572">
        <v>7228.4275840328573</v>
      </c>
      <c r="D50" s="1572">
        <v>6151.2917441214704</v>
      </c>
      <c r="E50" s="1572">
        <v>1077.1358399113869</v>
      </c>
      <c r="F50" s="1573">
        <v>4.7004290381387026</v>
      </c>
      <c r="G50" s="1575"/>
      <c r="H50" s="1574"/>
      <c r="I50" s="1550"/>
    </row>
    <row r="51" spans="1:9" ht="14.25" hidden="1" customHeight="1">
      <c r="A51" s="1602">
        <v>38736</v>
      </c>
      <c r="B51" s="1571">
        <v>154523.87104306812</v>
      </c>
      <c r="C51" s="1572">
        <v>8157.2500000018554</v>
      </c>
      <c r="D51" s="1572">
        <v>6180.9548417227252</v>
      </c>
      <c r="E51" s="1572">
        <v>1976.2951582791302</v>
      </c>
      <c r="F51" s="1573">
        <v>5.278957836701041</v>
      </c>
      <c r="G51" s="1575"/>
      <c r="H51" s="1574"/>
      <c r="I51" s="1550"/>
    </row>
    <row r="52" spans="1:9" ht="14.25" hidden="1" customHeight="1">
      <c r="A52" s="1602">
        <v>38743</v>
      </c>
      <c r="B52" s="1571">
        <v>155377.32746078051</v>
      </c>
      <c r="C52" s="1572">
        <v>8058.3304197925554</v>
      </c>
      <c r="D52" s="1572">
        <v>6215.0930984312208</v>
      </c>
      <c r="E52" s="1572">
        <v>1843.2373213613346</v>
      </c>
      <c r="F52" s="1573">
        <v>5.1862974807740816</v>
      </c>
      <c r="G52" s="1575"/>
      <c r="H52" s="1574"/>
      <c r="I52" s="1550"/>
    </row>
    <row r="53" spans="1:9" ht="14.25" hidden="1" customHeight="1">
      <c r="A53" s="1602">
        <v>38750</v>
      </c>
      <c r="B53" s="1571">
        <v>156903.38801180452</v>
      </c>
      <c r="C53" s="1572">
        <v>7948.6677768985737</v>
      </c>
      <c r="D53" s="1572">
        <v>6276.1355204721813</v>
      </c>
      <c r="E53" s="1572">
        <v>1672.5322564263925</v>
      </c>
      <c r="F53" s="1573">
        <v>5.0659631239451377</v>
      </c>
      <c r="G53" s="1575"/>
      <c r="H53" s="1574"/>
      <c r="I53" s="1550"/>
    </row>
    <row r="54" spans="1:9" ht="14.25" hidden="1" customHeight="1">
      <c r="A54" s="1602">
        <v>38757</v>
      </c>
      <c r="B54" s="1571">
        <v>157942.65144743051</v>
      </c>
      <c r="C54" s="1572">
        <v>7095.3367647868563</v>
      </c>
      <c r="D54" s="1572">
        <v>6317.7060578972205</v>
      </c>
      <c r="E54" s="1572">
        <v>777</v>
      </c>
      <c r="F54" s="1573">
        <v>4.4923500395638607</v>
      </c>
      <c r="G54" s="1575"/>
      <c r="H54" s="1574"/>
      <c r="I54" s="1550"/>
    </row>
    <row r="55" spans="1:9" ht="14.25" hidden="1" customHeight="1">
      <c r="A55" s="1602">
        <v>38764</v>
      </c>
      <c r="B55" s="1571">
        <v>157892.96292783719</v>
      </c>
      <c r="C55" s="1572">
        <v>6892.2547491041414</v>
      </c>
      <c r="D55" s="1572">
        <v>6315.7185171134879</v>
      </c>
      <c r="E55" s="1572">
        <v>576</v>
      </c>
      <c r="F55" s="1573">
        <v>4.3651437159071822</v>
      </c>
      <c r="G55" s="1575"/>
      <c r="H55" s="1574"/>
      <c r="I55" s="1550"/>
    </row>
    <row r="56" spans="1:9" ht="14.25" hidden="1" customHeight="1">
      <c r="A56" s="1602">
        <v>38771</v>
      </c>
      <c r="B56" s="1571">
        <v>156840.653875863</v>
      </c>
      <c r="C56" s="1572">
        <v>8233.083239876476</v>
      </c>
      <c r="D56" s="1572">
        <v>6273.6261550345207</v>
      </c>
      <c r="E56" s="1572">
        <v>1959.4570848419553</v>
      </c>
      <c r="F56" s="1573">
        <v>5.2493298366333239</v>
      </c>
      <c r="G56" s="1575"/>
      <c r="H56" s="1574"/>
      <c r="I56" s="1550"/>
    </row>
    <row r="57" spans="1:9" ht="14.25" hidden="1" customHeight="1">
      <c r="A57" s="1602">
        <v>38778</v>
      </c>
      <c r="B57" s="1571">
        <v>157035.26206326496</v>
      </c>
      <c r="C57" s="1572">
        <v>8415.2168169094275</v>
      </c>
      <c r="D57" s="1572">
        <v>6281.4104825305985</v>
      </c>
      <c r="E57" s="1572">
        <v>2133.806334378829</v>
      </c>
      <c r="F57" s="1573">
        <v>5.3588071279934439</v>
      </c>
      <c r="G57" s="1575"/>
      <c r="H57" s="1574"/>
      <c r="I57" s="1550"/>
    </row>
    <row r="58" spans="1:9" ht="14.25" hidden="1" customHeight="1">
      <c r="A58" s="1602">
        <v>38785</v>
      </c>
      <c r="B58" s="1571">
        <v>159496.62756170644</v>
      </c>
      <c r="C58" s="1572">
        <v>8479.902991244473</v>
      </c>
      <c r="D58" s="1572">
        <v>6379.8651024682576</v>
      </c>
      <c r="E58" s="1572">
        <v>2100.0378887762154</v>
      </c>
      <c r="F58" s="1573">
        <v>5.3166660141223039</v>
      </c>
      <c r="G58" s="1575"/>
      <c r="H58" s="1574"/>
      <c r="I58" s="1550"/>
    </row>
    <row r="59" spans="1:9" ht="14.25" hidden="1" customHeight="1">
      <c r="A59" s="1602">
        <v>38792</v>
      </c>
      <c r="B59" s="1571">
        <v>160653.33505307449</v>
      </c>
      <c r="C59" s="1572">
        <v>8150.7274809736573</v>
      </c>
      <c r="D59" s="1572">
        <v>6426.1334021229795</v>
      </c>
      <c r="E59" s="1572">
        <v>1724.5940788506778</v>
      </c>
      <c r="F59" s="1573">
        <v>5.0734878789045545</v>
      </c>
      <c r="G59" s="1575"/>
      <c r="H59" s="1574"/>
      <c r="I59" s="1550"/>
    </row>
    <row r="60" spans="1:9" ht="14.25" hidden="1" customHeight="1">
      <c r="A60" s="1602">
        <v>38799</v>
      </c>
      <c r="B60" s="1571">
        <v>160906.33715823339</v>
      </c>
      <c r="C60" s="1572">
        <v>8127.6852659412689</v>
      </c>
      <c r="D60" s="1572">
        <v>6436.2534863293358</v>
      </c>
      <c r="E60" s="1572">
        <v>1691.83177961193</v>
      </c>
      <c r="F60" s="1573">
        <v>5.0511902821755239</v>
      </c>
      <c r="G60" s="1575"/>
      <c r="H60" s="1574"/>
      <c r="I60" s="1550"/>
    </row>
    <row r="61" spans="1:9" ht="14.25" hidden="1" customHeight="1">
      <c r="A61" s="1602">
        <v>38806</v>
      </c>
      <c r="B61" s="1571">
        <v>160723.57525876223</v>
      </c>
      <c r="C61" s="1572">
        <v>8134.2152993961672</v>
      </c>
      <c r="D61" s="1572">
        <v>6428.9430103504892</v>
      </c>
      <c r="E61" s="1572">
        <v>1705.272289045678</v>
      </c>
      <c r="F61" s="1573">
        <v>5.0609969858499095</v>
      </c>
      <c r="G61" s="1575"/>
      <c r="H61" s="1574"/>
      <c r="I61" s="1550"/>
    </row>
    <row r="62" spans="1:9" ht="14.25" hidden="1" customHeight="1">
      <c r="A62" s="1602">
        <v>38813</v>
      </c>
      <c r="B62" s="1571">
        <v>161090.5443426948</v>
      </c>
      <c r="C62" s="1572">
        <v>8215.7013735183355</v>
      </c>
      <c r="D62" s="1572">
        <v>6443.6217737077923</v>
      </c>
      <c r="E62" s="1572">
        <v>1772.0795998105432</v>
      </c>
      <c r="F62" s="1573">
        <v>5.1000519037546503</v>
      </c>
      <c r="G62" s="1575"/>
      <c r="H62" s="1574"/>
      <c r="I62" s="1550"/>
    </row>
    <row r="63" spans="1:9" ht="14.25" hidden="1" customHeight="1">
      <c r="A63" s="1602">
        <v>38820</v>
      </c>
      <c r="B63" s="1571">
        <v>162373.00752694369</v>
      </c>
      <c r="C63" s="1572">
        <v>7925.8350080035643</v>
      </c>
      <c r="D63" s="1572">
        <v>6494.9203010777483</v>
      </c>
      <c r="E63" s="1572">
        <v>1430.9147069258161</v>
      </c>
      <c r="F63" s="1573">
        <v>4.881251587760592</v>
      </c>
      <c r="G63" s="1575"/>
      <c r="H63" s="1574"/>
      <c r="I63" s="1550"/>
    </row>
    <row r="64" spans="1:9" ht="14.25" hidden="1" customHeight="1">
      <c r="A64" s="1602">
        <v>38827</v>
      </c>
      <c r="B64" s="1571">
        <v>161097.05880838764</v>
      </c>
      <c r="C64" s="1572">
        <v>8076.0716443789252</v>
      </c>
      <c r="D64" s="1572">
        <v>6443.8823523355059</v>
      </c>
      <c r="E64" s="1572">
        <v>1632.1892920434193</v>
      </c>
      <c r="F64" s="1573">
        <v>5.0131713788671846</v>
      </c>
      <c r="G64" s="1575"/>
      <c r="H64" s="1574"/>
      <c r="I64" s="1550"/>
    </row>
    <row r="65" spans="1:9" ht="14.25" hidden="1" customHeight="1">
      <c r="A65" s="1602">
        <v>38834</v>
      </c>
      <c r="B65" s="1571">
        <v>161113.22089947766</v>
      </c>
      <c r="C65" s="1572">
        <v>7884.0995082156987</v>
      </c>
      <c r="D65" s="1572">
        <v>6444.5288359791066</v>
      </c>
      <c r="E65" s="1572">
        <v>1438.5706722365921</v>
      </c>
      <c r="F65" s="1573">
        <v>4.8935149233561503</v>
      </c>
      <c r="G65" s="1575"/>
      <c r="H65" s="1574"/>
      <c r="I65" s="1550"/>
    </row>
    <row r="66" spans="1:9" ht="14.25" hidden="1" customHeight="1">
      <c r="A66" s="1602">
        <v>38841</v>
      </c>
      <c r="B66" s="1571">
        <v>161698.56550938345</v>
      </c>
      <c r="C66" s="1572">
        <v>7919.582225340705</v>
      </c>
      <c r="D66" s="1572">
        <v>6467.9426203753383</v>
      </c>
      <c r="E66" s="1572">
        <v>1451.6396049653667</v>
      </c>
      <c r="F66" s="1573">
        <v>4.8977442690307154</v>
      </c>
      <c r="G66" s="1575"/>
      <c r="H66" s="1574"/>
      <c r="I66" s="1550"/>
    </row>
    <row r="67" spans="1:9" ht="14.25" hidden="1" customHeight="1">
      <c r="A67" s="1602">
        <v>38848</v>
      </c>
      <c r="B67" s="1571">
        <v>162608.5508347479</v>
      </c>
      <c r="C67" s="1572">
        <v>7549.8429559596707</v>
      </c>
      <c r="D67" s="1572">
        <v>6504.3420333899167</v>
      </c>
      <c r="E67" s="1572">
        <v>1045.500922569754</v>
      </c>
      <c r="F67" s="1573">
        <v>4.6429556854191834</v>
      </c>
      <c r="G67" s="1575"/>
      <c r="H67" s="1574"/>
      <c r="I67" s="1550"/>
    </row>
    <row r="68" spans="1:9" ht="14.25" hidden="1" customHeight="1">
      <c r="A68" s="1602">
        <v>38855</v>
      </c>
      <c r="B68" s="1571">
        <v>162454.26037565761</v>
      </c>
      <c r="C68" s="1572">
        <v>7399.187091392273</v>
      </c>
      <c r="D68" s="1572">
        <v>6498.1704150263049</v>
      </c>
      <c r="E68" s="1572">
        <v>901.01667636596812</v>
      </c>
      <c r="F68" s="1573">
        <v>4.5546279145172717</v>
      </c>
      <c r="G68" s="1575"/>
      <c r="H68" s="1574"/>
      <c r="I68" s="1550"/>
    </row>
    <row r="69" spans="1:9" ht="14.25" hidden="1" customHeight="1">
      <c r="A69" s="1602">
        <v>38862</v>
      </c>
      <c r="B69" s="1571">
        <v>158465.99687259767</v>
      </c>
      <c r="C69" s="1572">
        <v>7796.4720659952136</v>
      </c>
      <c r="D69" s="1572">
        <v>6338.6398749039072</v>
      </c>
      <c r="E69" s="1572">
        <v>1456.8321910913064</v>
      </c>
      <c r="F69" s="1573">
        <v>4.9199653047734682</v>
      </c>
      <c r="G69" s="1575"/>
      <c r="H69" s="1574"/>
      <c r="I69" s="1550"/>
    </row>
    <row r="70" spans="1:9" ht="14.25" hidden="1" customHeight="1">
      <c r="A70" s="1602">
        <v>38869</v>
      </c>
      <c r="B70" s="1571">
        <v>158189.36168942397</v>
      </c>
      <c r="C70" s="1572">
        <v>7274.3285202963025</v>
      </c>
      <c r="D70" s="1572">
        <v>6327.5744675769593</v>
      </c>
      <c r="E70" s="1572">
        <v>945.75405271934324</v>
      </c>
      <c r="F70" s="1573">
        <v>4.5984941355147022</v>
      </c>
      <c r="G70" s="1575"/>
      <c r="H70" s="1574"/>
      <c r="I70" s="1550"/>
    </row>
    <row r="71" spans="1:9" ht="14.25" hidden="1" customHeight="1" thickTop="1">
      <c r="A71" s="1602">
        <v>38876</v>
      </c>
      <c r="B71" s="1571">
        <v>159093.19034403467</v>
      </c>
      <c r="C71" s="1572">
        <v>7155.3168934321102</v>
      </c>
      <c r="D71" s="1572">
        <v>6363.7276137613871</v>
      </c>
      <c r="E71" s="1572">
        <v>790.58927967072304</v>
      </c>
      <c r="F71" s="1573">
        <v>4.4975632696527947</v>
      </c>
      <c r="G71" s="1575"/>
      <c r="H71" s="1574"/>
      <c r="I71" s="1550"/>
    </row>
    <row r="72" spans="1:9" ht="14.25" hidden="1" customHeight="1">
      <c r="A72" s="1602">
        <v>38883</v>
      </c>
      <c r="B72" s="1571">
        <v>158591.51480510586</v>
      </c>
      <c r="C72" s="1572">
        <v>7817.6053724801659</v>
      </c>
      <c r="D72" s="1572">
        <v>6343.6605922042345</v>
      </c>
      <c r="E72" s="1572">
        <v>1473.9447802759314</v>
      </c>
      <c r="F72" s="1573">
        <v>4.9293969996359968</v>
      </c>
      <c r="G72" s="1575"/>
      <c r="H72" s="1574"/>
      <c r="I72" s="1550"/>
    </row>
    <row r="73" spans="1:9" ht="14.25" hidden="1" customHeight="1">
      <c r="A73" s="1602">
        <v>38890</v>
      </c>
      <c r="B73" s="1571">
        <v>159947.79499417657</v>
      </c>
      <c r="C73" s="1572">
        <v>7862.3074926993095</v>
      </c>
      <c r="D73" s="1572">
        <v>6397.9117997670628</v>
      </c>
      <c r="E73" s="1572">
        <v>1464.3956929322467</v>
      </c>
      <c r="F73" s="1573">
        <v>4.9155460336202594</v>
      </c>
      <c r="G73" s="1575"/>
      <c r="H73" s="1574"/>
      <c r="I73" s="1550"/>
    </row>
    <row r="74" spans="1:9" ht="14.25" hidden="1" customHeight="1">
      <c r="A74" s="1602">
        <v>38897</v>
      </c>
      <c r="B74" s="1571">
        <v>160467.4700069761</v>
      </c>
      <c r="C74" s="1572">
        <v>8056.7026266599287</v>
      </c>
      <c r="D74" s="1572">
        <v>6418.698800279044</v>
      </c>
      <c r="E74" s="1572">
        <v>1638.0038263808847</v>
      </c>
      <c r="F74" s="1573">
        <v>5.020770020434469</v>
      </c>
      <c r="G74" s="1575"/>
      <c r="H74" s="1574"/>
      <c r="I74" s="1550"/>
    </row>
    <row r="75" spans="1:9" ht="14.25" hidden="1" customHeight="1">
      <c r="A75" s="1602">
        <v>38904</v>
      </c>
      <c r="B75" s="1571">
        <v>161149.77941564805</v>
      </c>
      <c r="C75" s="1572">
        <v>9014.3925631275943</v>
      </c>
      <c r="D75" s="1572">
        <v>6445.991176625922</v>
      </c>
      <c r="E75" s="1572">
        <v>2568.4013865016723</v>
      </c>
      <c r="F75" s="1573">
        <v>5.5937976432949892</v>
      </c>
      <c r="G75" s="1575"/>
      <c r="H75" s="1574"/>
      <c r="I75" s="1550"/>
    </row>
    <row r="76" spans="1:9" ht="14.25" hidden="1" customHeight="1">
      <c r="A76" s="1602">
        <v>38911</v>
      </c>
      <c r="B76" s="1571">
        <v>165064.69805548631</v>
      </c>
      <c r="C76" s="1572">
        <v>8904.4394299534488</v>
      </c>
      <c r="D76" s="1572">
        <v>6602.5879222194526</v>
      </c>
      <c r="E76" s="1572">
        <v>2300.8515077339962</v>
      </c>
      <c r="F76" s="1573">
        <v>5.3945147174717096</v>
      </c>
      <c r="G76" s="1575"/>
      <c r="H76" s="1574"/>
      <c r="I76" s="1550"/>
    </row>
    <row r="77" spans="1:9" ht="14.25" hidden="1" customHeight="1">
      <c r="A77" s="1602">
        <v>38918</v>
      </c>
      <c r="B77" s="1571">
        <v>170488.70489670167</v>
      </c>
      <c r="C77" s="1572">
        <v>8712.0113657588627</v>
      </c>
      <c r="D77" s="1572">
        <v>6819.5481958680675</v>
      </c>
      <c r="E77" s="1572">
        <v>1892.4631698907951</v>
      </c>
      <c r="F77" s="1573">
        <v>5.1100226088510849</v>
      </c>
      <c r="G77" s="1575"/>
      <c r="H77" s="1574"/>
      <c r="I77" s="1550"/>
    </row>
    <row r="78" spans="1:9" ht="14.25" hidden="1" customHeight="1">
      <c r="A78" s="1602">
        <v>38925</v>
      </c>
      <c r="B78" s="1571">
        <v>171285.85861932192</v>
      </c>
      <c r="C78" s="1572">
        <v>8189.6413357018964</v>
      </c>
      <c r="D78" s="1572">
        <v>6851.434344772877</v>
      </c>
      <c r="E78" s="1572">
        <v>1339.2069909290194</v>
      </c>
      <c r="F78" s="1573">
        <v>4.781271146208951</v>
      </c>
      <c r="G78" s="1575"/>
      <c r="H78" s="1574"/>
      <c r="I78" s="1550"/>
    </row>
    <row r="79" spans="1:9" ht="14.25" hidden="1" customHeight="1">
      <c r="A79" s="1602">
        <v>38932</v>
      </c>
      <c r="B79" s="1571">
        <v>173271.54989305936</v>
      </c>
      <c r="C79" s="1572">
        <v>7993.0646982967537</v>
      </c>
      <c r="D79" s="1572">
        <v>6930.8619957223746</v>
      </c>
      <c r="E79" s="1572">
        <v>1062.2027025743791</v>
      </c>
      <c r="F79" s="1573">
        <v>4.6130277608932078</v>
      </c>
      <c r="G79" s="1575"/>
      <c r="H79" s="1574"/>
      <c r="I79" s="1550"/>
    </row>
    <row r="80" spans="1:9" ht="14.25" hidden="1" customHeight="1">
      <c r="A80" s="1602">
        <v>38939</v>
      </c>
      <c r="B80" s="1571">
        <v>174234.69392788576</v>
      </c>
      <c r="C80" s="1572">
        <v>7686.0319239756782</v>
      </c>
      <c r="D80" s="1572">
        <v>6969.3877571154308</v>
      </c>
      <c r="E80" s="1572">
        <v>716.64416686024742</v>
      </c>
      <c r="F80" s="1573">
        <v>4.4113096827643634</v>
      </c>
      <c r="G80" s="1575"/>
      <c r="H80" s="1574"/>
      <c r="I80" s="1550"/>
    </row>
    <row r="81" spans="1:9" ht="14.25" hidden="1" customHeight="1">
      <c r="A81" s="1602">
        <v>38946</v>
      </c>
      <c r="B81" s="1571">
        <v>174004.14017262176</v>
      </c>
      <c r="C81" s="1572">
        <v>7290.47508382661</v>
      </c>
      <c r="D81" s="1572">
        <v>6960.1656069048704</v>
      </c>
      <c r="E81" s="1572">
        <v>330.30947692173959</v>
      </c>
      <c r="F81" s="1573">
        <v>4.189828515915802</v>
      </c>
      <c r="G81" s="1575"/>
      <c r="H81" s="1574"/>
      <c r="I81" s="1550"/>
    </row>
    <row r="82" spans="1:9" ht="14.25" hidden="1" customHeight="1">
      <c r="A82" s="1602">
        <v>38953</v>
      </c>
      <c r="B82" s="1571">
        <v>173721.48505651942</v>
      </c>
      <c r="C82" s="1572">
        <v>7563.4244622118276</v>
      </c>
      <c r="D82" s="1572">
        <v>6948.8594022607767</v>
      </c>
      <c r="E82" s="1572">
        <v>613.5650599510509</v>
      </c>
      <c r="F82" s="1573">
        <v>4.3537645673194101</v>
      </c>
      <c r="G82" s="1575"/>
      <c r="H82" s="1574"/>
      <c r="I82" s="1550"/>
    </row>
    <row r="83" spans="1:9" ht="14.25" hidden="1" customHeight="1">
      <c r="A83" s="1602">
        <v>38960</v>
      </c>
      <c r="B83" s="1571">
        <v>174605.59156800696</v>
      </c>
      <c r="C83" s="1572">
        <v>7051.4789576627199</v>
      </c>
      <c r="D83" s="1572">
        <v>6984.2236627202783</v>
      </c>
      <c r="E83" s="1572">
        <v>67.255294942441651</v>
      </c>
      <c r="F83" s="1573">
        <v>4.0385184084532861</v>
      </c>
      <c r="G83" s="1575"/>
      <c r="H83" s="1574"/>
      <c r="I83" s="1550"/>
    </row>
    <row r="84" spans="1:9" ht="14.25" hidden="1" customHeight="1">
      <c r="A84" s="1602">
        <v>38967</v>
      </c>
      <c r="B84" s="1571">
        <v>175519.41155745526</v>
      </c>
      <c r="C84" s="1572">
        <v>7183.5427712820001</v>
      </c>
      <c r="D84" s="1572">
        <v>7020.7764622982104</v>
      </c>
      <c r="E84" s="1572">
        <v>162.76630898378971</v>
      </c>
      <c r="F84" s="1573">
        <v>4.092734078549773</v>
      </c>
      <c r="G84" s="1575"/>
      <c r="H84" s="1574"/>
      <c r="I84" s="1550"/>
    </row>
    <row r="85" spans="1:9" ht="14.25" hidden="1" customHeight="1">
      <c r="A85" s="1602">
        <v>38974</v>
      </c>
      <c r="B85" s="1571">
        <v>176291.68867709188</v>
      </c>
      <c r="C85" s="1572">
        <v>7328.0753868838956</v>
      </c>
      <c r="D85" s="1572">
        <v>7051.6675470836753</v>
      </c>
      <c r="E85" s="1572">
        <v>276.40783980022024</v>
      </c>
      <c r="F85" s="1573">
        <v>4.1567900573614152</v>
      </c>
      <c r="G85" s="1575"/>
      <c r="H85" s="1574"/>
      <c r="I85" s="1550"/>
    </row>
    <row r="86" spans="1:9" ht="14.25" hidden="1" customHeight="1">
      <c r="A86" s="1602">
        <v>38981</v>
      </c>
      <c r="B86" s="1571">
        <v>175326.74342566461</v>
      </c>
      <c r="C86" s="1572">
        <v>7748.410919611707</v>
      </c>
      <c r="D86" s="1572">
        <v>7013.0697370265843</v>
      </c>
      <c r="E86" s="1572">
        <v>735.34118258512262</v>
      </c>
      <c r="F86" s="1573">
        <v>4.4194118753462703</v>
      </c>
      <c r="G86" s="1575"/>
      <c r="H86" s="1574"/>
      <c r="I86" s="1550"/>
    </row>
    <row r="87" spans="1:9" ht="14.25" hidden="1" customHeight="1">
      <c r="A87" s="1602">
        <v>38988</v>
      </c>
      <c r="B87" s="1571">
        <v>176297.54468759859</v>
      </c>
      <c r="C87" s="1572">
        <v>7878.3848199870326</v>
      </c>
      <c r="D87" s="1572">
        <v>7051.9017875039435</v>
      </c>
      <c r="E87" s="1572">
        <v>826.48303248308912</v>
      </c>
      <c r="F87" s="1573">
        <v>4.4688000811058526</v>
      </c>
      <c r="G87" s="1575"/>
      <c r="H87" s="1574"/>
      <c r="I87" s="1550"/>
    </row>
    <row r="88" spans="1:9" ht="14.25" hidden="1" customHeight="1">
      <c r="A88" s="1602">
        <v>38995</v>
      </c>
      <c r="B88" s="1571">
        <v>175017.23956124578</v>
      </c>
      <c r="C88" s="1572">
        <v>7553.232730269342</v>
      </c>
      <c r="D88" s="1572">
        <v>7000.6895824498315</v>
      </c>
      <c r="E88" s="1572">
        <v>551.54314781951052</v>
      </c>
      <c r="F88" s="1573">
        <v>4.3157078406702629</v>
      </c>
      <c r="G88" s="1575"/>
      <c r="H88" s="1574"/>
      <c r="I88" s="1550"/>
    </row>
    <row r="89" spans="1:9" ht="14.25" hidden="1" customHeight="1">
      <c r="A89" s="1602">
        <v>39002</v>
      </c>
      <c r="B89" s="1603">
        <v>177148.8601876598</v>
      </c>
      <c r="C89" s="1572">
        <v>7218.0139377776186</v>
      </c>
      <c r="D89" s="1572">
        <v>7085.9544075063923</v>
      </c>
      <c r="E89" s="1572">
        <v>132.05953027122632</v>
      </c>
      <c r="F89" s="1604">
        <v>4.0745472085630876</v>
      </c>
      <c r="G89" s="1575"/>
      <c r="H89" s="1574"/>
      <c r="I89" s="1550"/>
    </row>
    <row r="90" spans="1:9" ht="14.25" hidden="1" customHeight="1">
      <c r="A90" s="1602">
        <v>39009</v>
      </c>
      <c r="B90" s="1603">
        <v>175199.79006843019</v>
      </c>
      <c r="C90" s="1572">
        <v>7419.4180475158346</v>
      </c>
      <c r="D90" s="1572">
        <v>7007.9916027372074</v>
      </c>
      <c r="E90" s="1572">
        <v>411.42644477862723</v>
      </c>
      <c r="F90" s="1604">
        <v>4.234832727035764</v>
      </c>
      <c r="G90" s="1575"/>
      <c r="H90" s="1574"/>
      <c r="I90" s="1550"/>
    </row>
    <row r="91" spans="1:9" ht="14.25" hidden="1" customHeight="1">
      <c r="A91" s="1602">
        <v>39016</v>
      </c>
      <c r="B91" s="1603">
        <v>174732.85078069891</v>
      </c>
      <c r="C91" s="1572">
        <v>7311.6011365986033</v>
      </c>
      <c r="D91" s="1572">
        <v>6989.3140312279565</v>
      </c>
      <c r="E91" s="1572">
        <v>323.28710537064671</v>
      </c>
      <c r="F91" s="1604">
        <v>4.1844456288160368</v>
      </c>
      <c r="G91" s="1575"/>
      <c r="H91" s="1574"/>
      <c r="I91" s="1550"/>
    </row>
    <row r="92" spans="1:9" ht="14.25" hidden="1" customHeight="1">
      <c r="A92" s="1602">
        <v>39023</v>
      </c>
      <c r="B92" s="1603">
        <v>173700.15988749266</v>
      </c>
      <c r="C92" s="1572">
        <v>7495.0508483375625</v>
      </c>
      <c r="D92" s="1572">
        <v>6948.0063954997067</v>
      </c>
      <c r="E92" s="1572">
        <v>547.04445283785572</v>
      </c>
      <c r="F92" s="1604">
        <v>4.3149360675270438</v>
      </c>
      <c r="G92" s="1575"/>
      <c r="H92" s="1574"/>
      <c r="I92" s="1550"/>
    </row>
    <row r="93" spans="1:9" ht="14.25" hidden="1" customHeight="1">
      <c r="A93" s="1602">
        <v>39030</v>
      </c>
      <c r="B93" s="1603">
        <v>175300.75223542133</v>
      </c>
      <c r="C93" s="1572">
        <v>7633.7547077063891</v>
      </c>
      <c r="D93" s="1572">
        <v>7012.0300894168531</v>
      </c>
      <c r="E93" s="1572">
        <v>621.72461828953601</v>
      </c>
      <c r="F93" s="1604">
        <v>4.3546616944658556</v>
      </c>
      <c r="G93" s="1575"/>
      <c r="H93" s="1574"/>
      <c r="I93" s="1550"/>
    </row>
    <row r="94" spans="1:9" ht="14.25" hidden="1" customHeight="1">
      <c r="A94" s="1602">
        <v>39037</v>
      </c>
      <c r="B94" s="1603">
        <v>175128.61295668042</v>
      </c>
      <c r="C94" s="1572">
        <v>7718.7052684523051</v>
      </c>
      <c r="D94" s="1572">
        <v>7005.1445182672169</v>
      </c>
      <c r="E94" s="1572">
        <v>713.56075018508818</v>
      </c>
      <c r="F94" s="1604">
        <v>4.4074495527247706</v>
      </c>
      <c r="G94" s="1575"/>
      <c r="H94" s="1574"/>
      <c r="I94" s="1550"/>
    </row>
    <row r="95" spans="1:9" ht="14.25" hidden="1" customHeight="1">
      <c r="A95" s="1602">
        <v>39044</v>
      </c>
      <c r="B95" s="1603">
        <v>173699.00701796435</v>
      </c>
      <c r="C95" s="1572">
        <v>7633.6855278628136</v>
      </c>
      <c r="D95" s="1572">
        <v>6947.9602807185738</v>
      </c>
      <c r="E95" s="1572">
        <v>685.7252471442398</v>
      </c>
      <c r="F95" s="1604">
        <v>4.3947778740458316</v>
      </c>
      <c r="G95" s="1575"/>
      <c r="H95" s="1574"/>
      <c r="I95" s="1550"/>
    </row>
    <row r="96" spans="1:9" s="1611" customFormat="1" ht="14.25" hidden="1" customHeight="1">
      <c r="A96" s="1605">
        <v>39051</v>
      </c>
      <c r="B96" s="1606">
        <v>175348.59575334334</v>
      </c>
      <c r="C96" s="1607">
        <v>7406.1914208299995</v>
      </c>
      <c r="D96" s="1607">
        <v>7013.9438301337341</v>
      </c>
      <c r="E96" s="1607">
        <v>392.24759069626543</v>
      </c>
      <c r="F96" s="1608">
        <v>4.2236958836260241</v>
      </c>
      <c r="G96" s="1609"/>
      <c r="H96" s="1574"/>
      <c r="I96" s="1610"/>
    </row>
    <row r="97" spans="1:9" s="1611" customFormat="1" ht="14.25" hidden="1" customHeight="1">
      <c r="A97" s="1605">
        <v>39058</v>
      </c>
      <c r="B97" s="1612">
        <v>174123.62203482338</v>
      </c>
      <c r="C97" s="1607">
        <v>7165.379617132382</v>
      </c>
      <c r="D97" s="1607">
        <v>6964.9448813929348</v>
      </c>
      <c r="E97" s="1607">
        <v>200.43473573944721</v>
      </c>
      <c r="F97" s="1613">
        <v>4.115110594069403</v>
      </c>
      <c r="G97" s="1609"/>
      <c r="H97" s="1574"/>
      <c r="I97" s="1610"/>
    </row>
    <row r="98" spans="1:9" s="1611" customFormat="1" ht="14.25" hidden="1" customHeight="1">
      <c r="A98" s="1605">
        <v>39065</v>
      </c>
      <c r="B98" s="1612">
        <v>175467.18460444771</v>
      </c>
      <c r="C98" s="1607">
        <v>7566.2687555857128</v>
      </c>
      <c r="D98" s="1607">
        <v>7018.6873841779088</v>
      </c>
      <c r="E98" s="1607">
        <v>546.581371407804</v>
      </c>
      <c r="F98" s="1613">
        <v>4.3120705291090218</v>
      </c>
      <c r="G98" s="1609"/>
      <c r="H98" s="1574"/>
      <c r="I98" s="1610"/>
    </row>
    <row r="99" spans="1:9" s="1611" customFormat="1" ht="14.25" hidden="1" customHeight="1">
      <c r="A99" s="1605">
        <v>39072</v>
      </c>
      <c r="B99" s="1612">
        <v>174464.36429310087</v>
      </c>
      <c r="C99" s="1607">
        <v>8333.5843580790479</v>
      </c>
      <c r="D99" s="1607">
        <v>6978.5745717240352</v>
      </c>
      <c r="E99" s="1607">
        <v>1355.0097863550127</v>
      </c>
      <c r="F99" s="1613">
        <v>4.7766685144242933</v>
      </c>
      <c r="G99" s="1609"/>
      <c r="H99" s="1574"/>
      <c r="I99" s="1610"/>
    </row>
    <row r="100" spans="1:9" s="1611" customFormat="1" ht="14.25" hidden="1" customHeight="1">
      <c r="A100" s="1605">
        <v>39079</v>
      </c>
      <c r="B100" s="1606">
        <v>176164.39974517582</v>
      </c>
      <c r="C100" s="1607">
        <v>8176.6953529888096</v>
      </c>
      <c r="D100" s="1607">
        <v>7046.5759898070328</v>
      </c>
      <c r="E100" s="1607">
        <v>1130.1193631817769</v>
      </c>
      <c r="F100" s="1608">
        <v>4.6415140430282786</v>
      </c>
      <c r="G100" s="1609"/>
      <c r="H100" s="1574"/>
      <c r="I100" s="1610"/>
    </row>
    <row r="101" spans="1:9" s="1611" customFormat="1" ht="14.25" hidden="1" customHeight="1">
      <c r="A101" s="1605">
        <v>39086</v>
      </c>
      <c r="B101" s="1612">
        <v>178527.73221328968</v>
      </c>
      <c r="C101" s="1607">
        <v>8093.7594466471419</v>
      </c>
      <c r="D101" s="1607">
        <v>7141.1092885315875</v>
      </c>
      <c r="E101" s="1607">
        <v>952.6501581155544</v>
      </c>
      <c r="F101" s="1613">
        <v>4.5336146638424832</v>
      </c>
      <c r="G101" s="1609"/>
      <c r="H101" s="1574"/>
      <c r="I101" s="1610"/>
    </row>
    <row r="102" spans="1:9" s="1611" customFormat="1" ht="14.25" hidden="1" customHeight="1">
      <c r="A102" s="1605">
        <v>39093</v>
      </c>
      <c r="B102" s="1612">
        <v>178995.59129482164</v>
      </c>
      <c r="C102" s="1607">
        <v>8582.761108815288</v>
      </c>
      <c r="D102" s="1607">
        <v>7159.8236517928663</v>
      </c>
      <c r="E102" s="1607">
        <v>1422.9374570224218</v>
      </c>
      <c r="F102" s="1613">
        <v>4.7949567063239664</v>
      </c>
      <c r="G102" s="1609"/>
      <c r="H102" s="1574"/>
      <c r="I102" s="1610"/>
    </row>
    <row r="103" spans="1:9" s="1611" customFormat="1" ht="14.25" hidden="1" customHeight="1">
      <c r="A103" s="1605">
        <v>39100</v>
      </c>
      <c r="B103" s="1612">
        <v>179818.41122461425</v>
      </c>
      <c r="C103" s="1607">
        <v>7688.4964276509045</v>
      </c>
      <c r="D103" s="1607">
        <v>7192.7364489845704</v>
      </c>
      <c r="E103" s="1607">
        <v>494.75997866633406</v>
      </c>
      <c r="F103" s="1613">
        <v>4.2757003441917147</v>
      </c>
      <c r="G103" s="1609"/>
      <c r="H103" s="1574"/>
      <c r="I103" s="1610"/>
    </row>
    <row r="104" spans="1:9" s="1611" customFormat="1" ht="14.25" hidden="1" customHeight="1">
      <c r="A104" s="1614" t="s">
        <v>1312</v>
      </c>
      <c r="B104" s="1612">
        <v>180088.80514806672</v>
      </c>
      <c r="C104" s="1607">
        <v>7897.0850861200397</v>
      </c>
      <c r="D104" s="1607">
        <v>7203.5522059226687</v>
      </c>
      <c r="E104" s="1607">
        <v>693</v>
      </c>
      <c r="F104" s="1613">
        <v>4.3851060478896269</v>
      </c>
      <c r="G104" s="1609"/>
      <c r="H104" s="1574"/>
      <c r="I104" s="1610"/>
    </row>
    <row r="105" spans="1:9" s="1611" customFormat="1" ht="14.25" hidden="1" customHeight="1">
      <c r="A105" s="1605">
        <v>39128</v>
      </c>
      <c r="B105" s="1612">
        <v>180907.51140721224</v>
      </c>
      <c r="C105" s="1607">
        <v>7671.4459046173251</v>
      </c>
      <c r="D105" s="1607">
        <v>7236.3004562884898</v>
      </c>
      <c r="E105" s="1607">
        <v>435.1454483288353</v>
      </c>
      <c r="F105" s="1613">
        <v>4.2405347599687824</v>
      </c>
      <c r="G105" s="1609"/>
      <c r="H105" s="1574"/>
      <c r="I105" s="1610"/>
    </row>
    <row r="106" spans="1:9" s="1611" customFormat="1" ht="14.25" hidden="1" customHeight="1">
      <c r="A106" s="1605">
        <v>39142</v>
      </c>
      <c r="B106" s="1612">
        <v>179981.79809869052</v>
      </c>
      <c r="C106" s="1607">
        <v>7635.8967125198715</v>
      </c>
      <c r="D106" s="1607">
        <v>7199.271923947621</v>
      </c>
      <c r="E106" s="1607">
        <v>436.62478857225051</v>
      </c>
      <c r="F106" s="1613">
        <v>4.2425938584816416</v>
      </c>
      <c r="G106" s="1609"/>
      <c r="H106" s="1574"/>
      <c r="I106" s="1610"/>
    </row>
    <row r="107" spans="1:9" s="1611" customFormat="1" ht="14.25" hidden="1" customHeight="1">
      <c r="A107" s="1605">
        <v>39156</v>
      </c>
      <c r="B107" s="1612">
        <v>181648.64252537178</v>
      </c>
      <c r="C107" s="1607">
        <v>8491.6806607922299</v>
      </c>
      <c r="D107" s="1607">
        <v>7265.9457010148708</v>
      </c>
      <c r="E107" s="1607">
        <v>1225.7349597773591</v>
      </c>
      <c r="F107" s="1613">
        <v>4.6747834405677731</v>
      </c>
      <c r="G107" s="1609"/>
      <c r="H107" s="1574"/>
      <c r="I107" s="1610"/>
    </row>
    <row r="108" spans="1:9" s="1611" customFormat="1" ht="14.25" hidden="1" customHeight="1">
      <c r="A108" s="1605">
        <v>39170</v>
      </c>
      <c r="B108" s="1612">
        <v>182004.52363176932</v>
      </c>
      <c r="C108" s="1607">
        <v>8210.5656804087248</v>
      </c>
      <c r="D108" s="1607">
        <v>7280.180945270773</v>
      </c>
      <c r="E108" s="1607">
        <v>931.38473513795179</v>
      </c>
      <c r="F108" s="1613">
        <v>4.5111876982905672</v>
      </c>
      <c r="G108" s="1609"/>
      <c r="H108" s="1574"/>
      <c r="I108" s="1610"/>
    </row>
    <row r="109" spans="1:9" s="1611" customFormat="1" ht="14.25" hidden="1" customHeight="1">
      <c r="A109" s="1605">
        <v>39184</v>
      </c>
      <c r="B109" s="1612">
        <v>183784.21395314398</v>
      </c>
      <c r="C109" s="1607">
        <v>8325.2714346789344</v>
      </c>
      <c r="D109" s="1607">
        <v>7351.3685581257596</v>
      </c>
      <c r="E109" s="1607">
        <v>973.90287655317479</v>
      </c>
      <c r="F109" s="1613">
        <v>4.5299165013168503</v>
      </c>
      <c r="G109" s="1609"/>
      <c r="H109" s="1574"/>
      <c r="I109" s="1610"/>
    </row>
    <row r="110" spans="1:9" s="1611" customFormat="1" ht="14.25" hidden="1" customHeight="1">
      <c r="A110" s="1605">
        <v>39198</v>
      </c>
      <c r="B110" s="1612">
        <v>183933.15060789618</v>
      </c>
      <c r="C110" s="1607">
        <v>7971.8589464998822</v>
      </c>
      <c r="D110" s="1607">
        <v>7357.3260243158475</v>
      </c>
      <c r="E110" s="1607">
        <v>614.53292218403476</v>
      </c>
      <c r="F110" s="1613">
        <v>4.3341066687288361</v>
      </c>
      <c r="G110" s="1609"/>
      <c r="H110" s="1574"/>
      <c r="I110" s="1610"/>
    </row>
    <row r="111" spans="1:9" s="1611" customFormat="1" ht="14.25" hidden="1" customHeight="1">
      <c r="A111" s="1605">
        <v>39212</v>
      </c>
      <c r="B111" s="1612">
        <v>183584.19710951409</v>
      </c>
      <c r="C111" s="1607">
        <v>8344.9238992592946</v>
      </c>
      <c r="D111" s="1607">
        <v>7343.3678843805637</v>
      </c>
      <c r="E111" s="1607">
        <v>1001.5560148787308</v>
      </c>
      <c r="F111" s="1613">
        <v>4.5455567693995302</v>
      </c>
      <c r="G111" s="1609"/>
      <c r="H111" s="1574"/>
      <c r="I111" s="1610"/>
    </row>
    <row r="112" spans="1:9" s="1611" customFormat="1" ht="14.25" hidden="1" customHeight="1">
      <c r="A112" s="1605">
        <v>39226</v>
      </c>
      <c r="B112" s="1612">
        <v>184639.3446117274</v>
      </c>
      <c r="C112" s="1607">
        <v>8296.1740094879442</v>
      </c>
      <c r="D112" s="1607">
        <v>7385.5737844690957</v>
      </c>
      <c r="E112" s="1607">
        <v>909.6002250188485</v>
      </c>
      <c r="F112" s="1613">
        <v>4.4931777823051329</v>
      </c>
      <c r="G112" s="1609"/>
      <c r="H112" s="1574"/>
      <c r="I112" s="1610"/>
    </row>
    <row r="113" spans="1:9" s="1611" customFormat="1" ht="14.25" hidden="1" customHeight="1">
      <c r="A113" s="1605">
        <v>39240</v>
      </c>
      <c r="B113" s="1612">
        <v>183888.09524092436</v>
      </c>
      <c r="C113" s="1607">
        <v>8470.4872320605191</v>
      </c>
      <c r="D113" s="1607">
        <v>7355.5238096369749</v>
      </c>
      <c r="E113" s="1607">
        <v>1113.9634224235442</v>
      </c>
      <c r="F113" s="1613">
        <v>4.6063271366005258</v>
      </c>
      <c r="G113" s="1609"/>
      <c r="H113" s="1574"/>
      <c r="I113" s="1610"/>
    </row>
    <row r="114" spans="1:9" s="1611" customFormat="1" ht="14.25" hidden="1" customHeight="1">
      <c r="A114" s="1605">
        <v>39254</v>
      </c>
      <c r="B114" s="1612">
        <v>186213.04903233086</v>
      </c>
      <c r="C114" s="1607">
        <v>8893.229922606226</v>
      </c>
      <c r="D114" s="1607">
        <v>7448.5219612932342</v>
      </c>
      <c r="E114" s="1607">
        <v>1443.7079613129918</v>
      </c>
      <c r="F114" s="1613">
        <v>4.7758360484512323</v>
      </c>
      <c r="G114" s="1609"/>
      <c r="H114" s="1574"/>
      <c r="I114" s="1610"/>
    </row>
    <row r="115" spans="1:9" s="1611" customFormat="1" ht="14.25" hidden="1" customHeight="1">
      <c r="A115" s="1605">
        <v>39268</v>
      </c>
      <c r="B115" s="1612">
        <v>185814.30506692821</v>
      </c>
      <c r="C115" s="1607">
        <v>8924.7716441645953</v>
      </c>
      <c r="D115" s="1607">
        <v>7432.5722026771282</v>
      </c>
      <c r="E115" s="1607">
        <v>1492.1994414874671</v>
      </c>
      <c r="F115" s="1613">
        <v>4.8030595066133328</v>
      </c>
      <c r="G115" s="1609"/>
      <c r="H115" s="1574"/>
      <c r="I115" s="1610"/>
    </row>
    <row r="116" spans="1:9" s="1611" customFormat="1" ht="14.25" hidden="1" customHeight="1">
      <c r="A116" s="1605">
        <v>39282</v>
      </c>
      <c r="B116" s="1612">
        <v>187405.27884961045</v>
      </c>
      <c r="C116" s="1607">
        <v>9425.3110291993708</v>
      </c>
      <c r="D116" s="1607">
        <v>7496.2111539844182</v>
      </c>
      <c r="E116" s="1607">
        <v>1929.0998752149526</v>
      </c>
      <c r="F116" s="1613">
        <v>5.0293732850305792</v>
      </c>
      <c r="G116" s="1609"/>
      <c r="H116" s="1574"/>
      <c r="I116" s="1610"/>
    </row>
    <row r="117" spans="1:9" s="1611" customFormat="1" ht="14.25" hidden="1" customHeight="1">
      <c r="A117" s="1605">
        <v>39296</v>
      </c>
      <c r="B117" s="1612">
        <v>186554.36715842265</v>
      </c>
      <c r="C117" s="1607">
        <v>9445.5938117446167</v>
      </c>
      <c r="D117" s="1607">
        <v>7462.1746863369062</v>
      </c>
      <c r="E117" s="1607">
        <v>1982.4191254077105</v>
      </c>
      <c r="F117" s="1613">
        <v>5.063185577276454</v>
      </c>
      <c r="G117" s="1609"/>
      <c r="H117" s="1574"/>
      <c r="I117" s="1610"/>
    </row>
    <row r="118" spans="1:9" s="1611" customFormat="1" ht="14.25" hidden="1" customHeight="1">
      <c r="A118" s="1605">
        <v>39310</v>
      </c>
      <c r="B118" s="1612">
        <v>187553.49595401279</v>
      </c>
      <c r="C118" s="1607">
        <v>8894.4741634151906</v>
      </c>
      <c r="D118" s="1607">
        <v>7502.1398381605113</v>
      </c>
      <c r="E118" s="1607">
        <v>1392.3343252546792</v>
      </c>
      <c r="F118" s="1613">
        <v>4.7423665009134632</v>
      </c>
      <c r="G118" s="1609"/>
      <c r="H118" s="1574"/>
      <c r="I118" s="1610"/>
    </row>
    <row r="119" spans="1:9" s="1611" customFormat="1" ht="14.25" hidden="1" customHeight="1">
      <c r="A119" s="1605">
        <v>39324</v>
      </c>
      <c r="B119" s="1612">
        <v>188868.01526178926</v>
      </c>
      <c r="C119" s="1607">
        <v>9128.9697003747751</v>
      </c>
      <c r="D119" s="1607">
        <v>7554.7206104715706</v>
      </c>
      <c r="E119" s="1607">
        <v>1574.2490899032045</v>
      </c>
      <c r="F119" s="1613">
        <v>4.8335180987215569</v>
      </c>
      <c r="G119" s="1609"/>
      <c r="H119" s="1574"/>
      <c r="I119" s="1610"/>
    </row>
    <row r="120" spans="1:9" s="1611" customFormat="1" ht="14.25" hidden="1" customHeight="1">
      <c r="A120" s="1605">
        <v>39338</v>
      </c>
      <c r="B120" s="1612">
        <v>189737.69689326899</v>
      </c>
      <c r="C120" s="1607">
        <v>8799.9877071608735</v>
      </c>
      <c r="D120" s="1607">
        <v>7589.5078757307601</v>
      </c>
      <c r="E120" s="1607">
        <v>1210.4798314301133</v>
      </c>
      <c r="F120" s="1613">
        <v>4.6379754003818396</v>
      </c>
      <c r="G120" s="1609"/>
      <c r="H120" s="1574"/>
      <c r="I120" s="1610"/>
    </row>
    <row r="121" spans="1:9" s="1611" customFormat="1" ht="14.25" hidden="1" customHeight="1">
      <c r="A121" s="1605">
        <v>39352</v>
      </c>
      <c r="B121" s="1612">
        <v>192194.07155918182</v>
      </c>
      <c r="C121" s="1607">
        <v>9633.6256414249146</v>
      </c>
      <c r="D121" s="1607">
        <v>7687.7628623672726</v>
      </c>
      <c r="E121" s="1607">
        <v>1945.862779057642</v>
      </c>
      <c r="F121" s="1613">
        <v>5.0124468269347515</v>
      </c>
      <c r="G121" s="1609"/>
      <c r="H121" s="1574"/>
      <c r="I121" s="1610"/>
    </row>
    <row r="122" spans="1:9" s="1611" customFormat="1" ht="14.25" hidden="1" customHeight="1">
      <c r="A122" s="1605">
        <v>39366</v>
      </c>
      <c r="B122" s="1612">
        <v>192798</v>
      </c>
      <c r="C122" s="1607">
        <v>10036</v>
      </c>
      <c r="D122" s="1607">
        <v>7712</v>
      </c>
      <c r="E122" s="1607">
        <v>2324</v>
      </c>
      <c r="F122" s="1613">
        <v>5.21</v>
      </c>
      <c r="G122" s="1609"/>
      <c r="H122" s="1574"/>
      <c r="I122" s="1610"/>
    </row>
    <row r="123" spans="1:9" s="1611" customFormat="1" ht="14.25" hidden="1" customHeight="1">
      <c r="A123" s="1605">
        <v>39380</v>
      </c>
      <c r="B123" s="1612">
        <v>193721</v>
      </c>
      <c r="C123" s="1607">
        <v>11155</v>
      </c>
      <c r="D123" s="1607">
        <v>7749</v>
      </c>
      <c r="E123" s="1607">
        <v>3406</v>
      </c>
      <c r="F123" s="1613">
        <v>5.76</v>
      </c>
      <c r="G123" s="1609"/>
      <c r="H123" s="1574"/>
      <c r="I123" s="1610"/>
    </row>
    <row r="124" spans="1:9" s="1611" customFormat="1" ht="14.25" hidden="1" customHeight="1">
      <c r="A124" s="1605">
        <v>39394</v>
      </c>
      <c r="B124" s="1612">
        <v>194592.3</v>
      </c>
      <c r="C124" s="1607">
        <v>11111.2</v>
      </c>
      <c r="D124" s="1607">
        <v>7783.7</v>
      </c>
      <c r="E124" s="1607">
        <v>3327</v>
      </c>
      <c r="F124" s="1613">
        <v>5.71</v>
      </c>
      <c r="G124" s="1609"/>
      <c r="H124" s="1574"/>
      <c r="I124" s="1610"/>
    </row>
    <row r="125" spans="1:9" s="1611" customFormat="1" ht="14.25" hidden="1" customHeight="1">
      <c r="A125" s="1605">
        <v>39408</v>
      </c>
      <c r="B125" s="1612">
        <v>198335.7</v>
      </c>
      <c r="C125" s="1607">
        <v>10728.6</v>
      </c>
      <c r="D125" s="1607">
        <v>7934</v>
      </c>
      <c r="E125" s="1607">
        <v>2795.1</v>
      </c>
      <c r="F125" s="1613">
        <v>5.41</v>
      </c>
      <c r="G125" s="1609"/>
      <c r="H125" s="1574"/>
      <c r="I125" s="1610"/>
    </row>
    <row r="126" spans="1:9" s="1611" customFormat="1" ht="14.25" hidden="1" customHeight="1">
      <c r="A126" s="1605">
        <v>39422</v>
      </c>
      <c r="B126" s="1612">
        <v>200755</v>
      </c>
      <c r="C126" s="1607">
        <v>9535</v>
      </c>
      <c r="D126" s="1607">
        <v>8030</v>
      </c>
      <c r="E126" s="1607">
        <v>1505</v>
      </c>
      <c r="F126" s="1613">
        <v>4.75</v>
      </c>
      <c r="G126" s="1609"/>
      <c r="H126" s="1574"/>
      <c r="I126" s="1610"/>
    </row>
    <row r="127" spans="1:9" s="1611" customFormat="1" ht="14.25" hidden="1" customHeight="1" thickTop="1">
      <c r="A127" s="1605">
        <v>39436</v>
      </c>
      <c r="B127" s="1612">
        <v>203041</v>
      </c>
      <c r="C127" s="1607">
        <v>10964</v>
      </c>
      <c r="D127" s="1607">
        <v>8122</v>
      </c>
      <c r="E127" s="1607">
        <v>2842</v>
      </c>
      <c r="F127" s="1613">
        <v>5.4</v>
      </c>
      <c r="G127" s="1609"/>
      <c r="H127" s="1574"/>
      <c r="I127" s="1610"/>
    </row>
    <row r="128" spans="1:9" s="1611" customFormat="1" ht="14.25" hidden="1" customHeight="1">
      <c r="A128" s="1615">
        <v>39450</v>
      </c>
      <c r="B128" s="1612">
        <v>208638</v>
      </c>
      <c r="C128" s="1607">
        <v>10268</v>
      </c>
      <c r="D128" s="1607">
        <v>8345</v>
      </c>
      <c r="E128" s="1607">
        <v>1923</v>
      </c>
      <c r="F128" s="1613">
        <v>4.92</v>
      </c>
      <c r="G128" s="1609"/>
      <c r="H128" s="1574"/>
      <c r="I128" s="1610"/>
    </row>
    <row r="129" spans="1:9" s="1611" customFormat="1" ht="14.25" hidden="1" customHeight="1">
      <c r="A129" s="1615">
        <v>39464</v>
      </c>
      <c r="B129" s="1612">
        <v>210356</v>
      </c>
      <c r="C129" s="1607">
        <v>11245</v>
      </c>
      <c r="D129" s="1607">
        <v>8414</v>
      </c>
      <c r="E129" s="1607">
        <v>2831</v>
      </c>
      <c r="F129" s="1613">
        <v>5.35</v>
      </c>
      <c r="G129" s="1609"/>
      <c r="H129" s="1574"/>
      <c r="I129" s="1610"/>
    </row>
    <row r="130" spans="1:9" s="1611" customFormat="1" ht="14.25" hidden="1" customHeight="1">
      <c r="A130" s="1615">
        <v>39478</v>
      </c>
      <c r="B130" s="1612">
        <v>210771</v>
      </c>
      <c r="C130" s="1607">
        <v>11357</v>
      </c>
      <c r="D130" s="1607">
        <v>8431</v>
      </c>
      <c r="E130" s="1607">
        <v>2926</v>
      </c>
      <c r="F130" s="1613">
        <v>5.39</v>
      </c>
      <c r="G130" s="1609"/>
      <c r="H130" s="1574"/>
      <c r="I130" s="1610"/>
    </row>
    <row r="131" spans="1:9" s="1611" customFormat="1" ht="14.25" hidden="1" customHeight="1">
      <c r="A131" s="1615">
        <v>39492</v>
      </c>
      <c r="B131" s="1612">
        <v>211310</v>
      </c>
      <c r="C131" s="1607">
        <v>10221</v>
      </c>
      <c r="D131" s="1607">
        <v>8452</v>
      </c>
      <c r="E131" s="1607">
        <v>1769</v>
      </c>
      <c r="F131" s="1613">
        <v>4.84</v>
      </c>
      <c r="G131" s="1609"/>
      <c r="H131" s="1574"/>
      <c r="I131" s="1610"/>
    </row>
    <row r="132" spans="1:9" s="1611" customFormat="1" ht="14.25" hidden="1" customHeight="1">
      <c r="A132" s="1615">
        <v>39506</v>
      </c>
      <c r="B132" s="1612">
        <v>211420</v>
      </c>
      <c r="C132" s="1607">
        <v>10683</v>
      </c>
      <c r="D132" s="1607">
        <v>8457</v>
      </c>
      <c r="E132" s="1607">
        <v>2226</v>
      </c>
      <c r="F132" s="1613">
        <v>5.05</v>
      </c>
      <c r="G132" s="1609"/>
      <c r="H132" s="1574"/>
      <c r="I132" s="1610"/>
    </row>
    <row r="133" spans="1:9" s="1611" customFormat="1" ht="14.25" hidden="1" customHeight="1">
      <c r="A133" s="1615">
        <v>39520</v>
      </c>
      <c r="B133" s="1612">
        <v>213067</v>
      </c>
      <c r="C133" s="1607">
        <v>9448.9</v>
      </c>
      <c r="D133" s="1607">
        <v>8522.7000000000007</v>
      </c>
      <c r="E133" s="1607">
        <v>926.2</v>
      </c>
      <c r="F133" s="1613">
        <v>4.43</v>
      </c>
      <c r="G133" s="1609"/>
      <c r="H133" s="1574"/>
      <c r="I133" s="1610"/>
    </row>
    <row r="134" spans="1:9" s="1611" customFormat="1" ht="14.25" hidden="1" customHeight="1">
      <c r="A134" s="1615">
        <v>39534</v>
      </c>
      <c r="B134" s="1612">
        <v>215975</v>
      </c>
      <c r="C134" s="1607">
        <v>11184</v>
      </c>
      <c r="D134" s="1607">
        <v>8639</v>
      </c>
      <c r="E134" s="1607">
        <v>2545</v>
      </c>
      <c r="F134" s="1613">
        <v>5.18</v>
      </c>
      <c r="G134" s="1609"/>
      <c r="H134" s="1574"/>
      <c r="I134" s="1610"/>
    </row>
    <row r="135" spans="1:9" s="1611" customFormat="1" ht="14.25" hidden="1" customHeight="1">
      <c r="A135" s="1615">
        <v>39548</v>
      </c>
      <c r="B135" s="1612">
        <v>213909</v>
      </c>
      <c r="C135" s="1607">
        <v>10320</v>
      </c>
      <c r="D135" s="1607">
        <v>8556</v>
      </c>
      <c r="E135" s="1607">
        <v>1764</v>
      </c>
      <c r="F135" s="1613">
        <v>4.82</v>
      </c>
      <c r="G135" s="1609"/>
      <c r="H135" s="1574"/>
      <c r="I135" s="1610"/>
    </row>
    <row r="136" spans="1:9" s="1611" customFormat="1" ht="14.25" hidden="1" customHeight="1">
      <c r="A136" s="1615">
        <v>39562</v>
      </c>
      <c r="B136" s="1612">
        <v>213244</v>
      </c>
      <c r="C136" s="1607">
        <v>10618</v>
      </c>
      <c r="D136" s="1607">
        <v>8530</v>
      </c>
      <c r="E136" s="1607">
        <v>2088</v>
      </c>
      <c r="F136" s="1613">
        <v>4.9800000000000004</v>
      </c>
      <c r="G136" s="1609"/>
      <c r="H136" s="1574"/>
      <c r="I136" s="1610"/>
    </row>
    <row r="137" spans="1:9" s="1611" customFormat="1" ht="14.25" hidden="1" customHeight="1">
      <c r="A137" s="1615">
        <v>39576</v>
      </c>
      <c r="B137" s="1612">
        <v>214288</v>
      </c>
      <c r="C137" s="1607">
        <v>9848</v>
      </c>
      <c r="D137" s="1607">
        <v>8572</v>
      </c>
      <c r="E137" s="1607">
        <v>1276</v>
      </c>
      <c r="F137" s="1613">
        <v>4.5999999999999996</v>
      </c>
      <c r="G137" s="1609"/>
      <c r="H137" s="1574"/>
      <c r="I137" s="1610"/>
    </row>
    <row r="138" spans="1:9" s="1611" customFormat="1" ht="14.25" hidden="1" customHeight="1">
      <c r="A138" s="1615">
        <v>39590</v>
      </c>
      <c r="B138" s="1612">
        <v>214734</v>
      </c>
      <c r="C138" s="1607">
        <v>10195</v>
      </c>
      <c r="D138" s="1607">
        <v>8589</v>
      </c>
      <c r="E138" s="1607">
        <v>1606</v>
      </c>
      <c r="F138" s="1613">
        <v>4.75</v>
      </c>
      <c r="G138" s="1609"/>
      <c r="H138" s="1574"/>
      <c r="I138" s="1610"/>
    </row>
    <row r="139" spans="1:9" s="1611" customFormat="1" ht="14.25" hidden="1" customHeight="1">
      <c r="A139" s="1615">
        <v>39604</v>
      </c>
      <c r="B139" s="1612">
        <v>217284</v>
      </c>
      <c r="C139" s="1607">
        <v>10025</v>
      </c>
      <c r="D139" s="1607">
        <v>8691</v>
      </c>
      <c r="E139" s="1607">
        <v>1334</v>
      </c>
      <c r="F139" s="1613">
        <v>4.6100000000000003</v>
      </c>
      <c r="G139" s="1609"/>
      <c r="H139" s="1574"/>
      <c r="I139" s="1610"/>
    </row>
    <row r="140" spans="1:9" s="1611" customFormat="1" ht="14.25" hidden="1" customHeight="1">
      <c r="A140" s="1615">
        <v>39618</v>
      </c>
      <c r="B140" s="1612">
        <v>220286</v>
      </c>
      <c r="C140" s="1607">
        <v>10956</v>
      </c>
      <c r="D140" s="1607">
        <v>8811</v>
      </c>
      <c r="E140" s="1607">
        <v>2145</v>
      </c>
      <c r="F140" s="1613">
        <v>4.97</v>
      </c>
      <c r="G140" s="1609"/>
      <c r="H140" s="1574"/>
      <c r="I140" s="1610"/>
    </row>
    <row r="141" spans="1:9" s="1611" customFormat="1" ht="14.25" hidden="1" customHeight="1">
      <c r="A141" s="1615">
        <v>39632</v>
      </c>
      <c r="B141" s="1612">
        <v>220018</v>
      </c>
      <c r="C141" s="1607">
        <v>10966</v>
      </c>
      <c r="D141" s="1607">
        <v>8801</v>
      </c>
      <c r="E141" s="1607">
        <v>2165</v>
      </c>
      <c r="F141" s="1613">
        <v>4.9800000000000004</v>
      </c>
      <c r="G141" s="1609"/>
      <c r="H141" s="1574"/>
      <c r="I141" s="1610"/>
    </row>
    <row r="142" spans="1:9" s="1611" customFormat="1" ht="14.25" hidden="1" customHeight="1">
      <c r="A142" s="1615">
        <v>39646</v>
      </c>
      <c r="B142" s="1612">
        <v>222013</v>
      </c>
      <c r="C142" s="1607">
        <v>11724</v>
      </c>
      <c r="D142" s="1607">
        <v>8881</v>
      </c>
      <c r="E142" s="1607">
        <v>2843</v>
      </c>
      <c r="F142" s="1613">
        <v>5.28</v>
      </c>
      <c r="G142" s="1609"/>
      <c r="H142" s="1574"/>
      <c r="I142" s="1610"/>
    </row>
    <row r="143" spans="1:9" s="1611" customFormat="1" ht="14.25" hidden="1" customHeight="1">
      <c r="A143" s="1615">
        <v>39660</v>
      </c>
      <c r="B143" s="1612">
        <v>225500</v>
      </c>
      <c r="C143" s="1607">
        <v>11021</v>
      </c>
      <c r="D143" s="1607">
        <v>9020</v>
      </c>
      <c r="E143" s="1607">
        <v>2001</v>
      </c>
      <c r="F143" s="1613">
        <v>4.8899999999999997</v>
      </c>
      <c r="G143" s="1609"/>
      <c r="H143" s="1574"/>
      <c r="I143" s="1610"/>
    </row>
    <row r="144" spans="1:9" s="1611" customFormat="1" ht="14.25" hidden="1" customHeight="1">
      <c r="A144" s="1616" t="s">
        <v>1313</v>
      </c>
      <c r="B144" s="1612">
        <v>227806</v>
      </c>
      <c r="C144" s="1607">
        <v>11532</v>
      </c>
      <c r="D144" s="1607">
        <v>9112</v>
      </c>
      <c r="E144" s="1607">
        <v>2420</v>
      </c>
      <c r="F144" s="1613">
        <v>5.0599999999999996</v>
      </c>
      <c r="G144" s="1609"/>
      <c r="H144" s="1574"/>
      <c r="I144" s="1610"/>
    </row>
    <row r="145" spans="1:9" ht="19.5" hidden="1" thickTop="1">
      <c r="A145" s="1616" t="s">
        <v>1314</v>
      </c>
      <c r="B145" s="1612">
        <v>226337</v>
      </c>
      <c r="C145" s="1607">
        <v>14936</v>
      </c>
      <c r="D145" s="1607">
        <v>13580</v>
      </c>
      <c r="E145" s="1607">
        <v>1356</v>
      </c>
      <c r="F145" s="1613">
        <v>6.6</v>
      </c>
      <c r="I145" s="1550"/>
    </row>
    <row r="146" spans="1:9" ht="16.5" hidden="1" thickTop="1">
      <c r="A146" s="1615">
        <v>39702</v>
      </c>
      <c r="B146" s="1612">
        <v>227229</v>
      </c>
      <c r="C146" s="1607">
        <v>14033</v>
      </c>
      <c r="D146" s="1607">
        <v>13634</v>
      </c>
      <c r="E146" s="1607">
        <v>399</v>
      </c>
      <c r="F146" s="1613">
        <v>6.18</v>
      </c>
      <c r="I146" s="1550"/>
    </row>
    <row r="147" spans="1:9" ht="16.5" hidden="1" thickTop="1">
      <c r="A147" s="1615">
        <v>39716</v>
      </c>
      <c r="B147" s="1612">
        <v>228419</v>
      </c>
      <c r="C147" s="1607">
        <v>14515</v>
      </c>
      <c r="D147" s="1607">
        <v>13705</v>
      </c>
      <c r="E147" s="1607">
        <v>810</v>
      </c>
      <c r="F147" s="1613">
        <v>6.35</v>
      </c>
      <c r="I147" s="1550"/>
    </row>
    <row r="148" spans="1:9" ht="16.5" hidden="1" thickTop="1">
      <c r="A148" s="1615">
        <v>39730</v>
      </c>
      <c r="B148" s="1612">
        <v>229588</v>
      </c>
      <c r="C148" s="1607">
        <v>15199.1</v>
      </c>
      <c r="D148" s="1607">
        <v>13775</v>
      </c>
      <c r="E148" s="1607">
        <v>1423.9</v>
      </c>
      <c r="F148" s="1613">
        <v>6.62</v>
      </c>
      <c r="I148" s="1550"/>
    </row>
    <row r="149" spans="1:9" ht="16.5" hidden="1" thickTop="1">
      <c r="A149" s="1615">
        <v>39744</v>
      </c>
      <c r="B149" s="1612">
        <v>230830</v>
      </c>
      <c r="C149" s="1607">
        <v>16362</v>
      </c>
      <c r="D149" s="1607">
        <v>13850</v>
      </c>
      <c r="E149" s="1607">
        <v>2512</v>
      </c>
      <c r="F149" s="1613">
        <v>7.09</v>
      </c>
      <c r="I149" s="1550"/>
    </row>
    <row r="150" spans="1:9" ht="16.5" hidden="1" thickTop="1">
      <c r="A150" s="1616" t="s">
        <v>1315</v>
      </c>
      <c r="B150" s="1612">
        <v>230371</v>
      </c>
      <c r="C150" s="1607">
        <v>14668</v>
      </c>
      <c r="D150" s="1607">
        <v>13822</v>
      </c>
      <c r="E150" s="1607">
        <v>846</v>
      </c>
      <c r="F150" s="1613">
        <v>6.37</v>
      </c>
      <c r="I150" s="1550"/>
    </row>
    <row r="151" spans="1:9" ht="19.5" hidden="1" thickTop="1">
      <c r="A151" s="1616" t="s">
        <v>1316</v>
      </c>
      <c r="B151" s="1612">
        <v>232852</v>
      </c>
      <c r="C151" s="1607">
        <v>13146</v>
      </c>
      <c r="D151" s="1607">
        <v>11643</v>
      </c>
      <c r="E151" s="1607">
        <v>1503</v>
      </c>
      <c r="F151" s="1613">
        <v>5.65</v>
      </c>
    </row>
    <row r="152" spans="1:9" ht="16.5" hidden="1" thickTop="1">
      <c r="A152" s="1615">
        <v>39786</v>
      </c>
      <c r="B152" s="1612">
        <v>233352</v>
      </c>
      <c r="C152" s="1607">
        <v>12522</v>
      </c>
      <c r="D152" s="1607">
        <v>11668</v>
      </c>
      <c r="E152" s="1607">
        <v>854</v>
      </c>
      <c r="F152" s="1613">
        <v>5.37</v>
      </c>
    </row>
    <row r="153" spans="1:9" ht="16.5" hidden="1" thickTop="1">
      <c r="A153" s="1616" t="s">
        <v>1317</v>
      </c>
      <c r="B153" s="1612">
        <v>236070</v>
      </c>
      <c r="C153" s="1607">
        <v>13781</v>
      </c>
      <c r="D153" s="1607">
        <v>11804</v>
      </c>
      <c r="E153" s="1607">
        <v>1977</v>
      </c>
      <c r="F153" s="1613">
        <v>5.84</v>
      </c>
    </row>
    <row r="154" spans="1:9" ht="19.5" hidden="1" thickTop="1">
      <c r="A154" s="1616" t="s">
        <v>1318</v>
      </c>
      <c r="B154" s="1612">
        <v>238077</v>
      </c>
      <c r="C154" s="1607">
        <v>13045.2</v>
      </c>
      <c r="D154" s="1607">
        <v>10713.7</v>
      </c>
      <c r="E154" s="1607">
        <v>2331.4</v>
      </c>
      <c r="F154" s="1613">
        <v>5.48</v>
      </c>
    </row>
    <row r="155" spans="1:9" ht="16.5" hidden="1" thickTop="1">
      <c r="A155" s="1615">
        <v>39828</v>
      </c>
      <c r="B155" s="1612">
        <v>243515</v>
      </c>
      <c r="C155" s="1607">
        <v>14479</v>
      </c>
      <c r="D155" s="1607">
        <v>10958</v>
      </c>
      <c r="E155" s="1607">
        <v>3521</v>
      </c>
      <c r="F155" s="1613">
        <v>5.95</v>
      </c>
    </row>
    <row r="156" spans="1:9" ht="16.5" hidden="1" thickTop="1">
      <c r="A156" s="1615">
        <v>39842</v>
      </c>
      <c r="B156" s="1612">
        <v>242838</v>
      </c>
      <c r="C156" s="1607">
        <v>14710</v>
      </c>
      <c r="D156" s="1607">
        <v>10928</v>
      </c>
      <c r="E156" s="1607">
        <v>3782</v>
      </c>
      <c r="F156" s="1613">
        <v>6.06</v>
      </c>
    </row>
    <row r="157" spans="1:9" ht="16.5" hidden="1" thickTop="1">
      <c r="A157" s="1615">
        <v>39856</v>
      </c>
      <c r="B157" s="1612">
        <v>242719</v>
      </c>
      <c r="C157" s="1607">
        <v>13556</v>
      </c>
      <c r="D157" s="1607">
        <v>10922</v>
      </c>
      <c r="E157" s="1607">
        <v>2634</v>
      </c>
      <c r="F157" s="1613">
        <v>5.59</v>
      </c>
    </row>
    <row r="158" spans="1:9" ht="16.5" hidden="1" thickTop="1">
      <c r="A158" s="1615">
        <v>39870</v>
      </c>
      <c r="B158" s="1612">
        <v>244289</v>
      </c>
      <c r="C158" s="1607">
        <v>13427</v>
      </c>
      <c r="D158" s="1607">
        <v>10993</v>
      </c>
      <c r="E158" s="1607">
        <v>2434</v>
      </c>
      <c r="F158" s="1613">
        <v>5.5</v>
      </c>
    </row>
    <row r="159" spans="1:9" ht="16.5" hidden="1" thickTop="1">
      <c r="A159" s="1615">
        <v>39884</v>
      </c>
      <c r="B159" s="1612">
        <v>245313</v>
      </c>
      <c r="C159" s="1607">
        <v>12869</v>
      </c>
      <c r="D159" s="1607">
        <v>11039</v>
      </c>
      <c r="E159" s="1607">
        <v>1829.7</v>
      </c>
      <c r="F159" s="1613">
        <v>5.25</v>
      </c>
    </row>
    <row r="160" spans="1:9" ht="16.5" hidden="1" thickTop="1">
      <c r="A160" s="1615">
        <v>39898</v>
      </c>
      <c r="B160" s="1612">
        <v>248637</v>
      </c>
      <c r="C160" s="1607">
        <v>13626</v>
      </c>
      <c r="D160" s="1607">
        <v>11189</v>
      </c>
      <c r="E160" s="1607">
        <v>2437</v>
      </c>
      <c r="F160" s="1613">
        <v>5.48</v>
      </c>
    </row>
    <row r="161" spans="1:6" ht="16.5" hidden="1" thickTop="1">
      <c r="A161" s="1615">
        <v>39912</v>
      </c>
      <c r="B161" s="1612">
        <v>249016</v>
      </c>
      <c r="C161" s="1607">
        <v>13101</v>
      </c>
      <c r="D161" s="1607">
        <v>11206</v>
      </c>
      <c r="E161" s="1607">
        <v>1895</v>
      </c>
      <c r="F161" s="1613">
        <v>5.26</v>
      </c>
    </row>
    <row r="162" spans="1:6" ht="16.5" hidden="1" thickTop="1">
      <c r="A162" s="1615">
        <v>39926</v>
      </c>
      <c r="B162" s="1612">
        <v>250123</v>
      </c>
      <c r="C162" s="1607">
        <v>13271</v>
      </c>
      <c r="D162" s="1607">
        <v>11255</v>
      </c>
      <c r="E162" s="1607">
        <v>2016</v>
      </c>
      <c r="F162" s="1613">
        <v>5.31</v>
      </c>
    </row>
    <row r="163" spans="1:6" ht="16.5" hidden="1" thickTop="1">
      <c r="A163" s="1615">
        <v>39940</v>
      </c>
      <c r="B163" s="1612">
        <v>250490</v>
      </c>
      <c r="C163" s="1607">
        <v>12173</v>
      </c>
      <c r="D163" s="1607">
        <v>11272</v>
      </c>
      <c r="E163" s="1607">
        <v>901</v>
      </c>
      <c r="F163" s="1613">
        <v>4.8600000000000003</v>
      </c>
    </row>
    <row r="164" spans="1:6" ht="16.5" hidden="1" thickTop="1">
      <c r="A164" s="1615">
        <v>39954</v>
      </c>
      <c r="B164" s="1612">
        <v>249804</v>
      </c>
      <c r="C164" s="1607">
        <v>12739</v>
      </c>
      <c r="D164" s="1607">
        <v>11241</v>
      </c>
      <c r="E164" s="1607">
        <v>1498</v>
      </c>
      <c r="F164" s="1613">
        <v>5.0999999999999996</v>
      </c>
    </row>
    <row r="165" spans="1:6" ht="16.5" hidden="1" thickTop="1">
      <c r="A165" s="1615">
        <v>39968</v>
      </c>
      <c r="B165" s="1612">
        <v>252211</v>
      </c>
      <c r="C165" s="1607">
        <v>12296</v>
      </c>
      <c r="D165" s="1607">
        <v>11350</v>
      </c>
      <c r="E165" s="1607">
        <v>946</v>
      </c>
      <c r="F165" s="1613">
        <v>4.88</v>
      </c>
    </row>
    <row r="166" spans="1:6" ht="16.5" hidden="1" thickTop="1">
      <c r="A166" s="1615">
        <v>39982</v>
      </c>
      <c r="B166" s="1612">
        <v>253062</v>
      </c>
      <c r="C166" s="1607">
        <v>16909</v>
      </c>
      <c r="D166" s="1607">
        <v>11388</v>
      </c>
      <c r="E166" s="1607">
        <v>5521</v>
      </c>
      <c r="F166" s="1613">
        <v>6.68</v>
      </c>
    </row>
    <row r="167" spans="1:6" ht="16.5" hidden="1" thickTop="1">
      <c r="A167" s="1615">
        <v>39996</v>
      </c>
      <c r="B167" s="1612">
        <v>256812.6</v>
      </c>
      <c r="C167" s="1607">
        <v>14772.5</v>
      </c>
      <c r="D167" s="1607">
        <v>11556.6</v>
      </c>
      <c r="E167" s="1607">
        <v>3216</v>
      </c>
      <c r="F167" s="1613">
        <v>5.75</v>
      </c>
    </row>
    <row r="168" spans="1:6" ht="16.5" hidden="1" thickTop="1">
      <c r="A168" s="1615">
        <v>40010</v>
      </c>
      <c r="B168" s="1612">
        <v>261743.3</v>
      </c>
      <c r="C168" s="1607">
        <v>14100.9</v>
      </c>
      <c r="D168" s="1607">
        <v>11778.4</v>
      </c>
      <c r="E168" s="1607">
        <v>2322.5</v>
      </c>
      <c r="F168" s="1613">
        <v>5.39</v>
      </c>
    </row>
    <row r="169" spans="1:6" ht="16.5" hidden="1" thickTop="1">
      <c r="A169" s="1615">
        <v>40024</v>
      </c>
      <c r="B169" s="1612">
        <v>260676</v>
      </c>
      <c r="C169" s="1607">
        <v>13972</v>
      </c>
      <c r="D169" s="1607">
        <v>11730</v>
      </c>
      <c r="E169" s="1607">
        <v>2242</v>
      </c>
      <c r="F169" s="1613">
        <v>5.36</v>
      </c>
    </row>
    <row r="170" spans="1:6" ht="16.5" hidden="1" thickTop="1">
      <c r="A170" s="1615">
        <v>40038</v>
      </c>
      <c r="B170" s="1612">
        <v>260252</v>
      </c>
      <c r="C170" s="1607">
        <v>12778</v>
      </c>
      <c r="D170" s="1607">
        <v>11711</v>
      </c>
      <c r="E170" s="1607">
        <v>1067</v>
      </c>
      <c r="F170" s="1613">
        <v>4.91</v>
      </c>
    </row>
    <row r="171" spans="1:6" ht="16.5" hidden="1" thickTop="1">
      <c r="A171" s="1615">
        <v>40052</v>
      </c>
      <c r="B171" s="1612">
        <v>258676</v>
      </c>
      <c r="C171" s="1607">
        <v>13255</v>
      </c>
      <c r="D171" s="1607">
        <v>11640</v>
      </c>
      <c r="E171" s="1607">
        <v>1615</v>
      </c>
      <c r="F171" s="1613">
        <v>5.12</v>
      </c>
    </row>
    <row r="172" spans="1:6" ht="16.5" hidden="1" thickTop="1">
      <c r="A172" s="1615">
        <v>40066</v>
      </c>
      <c r="B172" s="1612">
        <v>256295</v>
      </c>
      <c r="C172" s="1607">
        <v>12827</v>
      </c>
      <c r="D172" s="1607">
        <v>11533</v>
      </c>
      <c r="E172" s="1607">
        <v>1294</v>
      </c>
      <c r="F172" s="1613">
        <v>5.01</v>
      </c>
    </row>
    <row r="173" spans="1:6" ht="16.5" hidden="1" thickTop="1">
      <c r="A173" s="1615">
        <v>40080</v>
      </c>
      <c r="B173" s="1612">
        <v>255445</v>
      </c>
      <c r="C173" s="1607">
        <v>13810</v>
      </c>
      <c r="D173" s="1607">
        <v>11495</v>
      </c>
      <c r="E173" s="1607">
        <v>2315</v>
      </c>
      <c r="F173" s="1613">
        <v>5.41</v>
      </c>
    </row>
    <row r="174" spans="1:6" ht="16.5" hidden="1" thickTop="1">
      <c r="A174" s="1615">
        <v>40094</v>
      </c>
      <c r="B174" s="1612">
        <v>253997</v>
      </c>
      <c r="C174" s="1607">
        <v>12834</v>
      </c>
      <c r="D174" s="1607">
        <v>11430</v>
      </c>
      <c r="E174" s="1607">
        <v>1404</v>
      </c>
      <c r="F174" s="1613">
        <v>5.05</v>
      </c>
    </row>
    <row r="175" spans="1:6" ht="16.5" hidden="1" thickTop="1">
      <c r="A175" s="1615">
        <v>40108</v>
      </c>
      <c r="B175" s="1612">
        <v>253658</v>
      </c>
      <c r="C175" s="1607">
        <v>12912</v>
      </c>
      <c r="D175" s="1607">
        <v>11415</v>
      </c>
      <c r="E175" s="1607">
        <v>1497</v>
      </c>
      <c r="F175" s="1613">
        <v>5.09</v>
      </c>
    </row>
    <row r="176" spans="1:6" ht="16.5" hidden="1" thickTop="1">
      <c r="A176" s="1615">
        <v>40122</v>
      </c>
      <c r="B176" s="1612">
        <v>254063</v>
      </c>
      <c r="C176" s="1607">
        <v>12448</v>
      </c>
      <c r="D176" s="1607">
        <v>11433</v>
      </c>
      <c r="E176" s="1607">
        <v>1015</v>
      </c>
      <c r="F176" s="1613">
        <v>4.9000000000000004</v>
      </c>
    </row>
    <row r="177" spans="1:6" ht="16.5" hidden="1" thickTop="1">
      <c r="A177" s="1615">
        <v>40136</v>
      </c>
      <c r="B177" s="1612">
        <v>254313</v>
      </c>
      <c r="C177" s="1607">
        <v>13075</v>
      </c>
      <c r="D177" s="1607">
        <v>11444</v>
      </c>
      <c r="E177" s="1607">
        <v>1631</v>
      </c>
      <c r="F177" s="1613">
        <v>5.14</v>
      </c>
    </row>
    <row r="178" spans="1:6" ht="16.5" hidden="1" thickTop="1">
      <c r="A178" s="1615">
        <v>40150</v>
      </c>
      <c r="B178" s="1612">
        <v>253774</v>
      </c>
      <c r="C178" s="1607">
        <v>12711</v>
      </c>
      <c r="D178" s="1607">
        <v>11420</v>
      </c>
      <c r="E178" s="1607">
        <v>1291</v>
      </c>
      <c r="F178" s="1613">
        <v>5.01</v>
      </c>
    </row>
    <row r="179" spans="1:6" ht="16.5" hidden="1" thickTop="1">
      <c r="A179" s="1615">
        <v>40164</v>
      </c>
      <c r="B179" s="1612">
        <v>256159</v>
      </c>
      <c r="C179" s="1607">
        <v>13206</v>
      </c>
      <c r="D179" s="1607">
        <v>11527</v>
      </c>
      <c r="E179" s="1607">
        <v>1679</v>
      </c>
      <c r="F179" s="1613">
        <v>5.16</v>
      </c>
    </row>
    <row r="180" spans="1:6" ht="16.5" hidden="1" thickTop="1">
      <c r="A180" s="1615">
        <v>40178</v>
      </c>
      <c r="B180" s="1612">
        <v>259197</v>
      </c>
      <c r="C180" s="1607">
        <v>13223</v>
      </c>
      <c r="D180" s="1607">
        <v>11664</v>
      </c>
      <c r="E180" s="1607">
        <v>1559</v>
      </c>
      <c r="F180" s="1613">
        <v>5.0999999999999996</v>
      </c>
    </row>
    <row r="181" spans="1:6" ht="18.95" hidden="1" customHeight="1">
      <c r="A181" s="1617">
        <v>40192</v>
      </c>
      <c r="B181" s="1612">
        <v>263116</v>
      </c>
      <c r="C181" s="1607">
        <v>15672</v>
      </c>
      <c r="D181" s="1607">
        <v>11840</v>
      </c>
      <c r="E181" s="1607">
        <v>3832</v>
      </c>
      <c r="F181" s="1613">
        <v>5.96</v>
      </c>
    </row>
    <row r="182" spans="1:6" ht="18.95" hidden="1" customHeight="1">
      <c r="A182" s="1617">
        <v>40206</v>
      </c>
      <c r="B182" s="1612">
        <v>266268</v>
      </c>
      <c r="C182" s="1607">
        <v>14976</v>
      </c>
      <c r="D182" s="1607">
        <v>11982</v>
      </c>
      <c r="E182" s="1607">
        <v>2994</v>
      </c>
      <c r="F182" s="1613">
        <v>5.62</v>
      </c>
    </row>
    <row r="183" spans="1:6" ht="18.95" hidden="1" customHeight="1">
      <c r="A183" s="1617">
        <v>40220</v>
      </c>
      <c r="B183" s="1612">
        <v>262935</v>
      </c>
      <c r="C183" s="1607">
        <v>13361</v>
      </c>
      <c r="D183" s="1607">
        <v>11832</v>
      </c>
      <c r="E183" s="1607">
        <v>1529</v>
      </c>
      <c r="F183" s="1613">
        <v>5.08</v>
      </c>
    </row>
    <row r="184" spans="1:6" ht="18.95" hidden="1" customHeight="1">
      <c r="A184" s="1617" t="s">
        <v>1319</v>
      </c>
      <c r="B184" s="1612">
        <v>261810</v>
      </c>
      <c r="C184" s="1607">
        <v>14158</v>
      </c>
      <c r="D184" s="1607">
        <v>11781</v>
      </c>
      <c r="E184" s="1607">
        <v>2377</v>
      </c>
      <c r="F184" s="1613">
        <v>5.41</v>
      </c>
    </row>
    <row r="185" spans="1:6" ht="18.95" hidden="1" customHeight="1">
      <c r="A185" s="1617">
        <v>40248</v>
      </c>
      <c r="B185" s="1612">
        <v>263041</v>
      </c>
      <c r="C185" s="1607">
        <v>15396</v>
      </c>
      <c r="D185" s="1607">
        <v>11837</v>
      </c>
      <c r="E185" s="1607">
        <v>3559</v>
      </c>
      <c r="F185" s="1613">
        <v>5.85</v>
      </c>
    </row>
    <row r="186" spans="1:6" ht="18.95" hidden="1" customHeight="1">
      <c r="A186" s="1617">
        <v>40262</v>
      </c>
      <c r="B186" s="1612">
        <v>266778</v>
      </c>
      <c r="C186" s="1607">
        <v>17050</v>
      </c>
      <c r="D186" s="1607">
        <v>12005</v>
      </c>
      <c r="E186" s="1607">
        <v>5045</v>
      </c>
      <c r="F186" s="1613">
        <v>6.39</v>
      </c>
    </row>
    <row r="187" spans="1:6" ht="18.95" hidden="1" customHeight="1">
      <c r="A187" s="1617">
        <v>40276</v>
      </c>
      <c r="B187" s="1612">
        <v>268115</v>
      </c>
      <c r="C187" s="1607">
        <v>15262</v>
      </c>
      <c r="D187" s="1607">
        <v>12065</v>
      </c>
      <c r="E187" s="1607">
        <v>3497</v>
      </c>
      <c r="F187" s="1613">
        <v>5.8</v>
      </c>
    </row>
    <row r="188" spans="1:6" ht="18.95" hidden="1" customHeight="1">
      <c r="A188" s="1617">
        <v>40290</v>
      </c>
      <c r="B188" s="1612">
        <v>269478</v>
      </c>
      <c r="C188" s="1607">
        <v>16204</v>
      </c>
      <c r="D188" s="1607">
        <v>12126</v>
      </c>
      <c r="E188" s="1607">
        <v>4078</v>
      </c>
      <c r="F188" s="1613">
        <v>6.01</v>
      </c>
    </row>
    <row r="189" spans="1:6" ht="18.95" hidden="1" customHeight="1">
      <c r="A189" s="1617">
        <v>40304</v>
      </c>
      <c r="B189" s="1612">
        <v>267804</v>
      </c>
      <c r="C189" s="1607">
        <v>15599</v>
      </c>
      <c r="D189" s="1607">
        <v>12051</v>
      </c>
      <c r="E189" s="1607">
        <v>3548</v>
      </c>
      <c r="F189" s="1613">
        <v>5.82</v>
      </c>
    </row>
    <row r="190" spans="1:6" ht="18.95" hidden="1" customHeight="1">
      <c r="A190" s="1617">
        <v>40318</v>
      </c>
      <c r="B190" s="1612">
        <v>268531</v>
      </c>
      <c r="C190" s="1607">
        <v>16094</v>
      </c>
      <c r="D190" s="1607">
        <v>12084</v>
      </c>
      <c r="E190" s="1607">
        <v>4010</v>
      </c>
      <c r="F190" s="1613">
        <v>5.99</v>
      </c>
    </row>
    <row r="191" spans="1:6" ht="18.95" hidden="1" customHeight="1">
      <c r="A191" s="1617">
        <v>40332</v>
      </c>
      <c r="B191" s="1612">
        <v>269953</v>
      </c>
      <c r="C191" s="1607">
        <v>17039</v>
      </c>
      <c r="D191" s="1607">
        <v>12148</v>
      </c>
      <c r="E191" s="1607">
        <v>4891</v>
      </c>
      <c r="F191" s="1613">
        <v>6.31</v>
      </c>
    </row>
    <row r="192" spans="1:6" ht="18.95" hidden="1" customHeight="1">
      <c r="A192" s="1617">
        <v>40346</v>
      </c>
      <c r="B192" s="1612">
        <v>273110</v>
      </c>
      <c r="C192" s="1607">
        <v>16832</v>
      </c>
      <c r="D192" s="1607">
        <v>12290</v>
      </c>
      <c r="E192" s="1607">
        <v>4542</v>
      </c>
      <c r="F192" s="1613">
        <v>6.16</v>
      </c>
    </row>
    <row r="193" spans="1:6" ht="18.95" hidden="1" customHeight="1">
      <c r="A193" s="1617" t="s">
        <v>1320</v>
      </c>
      <c r="B193" s="1612">
        <v>274796</v>
      </c>
      <c r="C193" s="1607">
        <v>17935</v>
      </c>
      <c r="D193" s="1607">
        <v>13740</v>
      </c>
      <c r="E193" s="1607">
        <v>4195</v>
      </c>
      <c r="F193" s="1613">
        <v>6.53</v>
      </c>
    </row>
    <row r="194" spans="1:6" ht="18.95" hidden="1" customHeight="1">
      <c r="A194" s="1617">
        <v>40374</v>
      </c>
      <c r="B194" s="1612">
        <v>276772</v>
      </c>
      <c r="C194" s="1607">
        <v>17780</v>
      </c>
      <c r="D194" s="1607">
        <v>13839</v>
      </c>
      <c r="E194" s="1607">
        <v>3941</v>
      </c>
      <c r="F194" s="1613">
        <v>6.42</v>
      </c>
    </row>
    <row r="195" spans="1:6" ht="18.95" hidden="1" customHeight="1">
      <c r="A195" s="1617">
        <v>40388</v>
      </c>
      <c r="B195" s="1612">
        <v>275835</v>
      </c>
      <c r="C195" s="1607">
        <v>18510</v>
      </c>
      <c r="D195" s="1607">
        <v>13792</v>
      </c>
      <c r="E195" s="1607">
        <v>4718</v>
      </c>
      <c r="F195" s="1613">
        <v>6.71</v>
      </c>
    </row>
    <row r="196" spans="1:6" ht="18.95" hidden="1" customHeight="1">
      <c r="A196" s="1617">
        <v>40402</v>
      </c>
      <c r="B196" s="1612">
        <v>274120</v>
      </c>
      <c r="C196" s="1607">
        <v>19159</v>
      </c>
      <c r="D196" s="1607">
        <v>13706</v>
      </c>
      <c r="E196" s="1607">
        <v>5453</v>
      </c>
      <c r="F196" s="1613">
        <v>6.99</v>
      </c>
    </row>
    <row r="197" spans="1:6" ht="18.95" hidden="1" customHeight="1">
      <c r="A197" s="1617">
        <v>40416</v>
      </c>
      <c r="B197" s="1612">
        <v>273813</v>
      </c>
      <c r="C197" s="1607">
        <v>20434</v>
      </c>
      <c r="D197" s="1607">
        <v>13691</v>
      </c>
      <c r="E197" s="1607">
        <v>6743</v>
      </c>
      <c r="F197" s="1613">
        <v>7.46</v>
      </c>
    </row>
    <row r="198" spans="1:6" ht="18.95" hidden="1" customHeight="1">
      <c r="A198" s="1617">
        <v>40430</v>
      </c>
      <c r="B198" s="1612">
        <v>273429</v>
      </c>
      <c r="C198" s="1607">
        <v>17834</v>
      </c>
      <c r="D198" s="1607">
        <v>13671</v>
      </c>
      <c r="E198" s="1607">
        <v>4163</v>
      </c>
      <c r="F198" s="1613">
        <v>6.52</v>
      </c>
    </row>
    <row r="199" spans="1:6" ht="18.95" hidden="1" customHeight="1">
      <c r="A199" s="1617">
        <v>40444</v>
      </c>
      <c r="B199" s="1612">
        <v>274674</v>
      </c>
      <c r="C199" s="1607">
        <v>17763</v>
      </c>
      <c r="D199" s="1607">
        <v>13734</v>
      </c>
      <c r="E199" s="1607">
        <v>4029</v>
      </c>
      <c r="F199" s="1613">
        <v>6.47</v>
      </c>
    </row>
    <row r="200" spans="1:6" ht="18.95" hidden="1" customHeight="1">
      <c r="A200" s="1617">
        <v>40458</v>
      </c>
      <c r="B200" s="1612">
        <v>276592</v>
      </c>
      <c r="C200" s="1607">
        <v>17950</v>
      </c>
      <c r="D200" s="1607">
        <v>13830</v>
      </c>
      <c r="E200" s="1607">
        <v>4120</v>
      </c>
      <c r="F200" s="1613">
        <v>6.49</v>
      </c>
    </row>
    <row r="201" spans="1:6" ht="18.95" hidden="1" customHeight="1">
      <c r="A201" s="1617" t="s">
        <v>1321</v>
      </c>
      <c r="B201" s="1612">
        <v>277399</v>
      </c>
      <c r="C201" s="1607">
        <v>19435</v>
      </c>
      <c r="D201" s="1607">
        <v>16644</v>
      </c>
      <c r="E201" s="1607">
        <v>2791</v>
      </c>
      <c r="F201" s="1613">
        <v>7.01</v>
      </c>
    </row>
    <row r="202" spans="1:6" ht="18.95" hidden="1" customHeight="1">
      <c r="A202" s="1617">
        <v>40486</v>
      </c>
      <c r="B202" s="1612">
        <v>277740</v>
      </c>
      <c r="C202" s="1607">
        <v>19670</v>
      </c>
      <c r="D202" s="1607">
        <v>16665</v>
      </c>
      <c r="E202" s="1607">
        <v>3005</v>
      </c>
      <c r="F202" s="1613">
        <v>7.08</v>
      </c>
    </row>
    <row r="203" spans="1:6" ht="18.95" hidden="1" customHeight="1">
      <c r="A203" s="1617">
        <v>40500</v>
      </c>
      <c r="B203" s="1612">
        <v>278718</v>
      </c>
      <c r="C203" s="1607">
        <v>19801</v>
      </c>
      <c r="D203" s="1607">
        <v>16723</v>
      </c>
      <c r="E203" s="1607">
        <v>3078</v>
      </c>
      <c r="F203" s="1613">
        <v>7.1</v>
      </c>
    </row>
    <row r="204" spans="1:6" ht="18.95" hidden="1" customHeight="1">
      <c r="A204" s="1617">
        <v>40514</v>
      </c>
      <c r="B204" s="1612">
        <v>280046</v>
      </c>
      <c r="C204" s="1607">
        <v>20809</v>
      </c>
      <c r="D204" s="1607">
        <v>16803</v>
      </c>
      <c r="E204" s="1607">
        <v>4006</v>
      </c>
      <c r="F204" s="1613">
        <v>7.43</v>
      </c>
    </row>
    <row r="205" spans="1:6" ht="18.95" hidden="1" customHeight="1">
      <c r="A205" s="1617">
        <v>40528</v>
      </c>
      <c r="B205" s="1612">
        <v>282723</v>
      </c>
      <c r="C205" s="1607">
        <v>20939</v>
      </c>
      <c r="D205" s="1607">
        <v>16963</v>
      </c>
      <c r="E205" s="1607">
        <v>3976</v>
      </c>
      <c r="F205" s="1613">
        <v>7.41</v>
      </c>
    </row>
    <row r="206" spans="1:6" ht="15" hidden="1" customHeight="1">
      <c r="A206" s="1617">
        <v>40542</v>
      </c>
      <c r="B206" s="1612">
        <v>284395</v>
      </c>
      <c r="C206" s="1607">
        <v>22146</v>
      </c>
      <c r="D206" s="1607">
        <v>17064</v>
      </c>
      <c r="E206" s="1607">
        <v>5082</v>
      </c>
      <c r="F206" s="1613">
        <v>7.79</v>
      </c>
    </row>
    <row r="207" spans="1:6" ht="18.95" hidden="1" customHeight="1">
      <c r="A207" s="1617">
        <v>40556</v>
      </c>
      <c r="B207" s="1612">
        <v>288891</v>
      </c>
      <c r="C207" s="1607">
        <v>22077</v>
      </c>
      <c r="D207" s="1607">
        <v>17333</v>
      </c>
      <c r="E207" s="1607">
        <v>4744</v>
      </c>
      <c r="F207" s="1613">
        <v>7.64</v>
      </c>
    </row>
    <row r="208" spans="1:6" ht="18.95" hidden="1" customHeight="1">
      <c r="A208" s="1617">
        <v>40570</v>
      </c>
      <c r="B208" s="1612">
        <v>290395</v>
      </c>
      <c r="C208" s="1607">
        <v>23653</v>
      </c>
      <c r="D208" s="1607">
        <v>17424</v>
      </c>
      <c r="E208" s="1607">
        <v>6229</v>
      </c>
      <c r="F208" s="1613">
        <v>8.15</v>
      </c>
    </row>
    <row r="209" spans="1:9" ht="18.95" hidden="1" customHeight="1">
      <c r="A209" s="1617">
        <v>40584</v>
      </c>
      <c r="B209" s="1612">
        <v>289585</v>
      </c>
      <c r="C209" s="1607">
        <v>23044</v>
      </c>
      <c r="D209" s="1607">
        <v>17375</v>
      </c>
      <c r="E209" s="1607">
        <v>5669</v>
      </c>
      <c r="F209" s="1613">
        <v>7.96</v>
      </c>
    </row>
    <row r="210" spans="1:9" ht="18.95" hidden="1" customHeight="1">
      <c r="A210" s="1617">
        <v>40598</v>
      </c>
      <c r="B210" s="1612">
        <v>288172</v>
      </c>
      <c r="C210" s="1607">
        <v>24186</v>
      </c>
      <c r="D210" s="1607">
        <v>17290</v>
      </c>
      <c r="E210" s="1607">
        <v>6896</v>
      </c>
      <c r="F210" s="1613">
        <v>8.39</v>
      </c>
    </row>
    <row r="211" spans="1:9" ht="18.95" hidden="1" customHeight="1">
      <c r="A211" s="1617" t="s">
        <v>1322</v>
      </c>
      <c r="B211" s="1612">
        <v>287134</v>
      </c>
      <c r="C211" s="1607">
        <v>23464</v>
      </c>
      <c r="D211" s="1607">
        <v>20099</v>
      </c>
      <c r="E211" s="1607">
        <v>3365</v>
      </c>
      <c r="F211" s="1613">
        <v>8.17</v>
      </c>
      <c r="I211" s="1575"/>
    </row>
    <row r="212" spans="1:9" ht="18.95" hidden="1" customHeight="1">
      <c r="A212" s="1617">
        <v>40626</v>
      </c>
      <c r="B212" s="1612">
        <v>287246</v>
      </c>
      <c r="C212" s="1607">
        <v>24326</v>
      </c>
      <c r="D212" s="1607">
        <v>20107</v>
      </c>
      <c r="E212" s="1607">
        <v>4219</v>
      </c>
      <c r="F212" s="1613">
        <v>8.4700000000000006</v>
      </c>
      <c r="I212" s="1575"/>
    </row>
    <row r="213" spans="1:9" ht="18.95" hidden="1" customHeight="1">
      <c r="A213" s="1617" t="s">
        <v>1323</v>
      </c>
      <c r="B213" s="1612">
        <v>286005</v>
      </c>
      <c r="C213" s="1607">
        <v>23476</v>
      </c>
      <c r="D213" s="1607">
        <v>20020</v>
      </c>
      <c r="E213" s="1607">
        <v>3456</v>
      </c>
      <c r="F213" s="1613">
        <v>8.2100000000000009</v>
      </c>
      <c r="G213" s="1618"/>
      <c r="I213" s="1575"/>
    </row>
    <row r="214" spans="1:9" ht="18.95" hidden="1" customHeight="1">
      <c r="A214" s="1617">
        <v>40654</v>
      </c>
      <c r="B214" s="1612">
        <v>286741</v>
      </c>
      <c r="C214" s="1607">
        <v>24180</v>
      </c>
      <c r="D214" s="1607">
        <v>20072</v>
      </c>
      <c r="E214" s="1607">
        <v>4108</v>
      </c>
      <c r="F214" s="1613">
        <v>8.43</v>
      </c>
      <c r="G214" s="1618"/>
      <c r="I214" s="1575"/>
    </row>
    <row r="215" spans="1:9" ht="18.95" hidden="1" customHeight="1">
      <c r="A215" s="1617">
        <v>40668</v>
      </c>
      <c r="B215" s="1612">
        <v>284572</v>
      </c>
      <c r="C215" s="1607">
        <v>22981</v>
      </c>
      <c r="D215" s="1607">
        <v>19920</v>
      </c>
      <c r="E215" s="1607">
        <v>3061</v>
      </c>
      <c r="F215" s="1613">
        <v>8.08</v>
      </c>
      <c r="G215" s="1618"/>
      <c r="I215" s="1575"/>
    </row>
    <row r="216" spans="1:9" ht="18.95" hidden="1" customHeight="1">
      <c r="A216" s="1617">
        <v>40682</v>
      </c>
      <c r="B216" s="1612">
        <v>284906</v>
      </c>
      <c r="C216" s="1607">
        <v>23797</v>
      </c>
      <c r="D216" s="1607">
        <v>19943</v>
      </c>
      <c r="E216" s="1607">
        <v>3854</v>
      </c>
      <c r="F216" s="1613">
        <v>8.35</v>
      </c>
      <c r="G216" s="1618"/>
      <c r="I216" s="1575"/>
    </row>
    <row r="217" spans="1:9" ht="18.95" hidden="1" customHeight="1">
      <c r="A217" s="1617">
        <v>40696</v>
      </c>
      <c r="B217" s="1612">
        <v>284733</v>
      </c>
      <c r="C217" s="1607">
        <v>21702</v>
      </c>
      <c r="D217" s="1607">
        <v>19931</v>
      </c>
      <c r="E217" s="1607">
        <v>1771</v>
      </c>
      <c r="F217" s="1613">
        <v>7.62</v>
      </c>
      <c r="G217" s="1618"/>
      <c r="I217" s="1575"/>
    </row>
    <row r="218" spans="1:9" ht="18.95" hidden="1" customHeight="1">
      <c r="A218" s="1617">
        <v>40710</v>
      </c>
      <c r="B218" s="1612">
        <v>285256</v>
      </c>
      <c r="C218" s="1607">
        <v>22688</v>
      </c>
      <c r="D218" s="1607">
        <v>19968</v>
      </c>
      <c r="E218" s="1607">
        <v>2720</v>
      </c>
      <c r="F218" s="1613">
        <v>7.95</v>
      </c>
      <c r="G218" s="1618"/>
      <c r="I218" s="1575"/>
    </row>
    <row r="219" spans="1:9" ht="18.95" hidden="1" customHeight="1">
      <c r="A219" s="1617">
        <v>40724</v>
      </c>
      <c r="B219" s="1612">
        <v>285872</v>
      </c>
      <c r="C219" s="1607">
        <v>23530</v>
      </c>
      <c r="D219" s="1607">
        <v>20011</v>
      </c>
      <c r="E219" s="1607">
        <v>3519</v>
      </c>
      <c r="F219" s="1613">
        <v>8.23</v>
      </c>
      <c r="G219" s="1618"/>
      <c r="I219" s="1575"/>
    </row>
    <row r="220" spans="1:9" ht="18.95" hidden="1" customHeight="1">
      <c r="A220" s="1617">
        <v>40738</v>
      </c>
      <c r="B220" s="1612">
        <v>289142</v>
      </c>
      <c r="C220" s="1607">
        <v>21972</v>
      </c>
      <c r="D220" s="1607">
        <v>20240</v>
      </c>
      <c r="E220" s="1607">
        <v>1732</v>
      </c>
      <c r="F220" s="1613">
        <v>7.6</v>
      </c>
      <c r="G220" s="1618"/>
      <c r="I220" s="1575"/>
    </row>
    <row r="221" spans="1:9" ht="18.95" hidden="1" customHeight="1">
      <c r="A221" s="1617">
        <v>40752</v>
      </c>
      <c r="B221" s="1612">
        <v>285832</v>
      </c>
      <c r="C221" s="1607">
        <v>21384</v>
      </c>
      <c r="D221" s="1607">
        <v>20008</v>
      </c>
      <c r="E221" s="1607">
        <v>1376</v>
      </c>
      <c r="F221" s="1613">
        <v>7.48</v>
      </c>
      <c r="G221" s="1618"/>
      <c r="I221" s="1575"/>
    </row>
    <row r="222" spans="1:9" ht="18.95" hidden="1" customHeight="1">
      <c r="A222" s="1617">
        <v>40766</v>
      </c>
      <c r="B222" s="1612">
        <v>285455</v>
      </c>
      <c r="C222" s="1607">
        <v>20817</v>
      </c>
      <c r="D222" s="1607">
        <v>19982</v>
      </c>
      <c r="E222" s="1607">
        <v>835</v>
      </c>
      <c r="F222" s="1613">
        <v>7.29</v>
      </c>
      <c r="G222" s="1618"/>
      <c r="I222" s="1575"/>
    </row>
    <row r="223" spans="1:9" ht="18.95" hidden="1" customHeight="1">
      <c r="A223" s="1617">
        <v>40780</v>
      </c>
      <c r="B223" s="1612">
        <v>284668</v>
      </c>
      <c r="C223" s="1607">
        <v>21975</v>
      </c>
      <c r="D223" s="1607">
        <v>19927</v>
      </c>
      <c r="E223" s="1607">
        <v>2048</v>
      </c>
      <c r="F223" s="1613">
        <v>7.72</v>
      </c>
      <c r="G223" s="1618"/>
      <c r="I223" s="1575"/>
    </row>
    <row r="224" spans="1:9" ht="18.95" hidden="1" customHeight="1">
      <c r="A224" s="1617">
        <v>40794</v>
      </c>
      <c r="B224" s="1612">
        <v>284880</v>
      </c>
      <c r="C224" s="1607">
        <v>21902</v>
      </c>
      <c r="D224" s="1607">
        <v>19942</v>
      </c>
      <c r="E224" s="1607">
        <v>1960</v>
      </c>
      <c r="F224" s="1613">
        <v>7.69</v>
      </c>
      <c r="G224" s="1618"/>
      <c r="I224" s="1575"/>
    </row>
    <row r="225" spans="1:12" ht="18.95" hidden="1" customHeight="1">
      <c r="A225" s="1617">
        <v>40808</v>
      </c>
      <c r="B225" s="1612">
        <v>287761</v>
      </c>
      <c r="C225" s="1607">
        <v>24062</v>
      </c>
      <c r="D225" s="1607">
        <v>20143</v>
      </c>
      <c r="E225" s="1607">
        <v>3919</v>
      </c>
      <c r="F225" s="1613">
        <v>8.36</v>
      </c>
      <c r="G225" s="1618"/>
      <c r="I225" s="1575"/>
    </row>
    <row r="226" spans="1:12" ht="18.95" hidden="1" customHeight="1">
      <c r="A226" s="1617">
        <v>40822</v>
      </c>
      <c r="B226" s="1612">
        <v>286084</v>
      </c>
      <c r="C226" s="1607">
        <v>22766</v>
      </c>
      <c r="D226" s="1607">
        <v>20026</v>
      </c>
      <c r="E226" s="1607">
        <v>2740</v>
      </c>
      <c r="F226" s="1613">
        <v>7.96</v>
      </c>
      <c r="G226" s="1618"/>
      <c r="I226" s="1575"/>
    </row>
    <row r="227" spans="1:12" ht="18.95" hidden="1" customHeight="1">
      <c r="A227" s="1617">
        <v>40836</v>
      </c>
      <c r="B227" s="1612">
        <v>287324</v>
      </c>
      <c r="C227" s="1607">
        <v>22206</v>
      </c>
      <c r="D227" s="1607">
        <v>20113</v>
      </c>
      <c r="E227" s="1607">
        <v>2093</v>
      </c>
      <c r="F227" s="1613">
        <v>7.73</v>
      </c>
      <c r="G227" s="1618"/>
      <c r="I227" s="1575"/>
    </row>
    <row r="228" spans="1:12" ht="18.95" hidden="1" customHeight="1">
      <c r="A228" s="1617">
        <v>40850</v>
      </c>
      <c r="B228" s="1612">
        <v>289607</v>
      </c>
      <c r="C228" s="1607">
        <v>21163</v>
      </c>
      <c r="D228" s="1607">
        <v>20272</v>
      </c>
      <c r="E228" s="1607">
        <v>891</v>
      </c>
      <c r="F228" s="1613">
        <v>7.31</v>
      </c>
      <c r="G228" s="1618"/>
      <c r="I228" s="1575"/>
    </row>
    <row r="229" spans="1:12" ht="18.95" hidden="1" customHeight="1">
      <c r="A229" s="1617">
        <v>40864</v>
      </c>
      <c r="B229" s="1612">
        <v>284710</v>
      </c>
      <c r="C229" s="1607">
        <v>21312</v>
      </c>
      <c r="D229" s="1607">
        <v>19930</v>
      </c>
      <c r="E229" s="1607">
        <v>1382</v>
      </c>
      <c r="F229" s="1613">
        <v>7.49</v>
      </c>
      <c r="G229" s="1618"/>
      <c r="I229" s="1575"/>
    </row>
    <row r="230" spans="1:12" ht="18.95" hidden="1" customHeight="1">
      <c r="A230" s="1617">
        <v>40878</v>
      </c>
      <c r="B230" s="1612">
        <v>286353</v>
      </c>
      <c r="C230" s="1607">
        <v>21613</v>
      </c>
      <c r="D230" s="1607">
        <v>20045</v>
      </c>
      <c r="E230" s="1607">
        <v>1568</v>
      </c>
      <c r="F230" s="1613">
        <v>7.55</v>
      </c>
      <c r="G230" s="1618"/>
      <c r="I230" s="1575"/>
    </row>
    <row r="231" spans="1:12" ht="18.95" hidden="1" customHeight="1">
      <c r="A231" s="1617">
        <v>40892</v>
      </c>
      <c r="B231" s="1612">
        <v>286057</v>
      </c>
      <c r="C231" s="1607">
        <v>21193</v>
      </c>
      <c r="D231" s="1607">
        <v>20024</v>
      </c>
      <c r="E231" s="1607">
        <v>1169</v>
      </c>
      <c r="F231" s="1613">
        <v>7.41</v>
      </c>
      <c r="G231" s="1618"/>
      <c r="I231" s="1575"/>
    </row>
    <row r="232" spans="1:12" ht="18.95" hidden="1" customHeight="1">
      <c r="A232" s="1617">
        <v>40934</v>
      </c>
      <c r="B232" s="1612">
        <v>295071</v>
      </c>
      <c r="C232" s="1607">
        <v>23736</v>
      </c>
      <c r="D232" s="1607">
        <v>20655</v>
      </c>
      <c r="E232" s="1607">
        <v>3081</v>
      </c>
      <c r="F232" s="1613">
        <v>8.0399999999999991</v>
      </c>
      <c r="G232" s="1550"/>
      <c r="I232" s="1575"/>
      <c r="J232" s="1550"/>
      <c r="K232" s="1575"/>
      <c r="L232" s="1550"/>
    </row>
    <row r="233" spans="1:12" ht="18.95" hidden="1" customHeight="1" thickTop="1">
      <c r="A233" s="1617">
        <v>40948</v>
      </c>
      <c r="B233" s="1612">
        <v>296350</v>
      </c>
      <c r="C233" s="1607">
        <v>22160</v>
      </c>
      <c r="D233" s="1607">
        <v>20744</v>
      </c>
      <c r="E233" s="1607">
        <v>1416</v>
      </c>
      <c r="F233" s="1613">
        <v>7.48</v>
      </c>
      <c r="G233" s="1550"/>
      <c r="I233" s="1575"/>
      <c r="J233" s="1550"/>
      <c r="K233" s="1575"/>
      <c r="L233" s="1550"/>
    </row>
    <row r="234" spans="1:12" ht="18.95" hidden="1" customHeight="1" thickTop="1">
      <c r="A234" s="1617">
        <v>40962</v>
      </c>
      <c r="B234" s="1612">
        <v>295119</v>
      </c>
      <c r="C234" s="1607">
        <v>23246</v>
      </c>
      <c r="D234" s="1607">
        <v>20658</v>
      </c>
      <c r="E234" s="1607">
        <v>2588</v>
      </c>
      <c r="F234" s="1613">
        <v>7.88</v>
      </c>
      <c r="G234" s="1550"/>
      <c r="I234" s="1575"/>
      <c r="J234" s="1550"/>
      <c r="K234" s="1575"/>
      <c r="L234" s="1550"/>
    </row>
    <row r="235" spans="1:12" ht="18.95" hidden="1" customHeight="1" thickTop="1">
      <c r="A235" s="1617">
        <v>40976</v>
      </c>
      <c r="B235" s="1612">
        <v>291715</v>
      </c>
      <c r="C235" s="1607">
        <v>23136</v>
      </c>
      <c r="D235" s="1607">
        <v>20420</v>
      </c>
      <c r="E235" s="1607">
        <v>2716</v>
      </c>
      <c r="F235" s="1613">
        <v>7.93</v>
      </c>
      <c r="G235" s="1550"/>
      <c r="I235" s="1575"/>
      <c r="J235" s="1550"/>
      <c r="K235" s="1575"/>
      <c r="L235" s="1550"/>
    </row>
    <row r="236" spans="1:12" ht="18.95" hidden="1" customHeight="1">
      <c r="A236" s="1617">
        <v>40990</v>
      </c>
      <c r="B236" s="1612">
        <v>291814</v>
      </c>
      <c r="C236" s="1607">
        <v>23420</v>
      </c>
      <c r="D236" s="1607">
        <v>20427</v>
      </c>
      <c r="E236" s="1607">
        <v>2993</v>
      </c>
      <c r="F236" s="1613">
        <v>8.0299999999999994</v>
      </c>
      <c r="G236" s="1550"/>
      <c r="I236" s="1575"/>
      <c r="J236" s="1550"/>
      <c r="K236" s="1575"/>
      <c r="L236" s="1550"/>
    </row>
    <row r="237" spans="1:12" ht="18.95" hidden="1" customHeight="1" thickTop="1">
      <c r="A237" s="1617">
        <v>41004</v>
      </c>
      <c r="B237" s="1612">
        <v>293662</v>
      </c>
      <c r="C237" s="1607">
        <v>23285</v>
      </c>
      <c r="D237" s="1607">
        <v>20556</v>
      </c>
      <c r="E237" s="1607">
        <v>2729</v>
      </c>
      <c r="F237" s="1613">
        <v>7.93</v>
      </c>
      <c r="G237" s="1550"/>
      <c r="I237" s="1575"/>
      <c r="J237" s="1550"/>
      <c r="K237" s="1575"/>
      <c r="L237" s="1550"/>
    </row>
    <row r="238" spans="1:12" ht="18.95" hidden="1" customHeight="1">
      <c r="A238" s="1617">
        <v>41018</v>
      </c>
      <c r="B238" s="1612">
        <v>294377</v>
      </c>
      <c r="C238" s="1607">
        <v>22617</v>
      </c>
      <c r="D238" s="1607">
        <v>20606</v>
      </c>
      <c r="E238" s="1607">
        <v>2011</v>
      </c>
      <c r="F238" s="1613">
        <v>7.68</v>
      </c>
      <c r="G238" s="1550"/>
      <c r="I238" s="1575"/>
      <c r="J238" s="1550"/>
      <c r="K238" s="1575"/>
      <c r="L238" s="1550"/>
    </row>
    <row r="239" spans="1:12" ht="18.95" hidden="1" customHeight="1">
      <c r="A239" s="1617">
        <v>41032</v>
      </c>
      <c r="B239" s="1612">
        <v>292516</v>
      </c>
      <c r="C239" s="1607">
        <v>23050</v>
      </c>
      <c r="D239" s="1607">
        <v>20476</v>
      </c>
      <c r="E239" s="1607">
        <v>2574</v>
      </c>
      <c r="F239" s="1613">
        <v>7.88</v>
      </c>
      <c r="G239" s="1550"/>
      <c r="I239" s="1575"/>
      <c r="J239" s="1550"/>
      <c r="K239" s="1575"/>
      <c r="L239" s="1550"/>
    </row>
    <row r="240" spans="1:12" ht="18.95" hidden="1" customHeight="1">
      <c r="A240" s="1617">
        <v>41046</v>
      </c>
      <c r="B240" s="1612">
        <v>294307</v>
      </c>
      <c r="C240" s="1607">
        <v>24033</v>
      </c>
      <c r="D240" s="1607">
        <v>20601</v>
      </c>
      <c r="E240" s="1607">
        <v>3432</v>
      </c>
      <c r="F240" s="1613">
        <v>8.17</v>
      </c>
      <c r="G240" s="1550"/>
      <c r="I240" s="1575"/>
      <c r="J240" s="1550"/>
      <c r="K240" s="1575"/>
      <c r="L240" s="1550"/>
    </row>
    <row r="241" spans="1:12" ht="18.95" hidden="1" customHeight="1" thickTop="1">
      <c r="A241" s="1619">
        <v>41060</v>
      </c>
      <c r="B241" s="1620">
        <v>296267</v>
      </c>
      <c r="C241" s="1621">
        <v>24967</v>
      </c>
      <c r="D241" s="1621">
        <v>20739</v>
      </c>
      <c r="E241" s="1621">
        <v>4228</v>
      </c>
      <c r="F241" s="1622">
        <v>8.43</v>
      </c>
      <c r="G241" s="1550"/>
      <c r="I241" s="1575"/>
      <c r="J241" s="1550"/>
      <c r="K241" s="1575"/>
      <c r="L241" s="1550"/>
    </row>
    <row r="242" spans="1:12" ht="18.95" hidden="1" customHeight="1">
      <c r="A242" s="1619">
        <v>41074</v>
      </c>
      <c r="B242" s="1620">
        <v>298111</v>
      </c>
      <c r="C242" s="1621">
        <v>24242</v>
      </c>
      <c r="D242" s="1621">
        <v>20868</v>
      </c>
      <c r="E242" s="1621">
        <v>3374</v>
      </c>
      <c r="F242" s="1622">
        <v>8.1300000000000008</v>
      </c>
      <c r="G242" s="1550"/>
      <c r="I242" s="1575"/>
      <c r="J242" s="1550"/>
      <c r="K242" s="1575"/>
      <c r="L242" s="1550"/>
    </row>
    <row r="243" spans="1:12" ht="18.95" hidden="1" customHeight="1">
      <c r="A243" s="1619">
        <v>41088</v>
      </c>
      <c r="B243" s="1620">
        <v>299964</v>
      </c>
      <c r="C243" s="1621">
        <v>25777</v>
      </c>
      <c r="D243" s="1621">
        <v>20997</v>
      </c>
      <c r="E243" s="1621">
        <v>4780</v>
      </c>
      <c r="F243" s="1622">
        <v>8.59</v>
      </c>
      <c r="G243" s="1550"/>
      <c r="I243" s="1575"/>
      <c r="J243" s="1550"/>
      <c r="K243" s="1575"/>
      <c r="L243" s="1550"/>
    </row>
    <row r="244" spans="1:12" ht="18.95" hidden="1" customHeight="1">
      <c r="A244" s="1619">
        <v>41102</v>
      </c>
      <c r="B244" s="1620">
        <v>301568</v>
      </c>
      <c r="C244" s="1621">
        <v>23265</v>
      </c>
      <c r="D244" s="1621">
        <v>21110</v>
      </c>
      <c r="E244" s="1621">
        <v>2155</v>
      </c>
      <c r="F244" s="1622">
        <v>7.71</v>
      </c>
      <c r="G244" s="1550"/>
      <c r="I244" s="1575"/>
      <c r="J244" s="1550"/>
      <c r="K244" s="1575"/>
      <c r="L244" s="1550"/>
    </row>
    <row r="245" spans="1:12" ht="18.95" hidden="1" customHeight="1">
      <c r="A245" s="1619">
        <v>41116</v>
      </c>
      <c r="B245" s="1620">
        <v>302297</v>
      </c>
      <c r="C245" s="1621">
        <v>24363</v>
      </c>
      <c r="D245" s="1621">
        <v>21161</v>
      </c>
      <c r="E245" s="1621">
        <v>3202</v>
      </c>
      <c r="F245" s="1622">
        <v>8.06</v>
      </c>
      <c r="G245" s="1550"/>
      <c r="I245" s="1575"/>
      <c r="J245" s="1550"/>
      <c r="K245" s="1575"/>
      <c r="L245" s="1550"/>
    </row>
    <row r="246" spans="1:12" ht="18.95" hidden="1" customHeight="1">
      <c r="A246" s="1619">
        <v>41130</v>
      </c>
      <c r="B246" s="1620">
        <v>301015</v>
      </c>
      <c r="C246" s="1621">
        <v>23719</v>
      </c>
      <c r="D246" s="1621">
        <v>21071</v>
      </c>
      <c r="E246" s="1621">
        <v>2648</v>
      </c>
      <c r="F246" s="1622">
        <v>7.88</v>
      </c>
      <c r="G246" s="1550"/>
      <c r="I246" s="1575"/>
      <c r="J246" s="1550"/>
      <c r="K246" s="1575"/>
      <c r="L246" s="1550"/>
    </row>
    <row r="247" spans="1:12" ht="18.95" hidden="1" customHeight="1">
      <c r="A247" s="1619">
        <v>41144</v>
      </c>
      <c r="B247" s="1620">
        <v>304295</v>
      </c>
      <c r="C247" s="1621">
        <v>23218</v>
      </c>
      <c r="D247" s="1621">
        <v>21301</v>
      </c>
      <c r="E247" s="1621">
        <v>1917</v>
      </c>
      <c r="F247" s="1622">
        <v>7.63</v>
      </c>
      <c r="G247" s="1550"/>
      <c r="I247" s="1575"/>
      <c r="J247" s="1550"/>
      <c r="K247" s="1575"/>
      <c r="L247" s="1550"/>
    </row>
    <row r="248" spans="1:12" ht="18.95" hidden="1" customHeight="1">
      <c r="A248" s="1619">
        <v>41158</v>
      </c>
      <c r="B248" s="1620">
        <v>302928</v>
      </c>
      <c r="C248" s="1621">
        <v>25141</v>
      </c>
      <c r="D248" s="1621">
        <v>21205</v>
      </c>
      <c r="E248" s="1621">
        <v>3936</v>
      </c>
      <c r="F248" s="1622">
        <v>8.3000000000000007</v>
      </c>
      <c r="G248" s="1550"/>
      <c r="I248" s="1575"/>
      <c r="J248" s="1550"/>
      <c r="K248" s="1575"/>
      <c r="L248" s="1550"/>
    </row>
    <row r="249" spans="1:12" ht="18.95" hidden="1" customHeight="1">
      <c r="A249" s="1619">
        <v>41172</v>
      </c>
      <c r="B249" s="1620">
        <v>304716</v>
      </c>
      <c r="C249" s="1621">
        <v>25137</v>
      </c>
      <c r="D249" s="1621">
        <v>21330</v>
      </c>
      <c r="E249" s="1621">
        <v>3807</v>
      </c>
      <c r="F249" s="1622">
        <v>8.25</v>
      </c>
      <c r="G249" s="1550"/>
      <c r="I249" s="1575"/>
      <c r="J249" s="1550"/>
      <c r="K249" s="1575"/>
      <c r="L249" s="1550"/>
    </row>
    <row r="250" spans="1:12" ht="18.95" hidden="1" customHeight="1">
      <c r="A250" s="1619">
        <v>41186</v>
      </c>
      <c r="B250" s="1620">
        <v>303975</v>
      </c>
      <c r="C250" s="1621">
        <v>25443</v>
      </c>
      <c r="D250" s="1621">
        <v>21278</v>
      </c>
      <c r="E250" s="1621">
        <v>4165</v>
      </c>
      <c r="F250" s="1622">
        <v>8.3699999999999992</v>
      </c>
      <c r="G250" s="1550"/>
      <c r="I250" s="1575"/>
      <c r="J250" s="1550"/>
      <c r="K250" s="1575"/>
      <c r="L250" s="1550"/>
    </row>
    <row r="251" spans="1:12" ht="18.95" hidden="1" customHeight="1">
      <c r="A251" s="1619">
        <v>41200</v>
      </c>
      <c r="B251" s="1620">
        <v>305238</v>
      </c>
      <c r="C251" s="1621">
        <v>25580</v>
      </c>
      <c r="D251" s="1621">
        <v>21367</v>
      </c>
      <c r="E251" s="1621">
        <v>4213</v>
      </c>
      <c r="F251" s="1622">
        <v>8.3800000000000008</v>
      </c>
      <c r="G251" s="1550"/>
      <c r="I251" s="1575"/>
      <c r="J251" s="1550"/>
      <c r="K251" s="1575"/>
      <c r="L251" s="1550"/>
    </row>
    <row r="252" spans="1:12" ht="18.95" hidden="1" customHeight="1">
      <c r="A252" s="1619">
        <v>41214</v>
      </c>
      <c r="B252" s="1620">
        <v>306094</v>
      </c>
      <c r="C252" s="1621">
        <v>25110</v>
      </c>
      <c r="D252" s="1621">
        <v>21427</v>
      </c>
      <c r="E252" s="1621">
        <v>3683</v>
      </c>
      <c r="F252" s="1622">
        <v>8.1999999999999993</v>
      </c>
      <c r="G252" s="1550"/>
      <c r="I252" s="1575"/>
      <c r="J252" s="1550"/>
      <c r="K252" s="1575"/>
      <c r="L252" s="1550"/>
    </row>
    <row r="253" spans="1:12" ht="18.95" hidden="1" customHeight="1">
      <c r="A253" s="1619">
        <v>41228</v>
      </c>
      <c r="B253" s="1620">
        <v>309041</v>
      </c>
      <c r="C253" s="1621">
        <v>23508</v>
      </c>
      <c r="D253" s="1621">
        <v>21633</v>
      </c>
      <c r="E253" s="1621">
        <v>1875</v>
      </c>
      <c r="F253" s="1622">
        <v>7.61</v>
      </c>
      <c r="G253" s="1550"/>
      <c r="I253" s="1575"/>
      <c r="J253" s="1550"/>
      <c r="K253" s="1575"/>
      <c r="L253" s="1550"/>
    </row>
    <row r="254" spans="1:12" ht="18.95" hidden="1" customHeight="1">
      <c r="A254" s="1619">
        <v>41242</v>
      </c>
      <c r="B254" s="1620">
        <v>309747</v>
      </c>
      <c r="C254" s="1621">
        <v>23651</v>
      </c>
      <c r="D254" s="1621">
        <v>21682</v>
      </c>
      <c r="E254" s="1621">
        <v>1969</v>
      </c>
      <c r="F254" s="1622">
        <v>7.64</v>
      </c>
      <c r="G254" s="1550"/>
      <c r="I254" s="1575"/>
      <c r="J254" s="1550"/>
      <c r="K254" s="1575"/>
      <c r="L254" s="1550"/>
    </row>
    <row r="255" spans="1:12" ht="18.95" hidden="1" customHeight="1">
      <c r="A255" s="1619">
        <v>41256</v>
      </c>
      <c r="B255" s="1620">
        <v>310163</v>
      </c>
      <c r="C255" s="1621">
        <v>23853</v>
      </c>
      <c r="D255" s="1621">
        <v>21711</v>
      </c>
      <c r="E255" s="1621">
        <v>2142</v>
      </c>
      <c r="F255" s="1622">
        <v>7.69</v>
      </c>
      <c r="G255" s="1550"/>
      <c r="I255" s="1575"/>
      <c r="J255" s="1550"/>
      <c r="K255" s="1575"/>
      <c r="L255" s="1550"/>
    </row>
    <row r="256" spans="1:12" ht="18.95" hidden="1" customHeight="1">
      <c r="A256" s="1619">
        <v>41270</v>
      </c>
      <c r="B256" s="1620">
        <v>311633</v>
      </c>
      <c r="C256" s="1621">
        <v>25617</v>
      </c>
      <c r="D256" s="1621">
        <v>21814</v>
      </c>
      <c r="E256" s="1621">
        <v>3803</v>
      </c>
      <c r="F256" s="1622">
        <v>8.2200000000000006</v>
      </c>
      <c r="G256" s="1550"/>
      <c r="I256" s="1575"/>
      <c r="J256" s="1550"/>
      <c r="K256" s="1575"/>
      <c r="L256" s="1550"/>
    </row>
    <row r="257" spans="1:12" ht="18.95" customHeight="1" thickTop="1">
      <c r="A257" s="1619">
        <v>41284</v>
      </c>
      <c r="B257" s="1620">
        <v>316797</v>
      </c>
      <c r="C257" s="1621">
        <v>25308</v>
      </c>
      <c r="D257" s="1621">
        <v>22176</v>
      </c>
      <c r="E257" s="1621">
        <v>3132</v>
      </c>
      <c r="F257" s="1622">
        <v>7.99</v>
      </c>
      <c r="G257" s="1550"/>
      <c r="I257" s="1575"/>
      <c r="J257" s="1550"/>
      <c r="K257" s="1575"/>
      <c r="L257" s="1550"/>
    </row>
    <row r="258" spans="1:12" ht="18.95" customHeight="1">
      <c r="A258" s="1619">
        <v>41298</v>
      </c>
      <c r="B258" s="1620">
        <v>319883</v>
      </c>
      <c r="C258" s="1621">
        <v>26017</v>
      </c>
      <c r="D258" s="1621">
        <v>22392</v>
      </c>
      <c r="E258" s="1621">
        <v>3625</v>
      </c>
      <c r="F258" s="1622">
        <v>8.1300000000000008</v>
      </c>
      <c r="G258" s="1550"/>
      <c r="I258" s="1575"/>
      <c r="J258" s="1550"/>
      <c r="K258" s="1575"/>
      <c r="L258" s="1550"/>
    </row>
    <row r="259" spans="1:12" ht="18.95" customHeight="1">
      <c r="A259" s="1619">
        <v>41312</v>
      </c>
      <c r="B259" s="1620">
        <v>319301</v>
      </c>
      <c r="C259" s="1621">
        <v>26052</v>
      </c>
      <c r="D259" s="1621">
        <v>22351</v>
      </c>
      <c r="E259" s="1621">
        <v>3701</v>
      </c>
      <c r="F259" s="1622">
        <v>8.16</v>
      </c>
      <c r="G259" s="1550"/>
      <c r="I259" s="1575"/>
      <c r="J259" s="1550"/>
      <c r="K259" s="1575"/>
      <c r="L259" s="1550"/>
    </row>
    <row r="260" spans="1:12" ht="18.95" customHeight="1">
      <c r="A260" s="1619">
        <v>41326</v>
      </c>
      <c r="B260" s="1620">
        <v>316559</v>
      </c>
      <c r="C260" s="1621">
        <v>25562</v>
      </c>
      <c r="D260" s="1621">
        <v>22159</v>
      </c>
      <c r="E260" s="1621">
        <v>3403</v>
      </c>
      <c r="F260" s="1622">
        <v>8.07</v>
      </c>
      <c r="G260" s="1550"/>
      <c r="I260" s="1575"/>
      <c r="J260" s="1550"/>
      <c r="K260" s="1575"/>
      <c r="L260" s="1550"/>
    </row>
    <row r="261" spans="1:12" ht="18.95" customHeight="1">
      <c r="A261" s="1619">
        <v>41340</v>
      </c>
      <c r="B261" s="1620">
        <v>314869</v>
      </c>
      <c r="C261" s="1621">
        <v>27304</v>
      </c>
      <c r="D261" s="1621">
        <v>22041</v>
      </c>
      <c r="E261" s="1621">
        <v>5263</v>
      </c>
      <c r="F261" s="1622">
        <v>8.67</v>
      </c>
      <c r="G261" s="1550"/>
      <c r="I261" s="1575"/>
      <c r="J261" s="1550"/>
      <c r="K261" s="1575"/>
      <c r="L261" s="1550"/>
    </row>
    <row r="262" spans="1:12" ht="18.95" customHeight="1">
      <c r="A262" s="1619">
        <v>41354</v>
      </c>
      <c r="B262" s="1620">
        <v>318276</v>
      </c>
      <c r="C262" s="1621">
        <v>26223</v>
      </c>
      <c r="D262" s="1621">
        <v>22279</v>
      </c>
      <c r="E262" s="1621">
        <v>3944</v>
      </c>
      <c r="F262" s="1622">
        <v>8.24</v>
      </c>
      <c r="G262" s="1550"/>
      <c r="I262" s="1575"/>
      <c r="J262" s="1550"/>
      <c r="K262" s="1575"/>
      <c r="L262" s="1550"/>
    </row>
    <row r="263" spans="1:12" ht="18.95" customHeight="1">
      <c r="A263" s="1619">
        <v>41368</v>
      </c>
      <c r="B263" s="1620">
        <v>316502</v>
      </c>
      <c r="C263" s="1621">
        <v>27068</v>
      </c>
      <c r="D263" s="1621">
        <v>22155</v>
      </c>
      <c r="E263" s="1621">
        <v>4913</v>
      </c>
      <c r="F263" s="1622">
        <v>8.5500000000000007</v>
      </c>
      <c r="G263" s="1550"/>
      <c r="I263" s="1575"/>
      <c r="J263" s="1550"/>
      <c r="K263" s="1575"/>
      <c r="L263" s="1550"/>
    </row>
    <row r="264" spans="1:12" ht="18.95" customHeight="1">
      <c r="A264" s="1619">
        <v>41382</v>
      </c>
      <c r="B264" s="1620">
        <v>318536</v>
      </c>
      <c r="C264" s="1621">
        <v>25401.599999999999</v>
      </c>
      <c r="D264" s="1621">
        <v>22298</v>
      </c>
      <c r="E264" s="1621">
        <v>3104</v>
      </c>
      <c r="F264" s="1622">
        <v>7.97</v>
      </c>
      <c r="G264" s="1550"/>
      <c r="I264" s="1575"/>
      <c r="J264" s="1550"/>
      <c r="K264" s="1575"/>
      <c r="L264" s="1550"/>
    </row>
    <row r="265" spans="1:12" ht="18.95" customHeight="1">
      <c r="A265" s="1619">
        <v>41396</v>
      </c>
      <c r="B265" s="1620">
        <v>316575.40000000002</v>
      </c>
      <c r="C265" s="1621">
        <v>25221</v>
      </c>
      <c r="D265" s="1621">
        <v>22160</v>
      </c>
      <c r="E265" s="1621">
        <v>3061</v>
      </c>
      <c r="F265" s="1622">
        <v>7.97</v>
      </c>
      <c r="G265" s="1550"/>
      <c r="I265" s="1575"/>
      <c r="J265" s="1550"/>
      <c r="K265" s="1575"/>
      <c r="L265" s="1550"/>
    </row>
    <row r="266" spans="1:12" ht="18.95" customHeight="1">
      <c r="A266" s="1619">
        <v>41410</v>
      </c>
      <c r="B266" s="1620">
        <v>317788.05682005471</v>
      </c>
      <c r="C266" s="1621">
        <v>25648.812009841884</v>
      </c>
      <c r="D266" s="1621">
        <v>22245.16397740383</v>
      </c>
      <c r="E266" s="1621">
        <v>3403.6480324380532</v>
      </c>
      <c r="F266" s="1622">
        <v>8.07</v>
      </c>
      <c r="G266" s="1550"/>
      <c r="I266" s="1575"/>
      <c r="J266" s="1550"/>
      <c r="K266" s="1575"/>
      <c r="L266" s="1550"/>
    </row>
    <row r="267" spans="1:12" ht="18.95" customHeight="1">
      <c r="A267" s="1619">
        <v>41424</v>
      </c>
      <c r="B267" s="1620">
        <v>315666.0544655238</v>
      </c>
      <c r="C267" s="1621">
        <v>24928.929132961177</v>
      </c>
      <c r="D267" s="1621">
        <v>22096.623812586669</v>
      </c>
      <c r="E267" s="1621">
        <v>2832.3053203745076</v>
      </c>
      <c r="F267" s="1622">
        <v>7.9</v>
      </c>
      <c r="G267" s="1550"/>
      <c r="I267" s="1575"/>
      <c r="J267" s="1550"/>
      <c r="K267" s="1575"/>
      <c r="L267" s="1550"/>
    </row>
    <row r="268" spans="1:12" ht="18.95" customHeight="1">
      <c r="A268" s="1619">
        <v>41438</v>
      </c>
      <c r="B268" s="1620">
        <v>316601.25340564689</v>
      </c>
      <c r="C268" s="1621">
        <v>27426.176391018696</v>
      </c>
      <c r="D268" s="1621">
        <v>22162.087738395283</v>
      </c>
      <c r="E268" s="1621">
        <v>5264.0886526234135</v>
      </c>
      <c r="F268" s="1622">
        <v>8.66</v>
      </c>
      <c r="G268" s="1550"/>
      <c r="I268" s="1575"/>
      <c r="J268" s="1550"/>
      <c r="K268" s="1575"/>
      <c r="L268" s="1550"/>
    </row>
    <row r="269" spans="1:12" ht="18.95" customHeight="1">
      <c r="A269" s="1619">
        <v>41452</v>
      </c>
      <c r="B269" s="1620">
        <v>316686.41260502406</v>
      </c>
      <c r="C269" s="1621">
        <v>26637.520435481445</v>
      </c>
      <c r="D269" s="1621">
        <v>22168.048882351686</v>
      </c>
      <c r="E269" s="1621">
        <v>4469.4715531297588</v>
      </c>
      <c r="F269" s="1622">
        <v>8.41</v>
      </c>
      <c r="G269" s="1550"/>
      <c r="I269" s="1575"/>
      <c r="J269" s="1550"/>
      <c r="K269" s="1575"/>
      <c r="L269" s="1550"/>
    </row>
    <row r="270" spans="1:12" ht="18.95" customHeight="1">
      <c r="A270" s="1619">
        <v>41466</v>
      </c>
      <c r="B270" s="1620">
        <v>316122.37201926421</v>
      </c>
      <c r="C270" s="1621">
        <v>26651.319215227049</v>
      </c>
      <c r="D270" s="1621">
        <v>22128.566041348495</v>
      </c>
      <c r="E270" s="1621">
        <v>4522.7531738785547</v>
      </c>
      <c r="F270" s="1622">
        <v>8.43</v>
      </c>
      <c r="G270" s="1550"/>
      <c r="I270" s="1575"/>
      <c r="J270" s="1550"/>
      <c r="K270" s="1575"/>
      <c r="L270" s="1550"/>
    </row>
    <row r="271" spans="1:12" ht="18.95" customHeight="1">
      <c r="A271" s="1619">
        <v>41480</v>
      </c>
      <c r="B271" s="1620">
        <v>317519.47930731066</v>
      </c>
      <c r="C271" s="1621">
        <v>27277.854649490317</v>
      </c>
      <c r="D271" s="1621">
        <v>22226.363551511749</v>
      </c>
      <c r="E271" s="1621">
        <v>5051.4910979785673</v>
      </c>
      <c r="F271" s="1622">
        <v>8.59</v>
      </c>
      <c r="G271" s="1550"/>
      <c r="I271" s="1575"/>
      <c r="J271" s="1550"/>
      <c r="K271" s="1575"/>
      <c r="L271" s="1550"/>
    </row>
    <row r="272" spans="1:12" ht="18.95" customHeight="1">
      <c r="A272" s="1619">
        <v>41494</v>
      </c>
      <c r="B272" s="1620">
        <v>320689.06371865387</v>
      </c>
      <c r="C272" s="1621">
        <v>28994.318912703682</v>
      </c>
      <c r="D272" s="1621">
        <v>22448.234460305772</v>
      </c>
      <c r="E272" s="1621">
        <v>6546.0844523979113</v>
      </c>
      <c r="F272" s="1622">
        <v>9.0399999999999991</v>
      </c>
      <c r="G272" s="1550"/>
      <c r="I272" s="1575"/>
      <c r="J272" s="1550"/>
      <c r="K272" s="1575"/>
      <c r="L272" s="1550"/>
    </row>
    <row r="273" spans="1:12" ht="18.95" customHeight="1">
      <c r="A273" s="1619">
        <v>41508</v>
      </c>
      <c r="B273" s="1620">
        <v>323873.70766469825</v>
      </c>
      <c r="C273" s="1621">
        <v>28402</v>
      </c>
      <c r="D273" s="1621">
        <v>22671.159536528878</v>
      </c>
      <c r="E273" s="1621">
        <v>5731.4416156066218</v>
      </c>
      <c r="F273" s="1622">
        <v>8.77</v>
      </c>
      <c r="G273" s="1550"/>
      <c r="I273" s="1575"/>
      <c r="J273" s="1550"/>
      <c r="K273" s="1575"/>
      <c r="L273" s="1550"/>
    </row>
    <row r="274" spans="1:12" ht="18.95" customHeight="1">
      <c r="A274" s="1619">
        <v>41522</v>
      </c>
      <c r="B274" s="1620">
        <v>317946.63816703978</v>
      </c>
      <c r="C274" s="1621">
        <v>27442.596407644465</v>
      </c>
      <c r="D274" s="1621">
        <v>22256.264671692788</v>
      </c>
      <c r="E274" s="1621">
        <v>5186.3317359516768</v>
      </c>
      <c r="F274" s="1622">
        <v>8.6300000000000008</v>
      </c>
      <c r="G274" s="1550"/>
      <c r="I274" s="1575"/>
      <c r="J274" s="1550"/>
      <c r="K274" s="1575"/>
      <c r="L274" s="1550"/>
    </row>
    <row r="275" spans="1:12" ht="18.95" customHeight="1">
      <c r="A275" s="1619">
        <v>41536</v>
      </c>
      <c r="B275" s="1620">
        <v>314881.37150729087</v>
      </c>
      <c r="C275" s="1621">
        <v>26912.179857300362</v>
      </c>
      <c r="D275" s="1621">
        <v>22041.696005510363</v>
      </c>
      <c r="E275" s="1621">
        <v>4870.4838517899989</v>
      </c>
      <c r="F275" s="1622">
        <v>8.5500000000000007</v>
      </c>
      <c r="G275" s="1550"/>
      <c r="I275" s="1575"/>
      <c r="J275" s="1550"/>
      <c r="K275" s="1575"/>
      <c r="L275" s="1550"/>
    </row>
    <row r="276" spans="1:12" ht="18.95" customHeight="1">
      <c r="A276" s="1619">
        <v>41550</v>
      </c>
      <c r="B276" s="1620">
        <v>314698.16670877166</v>
      </c>
      <c r="C276" s="1621">
        <v>26727.701622995704</v>
      </c>
      <c r="D276" s="1621">
        <v>22028.871669614018</v>
      </c>
      <c r="E276" s="1621">
        <v>4698.8299533816862</v>
      </c>
      <c r="F276" s="1622">
        <v>8.49</v>
      </c>
      <c r="G276" s="1550"/>
      <c r="I276" s="1575"/>
      <c r="J276" s="1550"/>
      <c r="K276" s="1575"/>
      <c r="L276" s="1550"/>
    </row>
    <row r="277" spans="1:12" ht="18.95" customHeight="1">
      <c r="A277" s="1619">
        <v>41564</v>
      </c>
      <c r="B277" s="1620">
        <v>314997.83979116578</v>
      </c>
      <c r="C277" s="1621">
        <v>26537.44974547777</v>
      </c>
      <c r="D277" s="1621">
        <v>24058.37466444484</v>
      </c>
      <c r="E277" s="1621">
        <v>2479.07508103293</v>
      </c>
      <c r="F277" s="1622">
        <v>8.42</v>
      </c>
      <c r="G277" s="1550"/>
      <c r="I277" s="1575"/>
      <c r="J277" s="1550"/>
      <c r="K277" s="1575"/>
      <c r="L277" s="1550"/>
    </row>
    <row r="278" spans="1:12" ht="18.95" customHeight="1">
      <c r="A278" s="1619">
        <v>41578</v>
      </c>
      <c r="B278" s="1620">
        <v>310895.77990799583</v>
      </c>
      <c r="C278" s="1621">
        <v>26901.41814594969</v>
      </c>
      <c r="D278" s="1621">
        <v>23795.055027400027</v>
      </c>
      <c r="E278" s="1621">
        <v>3106.3631185496633</v>
      </c>
      <c r="F278" s="1622">
        <v>8.65</v>
      </c>
      <c r="G278" s="1550"/>
      <c r="I278" s="1575"/>
      <c r="J278" s="1550"/>
      <c r="K278" s="1575"/>
      <c r="L278" s="1550"/>
    </row>
    <row r="279" spans="1:12" ht="18.95" customHeight="1">
      <c r="A279" s="1619">
        <v>41592</v>
      </c>
      <c r="B279" s="1620">
        <v>308225.68037449231</v>
      </c>
      <c r="C279" s="1621">
        <v>26827</v>
      </c>
      <c r="D279" s="1621">
        <v>23578.963106261712</v>
      </c>
      <c r="E279" s="1621">
        <v>3247.9775766660387</v>
      </c>
      <c r="F279" s="1622">
        <v>8.6999999999999993</v>
      </c>
      <c r="G279" s="1550"/>
      <c r="I279" s="1575"/>
      <c r="J279" s="1550"/>
      <c r="K279" s="1575"/>
      <c r="L279" s="1550"/>
    </row>
    <row r="280" spans="1:12" ht="18.95" customHeight="1">
      <c r="A280" s="1619">
        <v>41606</v>
      </c>
      <c r="B280" s="1620">
        <v>311649.44218085613</v>
      </c>
      <c r="C280" s="1621">
        <v>28741.93029283053</v>
      </c>
      <c r="D280" s="1621">
        <v>23856.482485159329</v>
      </c>
      <c r="E280" s="1621">
        <v>4885.4478076712003</v>
      </c>
      <c r="F280" s="1622">
        <v>9.2200000000000006</v>
      </c>
      <c r="G280" s="1550"/>
      <c r="I280" s="1575"/>
      <c r="J280" s="1550"/>
      <c r="K280" s="1575"/>
      <c r="L280" s="1550"/>
    </row>
    <row r="281" spans="1:12" ht="18.95" customHeight="1">
      <c r="A281" s="1619">
        <v>41620</v>
      </c>
      <c r="B281" s="1620">
        <v>311631.05343064351</v>
      </c>
      <c r="C281" s="1621">
        <v>29146.867244487396</v>
      </c>
      <c r="D281" s="1621">
        <v>23869.455126226865</v>
      </c>
      <c r="E281" s="1621">
        <v>5277.4121182605304</v>
      </c>
      <c r="F281" s="1622">
        <v>9.35</v>
      </c>
      <c r="G281" s="1550"/>
      <c r="I281" s="1575"/>
      <c r="J281" s="1550"/>
      <c r="K281" s="1575"/>
      <c r="L281" s="1550"/>
    </row>
    <row r="282" spans="1:12" ht="18.95" customHeight="1">
      <c r="A282" s="1619">
        <v>41634</v>
      </c>
      <c r="B282" s="1620">
        <v>311822.30111784354</v>
      </c>
      <c r="C282" s="1621">
        <v>33576.628992278725</v>
      </c>
      <c r="D282" s="1621">
        <v>23885.010400087005</v>
      </c>
      <c r="E282" s="1621">
        <v>9691.6185921917204</v>
      </c>
      <c r="F282" s="1622">
        <v>10.77</v>
      </c>
      <c r="G282" s="1550"/>
      <c r="I282" s="1575"/>
      <c r="J282" s="1550"/>
      <c r="K282" s="1575"/>
      <c r="L282" s="1550"/>
    </row>
    <row r="283" spans="1:12" ht="3.75" customHeight="1">
      <c r="A283" s="1619"/>
      <c r="B283" s="1620"/>
      <c r="C283" s="1621"/>
      <c r="D283" s="1621"/>
      <c r="E283" s="1621"/>
      <c r="F283" s="1622"/>
      <c r="G283" s="1550"/>
      <c r="I283" s="1575"/>
      <c r="J283" s="1550"/>
      <c r="K283" s="1575"/>
      <c r="L283" s="1550"/>
    </row>
    <row r="284" spans="1:12" ht="19.5" customHeight="1">
      <c r="A284" s="1619">
        <v>41648</v>
      </c>
      <c r="B284" s="1620">
        <v>316945</v>
      </c>
      <c r="C284" s="1621">
        <v>32392</v>
      </c>
      <c r="D284" s="1621">
        <v>24314</v>
      </c>
      <c r="E284" s="1621">
        <v>8078</v>
      </c>
      <c r="F284" s="1622">
        <v>10.220000000000001</v>
      </c>
      <c r="G284" s="1550"/>
      <c r="I284" s="1575"/>
      <c r="J284" s="1550"/>
      <c r="K284" s="1575"/>
      <c r="L284" s="1550"/>
    </row>
    <row r="285" spans="1:12" ht="19.5" customHeight="1">
      <c r="A285" s="1619">
        <v>41662</v>
      </c>
      <c r="B285" s="1620">
        <v>321607</v>
      </c>
      <c r="C285" s="1621">
        <v>35694</v>
      </c>
      <c r="D285" s="1621">
        <v>24661</v>
      </c>
      <c r="E285" s="1621">
        <v>11033</v>
      </c>
      <c r="F285" s="1622">
        <v>11.1</v>
      </c>
      <c r="G285" s="1550"/>
      <c r="I285" s="1575"/>
      <c r="J285" s="1550"/>
      <c r="K285" s="1575"/>
      <c r="L285" s="1550"/>
    </row>
    <row r="286" spans="1:12" ht="19.5" customHeight="1">
      <c r="A286" s="1619">
        <v>41676</v>
      </c>
      <c r="B286" s="1620">
        <v>321065.5196236521</v>
      </c>
      <c r="C286" s="1621">
        <v>32435.941038726698</v>
      </c>
      <c r="D286" s="1621">
        <v>24630.69562864866</v>
      </c>
      <c r="E286" s="1621">
        <v>7805.2454100780378</v>
      </c>
      <c r="F286" s="1622">
        <v>10.1</v>
      </c>
      <c r="G286" s="1550"/>
      <c r="I286" s="1575"/>
      <c r="J286" s="1550"/>
      <c r="K286" s="1575"/>
      <c r="L286" s="1550"/>
    </row>
    <row r="287" spans="1:12" ht="19.5" customHeight="1">
      <c r="A287" s="1619">
        <v>41690</v>
      </c>
      <c r="B287" s="1620">
        <v>320876.30028259638</v>
      </c>
      <c r="C287" s="1621">
        <v>33527.443279690226</v>
      </c>
      <c r="D287" s="1621">
        <v>24621.239856687946</v>
      </c>
      <c r="E287" s="1621">
        <v>8906.20342300228</v>
      </c>
      <c r="F287" s="1622">
        <v>10.45</v>
      </c>
      <c r="G287" s="1550"/>
      <c r="I287" s="1575"/>
      <c r="J287" s="1550"/>
      <c r="K287" s="1575"/>
      <c r="L287" s="1550"/>
    </row>
    <row r="288" spans="1:12" ht="19.5" customHeight="1">
      <c r="A288" s="1619">
        <v>41704</v>
      </c>
      <c r="B288" s="1620">
        <v>321889.36785668856</v>
      </c>
      <c r="C288" s="1621">
        <v>36167.908434049314</v>
      </c>
      <c r="D288" s="1621">
        <v>24688.176839923701</v>
      </c>
      <c r="E288" s="1621">
        <v>11479.731594125613</v>
      </c>
      <c r="F288" s="1622">
        <v>11.24</v>
      </c>
      <c r="G288" s="1550"/>
      <c r="I288" s="1575"/>
      <c r="J288" s="1550"/>
      <c r="K288" s="1575"/>
      <c r="L288" s="1550"/>
    </row>
    <row r="289" spans="1:13" ht="19.5" customHeight="1">
      <c r="A289" s="1619">
        <v>41718</v>
      </c>
      <c r="B289" s="1620">
        <v>325510.32565979211</v>
      </c>
      <c r="C289" s="1621">
        <v>36043.119709802682</v>
      </c>
      <c r="D289" s="1621">
        <v>24977.686270248239</v>
      </c>
      <c r="E289" s="1621">
        <v>11065.433439554443</v>
      </c>
      <c r="F289" s="1622">
        <v>11.07</v>
      </c>
      <c r="G289" s="1550"/>
      <c r="I289" s="1575"/>
      <c r="J289" s="1550"/>
      <c r="K289" s="1575"/>
      <c r="L289" s="1550"/>
    </row>
    <row r="290" spans="1:13" ht="19.5" customHeight="1">
      <c r="A290" s="1619">
        <v>41732</v>
      </c>
      <c r="B290" s="1620">
        <v>324245.35388497502</v>
      </c>
      <c r="C290" s="1621">
        <v>36227.344660099086</v>
      </c>
      <c r="D290" s="1621">
        <v>24861.649501549884</v>
      </c>
      <c r="E290" s="1621">
        <v>11365.695158549202</v>
      </c>
      <c r="F290" s="1622">
        <v>11.17</v>
      </c>
      <c r="G290" s="1550"/>
      <c r="I290" s="1575"/>
      <c r="J290" s="1550"/>
      <c r="K290" s="1575"/>
      <c r="L290" s="1550"/>
    </row>
    <row r="291" spans="1:13" ht="19.5" customHeight="1">
      <c r="A291" s="1619">
        <v>41746</v>
      </c>
      <c r="B291" s="1620">
        <v>325542.63241766294</v>
      </c>
      <c r="C291" s="1621">
        <v>36093.244299116748</v>
      </c>
      <c r="D291" s="1621">
        <v>24962.133264141157</v>
      </c>
      <c r="E291" s="1621">
        <v>11131.111034975591</v>
      </c>
      <c r="F291" s="1622">
        <v>11.09</v>
      </c>
      <c r="G291" s="1550"/>
      <c r="I291" s="1575"/>
      <c r="J291" s="1550"/>
      <c r="K291" s="1575"/>
      <c r="L291" s="1550"/>
    </row>
    <row r="292" spans="1:13" ht="19.5" customHeight="1">
      <c r="A292" s="1619">
        <v>41760</v>
      </c>
      <c r="B292" s="1620">
        <v>325905.09360628354</v>
      </c>
      <c r="C292" s="1621">
        <v>35896.371338588164</v>
      </c>
      <c r="D292" s="1621">
        <v>24985</v>
      </c>
      <c r="E292" s="1621">
        <v>10911.264584256794</v>
      </c>
      <c r="F292" s="1622">
        <v>11.01</v>
      </c>
      <c r="G292" s="1550"/>
      <c r="I292" s="1575"/>
      <c r="J292" s="1550"/>
      <c r="K292" s="1575"/>
      <c r="L292" s="1550"/>
    </row>
    <row r="293" spans="1:13" ht="19.5" customHeight="1">
      <c r="A293" s="1619">
        <v>41774</v>
      </c>
      <c r="B293" s="1620">
        <v>327827.16451386816</v>
      </c>
      <c r="C293" s="1621">
        <v>37138.52177879517</v>
      </c>
      <c r="D293" s="1621">
        <v>27857.086289644754</v>
      </c>
      <c r="E293" s="1621">
        <v>9281.4354891504154</v>
      </c>
      <c r="F293" s="1622">
        <v>11.328689565389601</v>
      </c>
      <c r="G293" s="1550"/>
      <c r="I293" s="1575"/>
      <c r="J293" s="1550"/>
      <c r="K293" s="1575"/>
      <c r="L293" s="1550"/>
    </row>
    <row r="294" spans="1:13" ht="19.5" customHeight="1">
      <c r="A294" s="1619">
        <v>41788</v>
      </c>
      <c r="B294" s="1620">
        <v>327697.30251116958</v>
      </c>
      <c r="C294" s="1621">
        <v>39413.659678423697</v>
      </c>
      <c r="D294" s="1621">
        <v>27855.415340923759</v>
      </c>
      <c r="E294" s="1621">
        <v>11558.244337499938</v>
      </c>
      <c r="F294" s="1622">
        <v>12.027459297465599</v>
      </c>
      <c r="G294" s="1550"/>
      <c r="I294" s="1575"/>
      <c r="J294" s="1550"/>
      <c r="K294" s="1575"/>
      <c r="L294" s="1550"/>
    </row>
    <row r="295" spans="1:13" ht="19.5" customHeight="1">
      <c r="A295" s="1619">
        <v>41802</v>
      </c>
      <c r="B295" s="1620">
        <v>329075.96205562097</v>
      </c>
      <c r="C295" s="1621">
        <v>36714.419538105562</v>
      </c>
      <c r="D295" s="1621">
        <v>28007.936586579093</v>
      </c>
      <c r="E295" s="1621">
        <v>8706.4829515264682</v>
      </c>
      <c r="F295" s="1622">
        <v>11.16</v>
      </c>
      <c r="G295" s="1550"/>
      <c r="I295" s="1575"/>
      <c r="J295" s="1550"/>
      <c r="K295" s="1575"/>
      <c r="L295" s="1550"/>
    </row>
    <row r="296" spans="1:13" ht="19.5" customHeight="1">
      <c r="A296" s="1619">
        <v>41816</v>
      </c>
      <c r="B296" s="1620">
        <v>331845.40393315087</v>
      </c>
      <c r="C296" s="1621">
        <v>38153.331195495368</v>
      </c>
      <c r="D296" s="1621">
        <v>28168.077887403844</v>
      </c>
      <c r="E296" s="1621">
        <v>9985.2533080915236</v>
      </c>
      <c r="F296" s="1622">
        <v>11.5</v>
      </c>
      <c r="G296" s="1550"/>
      <c r="I296" s="1575"/>
      <c r="J296" s="1550"/>
      <c r="K296" s="1575"/>
      <c r="L296" s="1550"/>
    </row>
    <row r="297" spans="1:13" ht="18" customHeight="1">
      <c r="A297" s="1619">
        <v>41830</v>
      </c>
      <c r="B297" s="1620">
        <v>338116.03878096602</v>
      </c>
      <c r="C297" s="1621">
        <v>36452.570926425135</v>
      </c>
      <c r="D297" s="1621">
        <v>28595.973484367267</v>
      </c>
      <c r="E297" s="1621">
        <v>7856.5974420578677</v>
      </c>
      <c r="F297" s="1622">
        <v>10.78</v>
      </c>
      <c r="G297" s="1623"/>
      <c r="H297" s="1623"/>
      <c r="I297" s="1623"/>
      <c r="J297" s="1623"/>
      <c r="K297" s="1623"/>
      <c r="L297" s="1550"/>
    </row>
    <row r="298" spans="1:13" s="1624" customFormat="1" ht="18.75" customHeight="1" thickBot="1">
      <c r="A298" s="1619">
        <v>41844</v>
      </c>
      <c r="B298" s="1620">
        <v>341203.06774144224</v>
      </c>
      <c r="C298" s="1621">
        <v>37137.674696603237</v>
      </c>
      <c r="D298" s="1621">
        <v>28882.12188674217</v>
      </c>
      <c r="E298" s="1621">
        <v>8255.5528098610666</v>
      </c>
      <c r="F298" s="1622">
        <v>10.88</v>
      </c>
      <c r="H298" s="1625"/>
      <c r="I298" s="1626"/>
      <c r="J298" s="1626"/>
      <c r="K298" s="1626"/>
      <c r="L298" s="1626"/>
      <c r="M298" s="1626"/>
    </row>
    <row r="299" spans="1:13" s="1624" customFormat="1" ht="27" hidden="1" customHeight="1">
      <c r="A299" s="1627"/>
      <c r="B299" s="1628"/>
      <c r="C299" s="1629"/>
      <c r="D299" s="1629"/>
      <c r="E299" s="1629"/>
      <c r="F299" s="1630"/>
      <c r="H299" s="1631"/>
    </row>
    <row r="300" spans="1:13" s="1624" customFormat="1" ht="24" hidden="1" customHeight="1">
      <c r="A300" s="3347" t="s">
        <v>1324</v>
      </c>
      <c r="B300" s="3347"/>
      <c r="C300" s="3347"/>
      <c r="D300" s="3347"/>
      <c r="E300" s="3347"/>
      <c r="F300" s="3347"/>
      <c r="H300" s="1631"/>
    </row>
    <row r="301" spans="1:13" s="1626" customFormat="1" ht="26.25" hidden="1" customHeight="1">
      <c r="A301" s="3347" t="s">
        <v>1325</v>
      </c>
      <c r="B301" s="3347"/>
      <c r="C301" s="3347"/>
      <c r="D301" s="3347"/>
      <c r="E301" s="3347"/>
      <c r="F301" s="3347"/>
      <c r="H301" s="1625"/>
    </row>
    <row r="302" spans="1:13" s="1626" customFormat="1" ht="12.75" hidden="1" customHeight="1">
      <c r="A302" s="3347" t="s">
        <v>1326</v>
      </c>
      <c r="B302" s="3347"/>
      <c r="C302" s="3347"/>
      <c r="D302" s="3347"/>
      <c r="E302" s="3347"/>
      <c r="F302" s="3347"/>
      <c r="H302" s="1625"/>
    </row>
    <row r="303" spans="1:13" s="1626" customFormat="1" ht="13.5" hidden="1" thickBot="1">
      <c r="A303" s="3347" t="s">
        <v>1327</v>
      </c>
      <c r="B303" s="3347"/>
      <c r="C303" s="3347"/>
      <c r="D303" s="3347"/>
      <c r="E303" s="3347"/>
      <c r="F303" s="3347"/>
      <c r="H303" s="1625"/>
    </row>
    <row r="304" spans="1:13" s="1626" customFormat="1" ht="12" hidden="1" customHeight="1">
      <c r="A304" s="3347" t="s">
        <v>1328</v>
      </c>
      <c r="B304" s="3347"/>
      <c r="C304" s="3347"/>
      <c r="D304" s="3347"/>
      <c r="E304" s="3347"/>
      <c r="F304" s="3347"/>
      <c r="H304" s="1625"/>
    </row>
    <row r="305" spans="1:8" s="1626" customFormat="1" ht="15" hidden="1" thickBot="1">
      <c r="A305" s="1632" t="s">
        <v>1329</v>
      </c>
      <c r="B305" s="1633"/>
      <c r="C305" s="1633"/>
      <c r="D305" s="1633"/>
      <c r="E305" s="1633"/>
      <c r="F305" s="1633"/>
      <c r="H305" s="1625"/>
    </row>
    <row r="306" spans="1:8" s="1626" customFormat="1" ht="12" hidden="1" customHeight="1">
      <c r="A306" s="1633" t="s">
        <v>1330</v>
      </c>
      <c r="B306" s="1633"/>
      <c r="C306" s="1633"/>
      <c r="D306" s="1633"/>
      <c r="E306" s="1633"/>
      <c r="F306" s="1633"/>
      <c r="H306" s="1625"/>
    </row>
    <row r="307" spans="1:8" s="1626" customFormat="1" ht="13.5" hidden="1" thickBot="1">
      <c r="A307" s="1633" t="s">
        <v>1331</v>
      </c>
      <c r="B307" s="1633"/>
      <c r="C307" s="1633"/>
      <c r="D307" s="1633"/>
      <c r="E307" s="1633"/>
      <c r="F307" s="1633"/>
      <c r="H307" s="1625"/>
    </row>
    <row r="308" spans="1:8" s="1626" customFormat="1" ht="13.5" hidden="1" thickBot="1">
      <c r="A308" s="1633" t="s">
        <v>1332</v>
      </c>
      <c r="B308" s="1633"/>
      <c r="C308" s="1633"/>
      <c r="D308" s="1633"/>
      <c r="E308" s="1633"/>
      <c r="F308" s="1633"/>
      <c r="H308" s="1625"/>
    </row>
    <row r="309" spans="1:8" s="1626" customFormat="1" ht="13.5" hidden="1" thickBot="1">
      <c r="A309" s="1633" t="s">
        <v>1333</v>
      </c>
      <c r="B309" s="1633"/>
      <c r="C309" s="1633"/>
      <c r="D309" s="1633"/>
      <c r="E309" s="1633"/>
      <c r="F309" s="1633"/>
      <c r="H309" s="1625"/>
    </row>
    <row r="310" spans="1:8" s="1626" customFormat="1" ht="45" hidden="1" customHeight="1">
      <c r="A310" s="1633" t="s">
        <v>1334</v>
      </c>
      <c r="B310" s="1633"/>
      <c r="C310" s="1633"/>
      <c r="D310" s="1633"/>
      <c r="E310" s="1633"/>
      <c r="F310" s="1633"/>
      <c r="H310" s="1625"/>
    </row>
    <row r="311" spans="1:8" s="1626" customFormat="1" ht="12.75" customHeight="1">
      <c r="A311" s="1634" t="s">
        <v>1335</v>
      </c>
      <c r="B311" s="1634"/>
      <c r="C311" s="1634"/>
      <c r="D311" s="1634"/>
      <c r="E311" s="1634"/>
      <c r="F311" s="1634"/>
      <c r="H311" s="1625"/>
    </row>
    <row r="312" spans="1:8" s="1635" customFormat="1" ht="14.25" customHeight="1">
      <c r="A312" s="1633" t="s">
        <v>1336</v>
      </c>
      <c r="B312" s="1633"/>
      <c r="C312" s="1633"/>
      <c r="D312" s="1633"/>
      <c r="E312" s="1633"/>
      <c r="F312" s="1633"/>
      <c r="H312" s="1636"/>
    </row>
    <row r="313" spans="1:8">
      <c r="A313" s="3348" t="s">
        <v>1337</v>
      </c>
      <c r="B313" s="3348"/>
      <c r="C313" s="3348"/>
      <c r="D313" s="3348"/>
      <c r="E313" s="3348"/>
      <c r="F313" s="3348"/>
    </row>
    <row r="314" spans="1:8" ht="13.5" customHeight="1">
      <c r="A314" s="677" t="s">
        <v>240</v>
      </c>
      <c r="B314" s="1637"/>
      <c r="C314" s="1637"/>
      <c r="D314" s="1637"/>
      <c r="E314" s="1637"/>
      <c r="F314" s="1637"/>
    </row>
    <row r="315" spans="1:8">
      <c r="A315" s="3347" t="s">
        <v>180</v>
      </c>
      <c r="B315" s="3347"/>
      <c r="C315" s="3347"/>
      <c r="D315" s="3347"/>
      <c r="E315" s="3347"/>
      <c r="F315" s="3347"/>
    </row>
    <row r="316" spans="1:8" ht="25.5" customHeight="1"/>
  </sheetData>
  <mergeCells count="7">
    <mergeCell ref="A315:F315"/>
    <mergeCell ref="A300:F300"/>
    <mergeCell ref="A301:F301"/>
    <mergeCell ref="A302:F302"/>
    <mergeCell ref="A303:F303"/>
    <mergeCell ref="A304:F304"/>
    <mergeCell ref="A313:F313"/>
  </mergeCells>
  <printOptions horizontalCentered="1"/>
  <pageMargins left="0.98425196850393704" right="0" top="0.39370078740157483" bottom="0.39370078740157483" header="0" footer="0"/>
  <pageSetup paperSize="9" scale="84"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1"/>
  <sheetViews>
    <sheetView zoomScaleNormal="100" workbookViewId="0">
      <selection activeCell="F63" sqref="F63"/>
    </sheetView>
  </sheetViews>
  <sheetFormatPr defaultRowHeight="15"/>
  <cols>
    <col min="1" max="1" width="13" style="1269" customWidth="1"/>
    <col min="2" max="2" width="13.5703125" style="1269" customWidth="1"/>
    <col min="3" max="3" width="13.7109375" style="1269" customWidth="1"/>
    <col min="4" max="4" width="13.5703125" style="1269" customWidth="1"/>
    <col min="5" max="5" width="12.42578125" style="1269" customWidth="1"/>
    <col min="6" max="6" width="12.28515625" style="1269" customWidth="1"/>
    <col min="7" max="16384" width="9.140625" style="1269"/>
  </cols>
  <sheetData>
    <row r="1" spans="1:6" ht="18.75">
      <c r="A1" s="1638" t="s">
        <v>1338</v>
      </c>
      <c r="B1" s="1639"/>
      <c r="C1" s="1639"/>
      <c r="D1" s="1640"/>
      <c r="E1" s="1639"/>
      <c r="F1" s="1641"/>
    </row>
    <row r="2" spans="1:6" ht="15.75" thickBot="1">
      <c r="A2" s="1642"/>
      <c r="B2" s="1642"/>
      <c r="C2" s="1642"/>
      <c r="D2" s="1642"/>
      <c r="E2" s="1642"/>
      <c r="F2" s="1643"/>
    </row>
    <row r="3" spans="1:6" ht="17.25" thickTop="1" thickBot="1">
      <c r="A3" s="1644"/>
      <c r="B3" s="1645" t="s">
        <v>772</v>
      </c>
      <c r="C3" s="1646" t="s">
        <v>763</v>
      </c>
      <c r="D3" s="1646" t="s">
        <v>772</v>
      </c>
      <c r="E3" s="1647" t="s">
        <v>1339</v>
      </c>
      <c r="F3" s="1648"/>
    </row>
    <row r="4" spans="1:6" ht="15.75">
      <c r="A4" s="1649"/>
      <c r="B4" s="1650" t="s">
        <v>194</v>
      </c>
      <c r="C4" s="1651" t="s">
        <v>1340</v>
      </c>
      <c r="D4" s="1651" t="s">
        <v>194</v>
      </c>
      <c r="E4" s="1652" t="s">
        <v>1341</v>
      </c>
      <c r="F4" s="1653" t="s">
        <v>763</v>
      </c>
    </row>
    <row r="5" spans="1:6" ht="16.5" thickBot="1">
      <c r="A5" s="1654"/>
      <c r="B5" s="1655" t="s">
        <v>1342</v>
      </c>
      <c r="C5" s="1656"/>
      <c r="D5" s="1656" t="s">
        <v>1343</v>
      </c>
      <c r="E5" s="1656" t="s">
        <v>1342</v>
      </c>
      <c r="F5" s="1657" t="s">
        <v>1344</v>
      </c>
    </row>
    <row r="6" spans="1:6" ht="15.75" hidden="1" thickTop="1">
      <c r="A6" s="1658">
        <v>40179</v>
      </c>
      <c r="B6" s="1659">
        <v>403964</v>
      </c>
      <c r="C6" s="1660">
        <v>19483893</v>
      </c>
      <c r="D6" s="1660">
        <v>20</v>
      </c>
      <c r="E6" s="1661">
        <v>20198</v>
      </c>
      <c r="F6" s="1662">
        <v>974195</v>
      </c>
    </row>
    <row r="7" spans="1:6" ht="15.75" hidden="1" thickTop="1">
      <c r="A7" s="1658">
        <v>40210</v>
      </c>
      <c r="B7" s="1659">
        <v>381478</v>
      </c>
      <c r="C7" s="1660">
        <v>17757496</v>
      </c>
      <c r="D7" s="1660">
        <v>18</v>
      </c>
      <c r="E7" s="1661">
        <v>21193</v>
      </c>
      <c r="F7" s="1662">
        <v>986528</v>
      </c>
    </row>
    <row r="8" spans="1:6" ht="15.75" hidden="1" thickTop="1">
      <c r="A8" s="1658">
        <v>40238</v>
      </c>
      <c r="B8" s="1659">
        <v>476460</v>
      </c>
      <c r="C8" s="1660">
        <v>21813844</v>
      </c>
      <c r="D8" s="1660">
        <v>21</v>
      </c>
      <c r="E8" s="1661">
        <v>22688</v>
      </c>
      <c r="F8" s="1662">
        <v>1038755</v>
      </c>
    </row>
    <row r="9" spans="1:6" ht="15.75" hidden="1" thickTop="1">
      <c r="A9" s="1658">
        <v>40269</v>
      </c>
      <c r="B9" s="1659">
        <v>478241</v>
      </c>
      <c r="C9" s="1660">
        <v>22600161</v>
      </c>
      <c r="D9" s="1660">
        <v>22</v>
      </c>
      <c r="E9" s="1661">
        <v>21738</v>
      </c>
      <c r="F9" s="1662">
        <v>1027280</v>
      </c>
    </row>
    <row r="10" spans="1:6" ht="15.75" hidden="1" thickTop="1">
      <c r="A10" s="1658">
        <v>40299</v>
      </c>
      <c r="B10" s="1659">
        <v>419366</v>
      </c>
      <c r="C10" s="1660">
        <v>20193361</v>
      </c>
      <c r="D10" s="1660">
        <v>20</v>
      </c>
      <c r="E10" s="1661">
        <v>20969</v>
      </c>
      <c r="F10" s="1662">
        <v>1009668</v>
      </c>
    </row>
    <row r="11" spans="1:6" ht="15.75" hidden="1" thickTop="1">
      <c r="A11" s="1658">
        <v>40330</v>
      </c>
      <c r="B11" s="1659">
        <v>448294</v>
      </c>
      <c r="C11" s="1660">
        <v>21051307</v>
      </c>
      <c r="D11" s="1660">
        <v>22</v>
      </c>
      <c r="E11" s="1661">
        <v>20377</v>
      </c>
      <c r="F11" s="1662">
        <v>956878</v>
      </c>
    </row>
    <row r="12" spans="1:6" ht="15.75" hidden="1" thickTop="1">
      <c r="A12" s="1658">
        <v>40360</v>
      </c>
      <c r="B12" s="1659">
        <v>447586</v>
      </c>
      <c r="C12" s="1660">
        <v>21884958</v>
      </c>
      <c r="D12" s="1660">
        <v>22</v>
      </c>
      <c r="E12" s="1661">
        <v>20345</v>
      </c>
      <c r="F12" s="1662">
        <v>994771</v>
      </c>
    </row>
    <row r="13" spans="1:6" ht="15.75" hidden="1" thickTop="1">
      <c r="A13" s="1663">
        <v>40391</v>
      </c>
      <c r="B13" s="1664">
        <v>435490</v>
      </c>
      <c r="C13" s="1660">
        <v>21023041</v>
      </c>
      <c r="D13" s="1660">
        <v>22</v>
      </c>
      <c r="E13" s="1661">
        <v>19795</v>
      </c>
      <c r="F13" s="1662">
        <v>955593</v>
      </c>
    </row>
    <row r="14" spans="1:6" ht="15.75" hidden="1" thickTop="1">
      <c r="A14" s="1663">
        <v>40422</v>
      </c>
      <c r="B14" s="1664">
        <v>431049</v>
      </c>
      <c r="C14" s="1660">
        <v>20726682</v>
      </c>
      <c r="D14" s="1660">
        <v>21</v>
      </c>
      <c r="E14" s="1661">
        <v>20526</v>
      </c>
      <c r="F14" s="1662">
        <v>986985</v>
      </c>
    </row>
    <row r="15" spans="1:6" ht="15.75" hidden="1" thickTop="1">
      <c r="A15" s="1663">
        <v>40452</v>
      </c>
      <c r="B15" s="1664">
        <v>443872</v>
      </c>
      <c r="C15" s="1660">
        <v>21052303</v>
      </c>
      <c r="D15" s="1660">
        <v>21</v>
      </c>
      <c r="E15" s="1661">
        <v>21137</v>
      </c>
      <c r="F15" s="1662">
        <v>1002491</v>
      </c>
    </row>
    <row r="16" spans="1:6" ht="15.75" hidden="1" thickTop="1">
      <c r="A16" s="1663">
        <v>40483</v>
      </c>
      <c r="B16" s="1664">
        <v>478387</v>
      </c>
      <c r="C16" s="1660">
        <v>22094405.145189997</v>
      </c>
      <c r="D16" s="1660">
        <v>20</v>
      </c>
      <c r="E16" s="1661">
        <v>23919.35</v>
      </c>
      <c r="F16" s="1662">
        <v>1104720.2572594997</v>
      </c>
    </row>
    <row r="17" spans="1:6" ht="15.75" hidden="1" thickTop="1">
      <c r="A17" s="1663">
        <v>40513</v>
      </c>
      <c r="B17" s="1664">
        <v>562286</v>
      </c>
      <c r="C17" s="1660">
        <v>29385611</v>
      </c>
      <c r="D17" s="1660">
        <v>23</v>
      </c>
      <c r="E17" s="1661">
        <v>26776</v>
      </c>
      <c r="F17" s="1662">
        <v>1399315</v>
      </c>
    </row>
    <row r="18" spans="1:6" ht="15.75" hidden="1" thickTop="1">
      <c r="A18" s="1663">
        <v>40544</v>
      </c>
      <c r="B18" s="1665">
        <v>404261</v>
      </c>
      <c r="C18" s="1666">
        <v>18665282</v>
      </c>
      <c r="D18" s="1666">
        <v>19</v>
      </c>
      <c r="E18" s="1667">
        <v>21277</v>
      </c>
      <c r="F18" s="1668">
        <v>982383</v>
      </c>
    </row>
    <row r="19" spans="1:6" ht="15.75" hidden="1" thickTop="1">
      <c r="A19" s="1663">
        <v>40575</v>
      </c>
      <c r="B19" s="1665">
        <v>410417</v>
      </c>
      <c r="C19" s="1666">
        <v>20754567</v>
      </c>
      <c r="D19" s="1666">
        <v>18</v>
      </c>
      <c r="E19" s="1667">
        <v>22801</v>
      </c>
      <c r="F19" s="1668">
        <v>1153032</v>
      </c>
    </row>
    <row r="20" spans="1:6" ht="15.75" hidden="1" thickTop="1">
      <c r="A20" s="1663">
        <v>40603</v>
      </c>
      <c r="B20" s="1665">
        <v>480048</v>
      </c>
      <c r="C20" s="1666">
        <v>22665919</v>
      </c>
      <c r="D20" s="1666">
        <v>22</v>
      </c>
      <c r="E20" s="1667">
        <v>21820</v>
      </c>
      <c r="F20" s="1668">
        <v>1030269</v>
      </c>
    </row>
    <row r="21" spans="1:6" ht="15.75" hidden="1" thickTop="1">
      <c r="A21" s="1663">
        <v>40634</v>
      </c>
      <c r="B21" s="1665">
        <v>429435</v>
      </c>
      <c r="C21" s="1666">
        <v>20514130</v>
      </c>
      <c r="D21" s="1666">
        <v>20</v>
      </c>
      <c r="E21" s="1667">
        <v>21472</v>
      </c>
      <c r="F21" s="1668">
        <v>1025707</v>
      </c>
    </row>
    <row r="22" spans="1:6" ht="15.75" hidden="1" thickTop="1">
      <c r="A22" s="1663">
        <v>40664</v>
      </c>
      <c r="B22" s="1665">
        <v>472258</v>
      </c>
      <c r="C22" s="1666">
        <v>22338190</v>
      </c>
      <c r="D22" s="1666">
        <v>22</v>
      </c>
      <c r="E22" s="1667">
        <v>21466</v>
      </c>
      <c r="F22" s="1668">
        <v>1015372</v>
      </c>
    </row>
    <row r="23" spans="1:6" ht="15.75" hidden="1" thickTop="1">
      <c r="A23" s="1663">
        <v>40695</v>
      </c>
      <c r="B23" s="1665">
        <v>459609</v>
      </c>
      <c r="C23" s="1666">
        <v>23452306</v>
      </c>
      <c r="D23" s="1666">
        <v>22</v>
      </c>
      <c r="E23" s="1667">
        <v>20891</v>
      </c>
      <c r="F23" s="1668">
        <v>1066014</v>
      </c>
    </row>
    <row r="24" spans="1:6" ht="15.75" hidden="1" thickTop="1">
      <c r="A24" s="1663">
        <v>40725</v>
      </c>
      <c r="B24" s="1665">
        <v>436511</v>
      </c>
      <c r="C24" s="1666">
        <v>22202850</v>
      </c>
      <c r="D24" s="1666">
        <v>21</v>
      </c>
      <c r="E24" s="1667">
        <v>20786</v>
      </c>
      <c r="F24" s="1668">
        <v>1057279</v>
      </c>
    </row>
    <row r="25" spans="1:6" ht="15.75" hidden="1" thickTop="1">
      <c r="A25" s="1663">
        <v>40756</v>
      </c>
      <c r="B25" s="1665">
        <v>446499</v>
      </c>
      <c r="C25" s="1666">
        <v>21637527</v>
      </c>
      <c r="D25" s="1666">
        <v>22</v>
      </c>
      <c r="E25" s="1667">
        <v>20295</v>
      </c>
      <c r="F25" s="1668">
        <v>983524</v>
      </c>
    </row>
    <row r="26" spans="1:6" ht="15.75" hidden="1" thickTop="1">
      <c r="A26" s="1663">
        <v>40787</v>
      </c>
      <c r="B26" s="1665">
        <v>439837</v>
      </c>
      <c r="C26" s="1666">
        <v>20864985</v>
      </c>
      <c r="D26" s="1666">
        <v>21</v>
      </c>
      <c r="E26" s="1667">
        <v>20945</v>
      </c>
      <c r="F26" s="1668">
        <v>993571</v>
      </c>
    </row>
    <row r="27" spans="1:6" ht="15.75" hidden="1" thickTop="1">
      <c r="A27" s="1663">
        <v>40817</v>
      </c>
      <c r="B27" s="1665">
        <v>429409</v>
      </c>
      <c r="C27" s="1666">
        <v>21844470</v>
      </c>
      <c r="D27" s="1666">
        <v>20</v>
      </c>
      <c r="E27" s="1667">
        <v>21470</v>
      </c>
      <c r="F27" s="1668">
        <v>1092223</v>
      </c>
    </row>
    <row r="28" spans="1:6" ht="15.75" hidden="1" thickTop="1">
      <c r="A28" s="1663">
        <v>40848</v>
      </c>
      <c r="B28" s="1665">
        <v>441789</v>
      </c>
      <c r="C28" s="1666">
        <v>21637089</v>
      </c>
      <c r="D28" s="1666">
        <v>20</v>
      </c>
      <c r="E28" s="1667">
        <v>22089</v>
      </c>
      <c r="F28" s="1668">
        <v>1081854</v>
      </c>
    </row>
    <row r="29" spans="1:6" ht="15.75" hidden="1" thickTop="1">
      <c r="A29" s="1663">
        <v>40878</v>
      </c>
      <c r="B29" s="1665">
        <v>509153</v>
      </c>
      <c r="C29" s="1666">
        <v>26909768</v>
      </c>
      <c r="D29" s="1666">
        <v>22</v>
      </c>
      <c r="E29" s="1667">
        <v>23143</v>
      </c>
      <c r="F29" s="1668">
        <v>1223171</v>
      </c>
    </row>
    <row r="30" spans="1:6" ht="16.5" customHeight="1" thickTop="1">
      <c r="A30" s="1669">
        <v>40909</v>
      </c>
      <c r="B30" s="1665">
        <v>411557</v>
      </c>
      <c r="C30" s="1666">
        <v>20402574</v>
      </c>
      <c r="D30" s="1666">
        <v>20</v>
      </c>
      <c r="E30" s="1667">
        <v>20578</v>
      </c>
      <c r="F30" s="1668">
        <v>1020129</v>
      </c>
    </row>
    <row r="31" spans="1:6" ht="16.5" customHeight="1">
      <c r="A31" s="1669">
        <v>40940</v>
      </c>
      <c r="B31" s="1665">
        <v>401302</v>
      </c>
      <c r="C31" s="1666">
        <v>20239873</v>
      </c>
      <c r="D31" s="1666">
        <v>18</v>
      </c>
      <c r="E31" s="1667">
        <v>22295</v>
      </c>
      <c r="F31" s="1668">
        <v>1124437</v>
      </c>
    </row>
    <row r="32" spans="1:6" ht="16.5" customHeight="1">
      <c r="A32" s="1669">
        <v>40969</v>
      </c>
      <c r="B32" s="1665">
        <v>432715</v>
      </c>
      <c r="C32" s="1666">
        <v>21349071</v>
      </c>
      <c r="D32" s="1666">
        <v>20</v>
      </c>
      <c r="E32" s="1667">
        <v>21636</v>
      </c>
      <c r="F32" s="1668">
        <v>1067454</v>
      </c>
    </row>
    <row r="33" spans="1:6" ht="16.5" customHeight="1">
      <c r="A33" s="1669">
        <v>41000</v>
      </c>
      <c r="B33" s="1665">
        <v>436837</v>
      </c>
      <c r="C33" s="1666">
        <v>21910904</v>
      </c>
      <c r="D33" s="1666">
        <v>21</v>
      </c>
      <c r="E33" s="1667">
        <v>20802</v>
      </c>
      <c r="F33" s="1668">
        <v>1043376</v>
      </c>
    </row>
    <row r="34" spans="1:6" ht="16.5" customHeight="1">
      <c r="A34" s="1669">
        <v>41030</v>
      </c>
      <c r="B34" s="1665">
        <v>470150</v>
      </c>
      <c r="C34" s="1666">
        <v>22379207</v>
      </c>
      <c r="D34" s="1666">
        <v>22</v>
      </c>
      <c r="E34" s="1667">
        <v>21370</v>
      </c>
      <c r="F34" s="1668">
        <v>1017237</v>
      </c>
    </row>
    <row r="35" spans="1:6" ht="16.5" customHeight="1">
      <c r="A35" s="1669">
        <v>41061</v>
      </c>
      <c r="B35" s="1670">
        <v>423483</v>
      </c>
      <c r="C35" s="1666">
        <v>21139261</v>
      </c>
      <c r="D35" s="1666">
        <v>21</v>
      </c>
      <c r="E35" s="1667">
        <v>20166</v>
      </c>
      <c r="F35" s="1668">
        <v>1006631</v>
      </c>
    </row>
    <row r="36" spans="1:6" ht="16.5" customHeight="1">
      <c r="A36" s="1669">
        <v>41091</v>
      </c>
      <c r="B36" s="1670">
        <v>453418</v>
      </c>
      <c r="C36" s="1666">
        <v>23746073</v>
      </c>
      <c r="D36" s="1666">
        <v>22</v>
      </c>
      <c r="E36" s="1667">
        <v>20610</v>
      </c>
      <c r="F36" s="1668">
        <v>1079367</v>
      </c>
    </row>
    <row r="37" spans="1:6" ht="16.5" customHeight="1">
      <c r="A37" s="1669">
        <v>41122</v>
      </c>
      <c r="B37" s="1671">
        <v>428256</v>
      </c>
      <c r="C37" s="1666">
        <v>21776630</v>
      </c>
      <c r="D37" s="1666">
        <v>21</v>
      </c>
      <c r="E37" s="1667">
        <v>20393</v>
      </c>
      <c r="F37" s="1672">
        <v>1036982</v>
      </c>
    </row>
    <row r="38" spans="1:6" ht="16.5" customHeight="1">
      <c r="A38" s="1669">
        <v>41153</v>
      </c>
      <c r="B38" s="1671">
        <v>397667</v>
      </c>
      <c r="C38" s="1666">
        <v>20543860</v>
      </c>
      <c r="D38" s="1666">
        <v>19</v>
      </c>
      <c r="E38" s="1667">
        <v>20930</v>
      </c>
      <c r="F38" s="1672">
        <v>1081256</v>
      </c>
    </row>
    <row r="39" spans="1:6" ht="16.5" customHeight="1">
      <c r="A39" s="1669">
        <v>41183</v>
      </c>
      <c r="B39" s="1671">
        <v>476909</v>
      </c>
      <c r="C39" s="1666">
        <v>25001750</v>
      </c>
      <c r="D39" s="1666">
        <v>23</v>
      </c>
      <c r="E39" s="1667">
        <v>20735</v>
      </c>
      <c r="F39" s="1672">
        <v>1087033</v>
      </c>
    </row>
    <row r="40" spans="1:6" ht="16.5" customHeight="1">
      <c r="A40" s="1669">
        <v>41214</v>
      </c>
      <c r="B40" s="1671">
        <v>423120</v>
      </c>
      <c r="C40" s="1666">
        <v>21648556</v>
      </c>
      <c r="D40" s="1666">
        <v>20</v>
      </c>
      <c r="E40" s="1667">
        <v>21156</v>
      </c>
      <c r="F40" s="1672">
        <v>1082428</v>
      </c>
    </row>
    <row r="41" spans="1:6" ht="16.5" customHeight="1">
      <c r="A41" s="1669">
        <v>41244</v>
      </c>
      <c r="B41" s="1671">
        <v>458402</v>
      </c>
      <c r="C41" s="1666">
        <v>25455656</v>
      </c>
      <c r="D41" s="1666">
        <v>20</v>
      </c>
      <c r="E41" s="1667">
        <v>22920</v>
      </c>
      <c r="F41" s="1672">
        <v>1272783</v>
      </c>
    </row>
    <row r="42" spans="1:6" ht="16.5" customHeight="1">
      <c r="A42" s="1669">
        <v>41275</v>
      </c>
      <c r="B42" s="1671">
        <v>419313</v>
      </c>
      <c r="C42" s="1666">
        <v>21859942</v>
      </c>
      <c r="D42" s="1666">
        <v>21</v>
      </c>
      <c r="E42" s="1667">
        <v>19967</v>
      </c>
      <c r="F42" s="1672">
        <v>1040950</v>
      </c>
    </row>
    <row r="43" spans="1:6" ht="16.5" customHeight="1">
      <c r="A43" s="1669">
        <v>41306</v>
      </c>
      <c r="B43" s="1671">
        <v>369245</v>
      </c>
      <c r="C43" s="1666">
        <v>19588068</v>
      </c>
      <c r="D43" s="1666">
        <v>19</v>
      </c>
      <c r="E43" s="1667">
        <v>19434</v>
      </c>
      <c r="F43" s="1672">
        <v>1030951</v>
      </c>
    </row>
    <row r="44" spans="1:6" ht="16.5" customHeight="1">
      <c r="A44" s="1669">
        <v>41334</v>
      </c>
      <c r="B44" s="1673">
        <v>405034</v>
      </c>
      <c r="C44" s="1666">
        <v>20478459</v>
      </c>
      <c r="D44" s="1666">
        <v>20</v>
      </c>
      <c r="E44" s="1667">
        <v>20252</v>
      </c>
      <c r="F44" s="1672">
        <v>1023923</v>
      </c>
    </row>
    <row r="45" spans="1:6" ht="16.5" customHeight="1">
      <c r="A45" s="1669">
        <v>41365</v>
      </c>
      <c r="B45" s="1673">
        <v>423835</v>
      </c>
      <c r="C45" s="1666">
        <v>21031319</v>
      </c>
      <c r="D45" s="1666">
        <v>20</v>
      </c>
      <c r="E45" s="1667">
        <v>21192</v>
      </c>
      <c r="F45" s="1672">
        <v>1051565</v>
      </c>
    </row>
    <row r="46" spans="1:6" ht="16.5" customHeight="1">
      <c r="A46" s="1669">
        <v>41395</v>
      </c>
      <c r="B46" s="1671">
        <v>438561</v>
      </c>
      <c r="C46" s="1666">
        <v>22595813</v>
      </c>
      <c r="D46" s="1666">
        <v>22</v>
      </c>
      <c r="E46" s="1667">
        <v>19935</v>
      </c>
      <c r="F46" s="1672">
        <v>1027082.4090909091</v>
      </c>
    </row>
    <row r="47" spans="1:6" ht="16.5" customHeight="1">
      <c r="A47" s="1674">
        <v>41426</v>
      </c>
      <c r="B47" s="1673">
        <v>386585</v>
      </c>
      <c r="C47" s="1666">
        <v>20300449</v>
      </c>
      <c r="D47" s="1666">
        <v>20</v>
      </c>
      <c r="E47" s="1667">
        <v>19329</v>
      </c>
      <c r="F47" s="1672">
        <v>1015022</v>
      </c>
    </row>
    <row r="48" spans="1:6" ht="16.5" customHeight="1">
      <c r="A48" s="1674">
        <v>41456</v>
      </c>
      <c r="B48" s="1673">
        <v>458023</v>
      </c>
      <c r="C48" s="1666">
        <v>23757105</v>
      </c>
      <c r="D48" s="1666">
        <v>23</v>
      </c>
      <c r="E48" s="1667">
        <v>19914</v>
      </c>
      <c r="F48" s="1672">
        <v>1032918</v>
      </c>
    </row>
    <row r="49" spans="1:6" ht="16.5" customHeight="1">
      <c r="A49" s="1669">
        <v>41487</v>
      </c>
      <c r="B49" s="1673">
        <v>397266</v>
      </c>
      <c r="C49" s="1666">
        <v>22034024</v>
      </c>
      <c r="D49" s="1666">
        <v>21</v>
      </c>
      <c r="E49" s="1667">
        <v>18917</v>
      </c>
      <c r="F49" s="1672">
        <v>1049239</v>
      </c>
    </row>
    <row r="50" spans="1:6" ht="16.5" customHeight="1">
      <c r="A50" s="1669">
        <v>41518</v>
      </c>
      <c r="B50" s="1673">
        <v>398583</v>
      </c>
      <c r="C50" s="1666">
        <v>21175010</v>
      </c>
      <c r="D50" s="1666">
        <v>20</v>
      </c>
      <c r="E50" s="1667">
        <v>19929</v>
      </c>
      <c r="F50" s="1672">
        <v>1058751</v>
      </c>
    </row>
    <row r="51" spans="1:6" ht="16.5" customHeight="1">
      <c r="A51" s="1669">
        <v>41548</v>
      </c>
      <c r="B51" s="1673">
        <v>452289</v>
      </c>
      <c r="C51" s="1666">
        <v>24684836</v>
      </c>
      <c r="D51" s="1666">
        <v>23</v>
      </c>
      <c r="E51" s="1667">
        <v>19665</v>
      </c>
      <c r="F51" s="1672">
        <v>1073254</v>
      </c>
    </row>
    <row r="52" spans="1:6" ht="16.5" customHeight="1">
      <c r="A52" s="1669">
        <v>41579</v>
      </c>
      <c r="B52" s="1673">
        <v>393808</v>
      </c>
      <c r="C52" s="1666">
        <v>20725114</v>
      </c>
      <c r="D52" s="1666">
        <v>20</v>
      </c>
      <c r="E52" s="1667">
        <v>19690</v>
      </c>
      <c r="F52" s="1672">
        <v>1036256</v>
      </c>
    </row>
    <row r="53" spans="1:6" ht="16.5" customHeight="1">
      <c r="A53" s="1669">
        <v>41609</v>
      </c>
      <c r="B53" s="1673">
        <v>477819</v>
      </c>
      <c r="C53" s="1666">
        <v>26505337</v>
      </c>
      <c r="D53" s="1666">
        <v>21</v>
      </c>
      <c r="E53" s="1667">
        <v>22753</v>
      </c>
      <c r="F53" s="1672">
        <v>1262159</v>
      </c>
    </row>
    <row r="54" spans="1:6" ht="16.5" customHeight="1">
      <c r="A54" s="1669">
        <v>41653</v>
      </c>
      <c r="B54" s="1673">
        <v>374235</v>
      </c>
      <c r="C54" s="1666">
        <v>19560273</v>
      </c>
      <c r="D54" s="1666">
        <v>19</v>
      </c>
      <c r="E54" s="1667">
        <v>19697</v>
      </c>
      <c r="F54" s="1672">
        <v>1029488</v>
      </c>
    </row>
    <row r="55" spans="1:6" ht="16.5" customHeight="1">
      <c r="A55" s="1669">
        <v>41671</v>
      </c>
      <c r="B55" s="1673">
        <v>372478</v>
      </c>
      <c r="C55" s="1666">
        <v>19906878</v>
      </c>
      <c r="D55" s="1666">
        <v>18</v>
      </c>
      <c r="E55" s="1667">
        <v>20693</v>
      </c>
      <c r="F55" s="1672">
        <v>1105938</v>
      </c>
    </row>
    <row r="56" spans="1:6" ht="16.5" customHeight="1">
      <c r="A56" s="1669">
        <v>41699</v>
      </c>
      <c r="B56" s="1673">
        <v>385697</v>
      </c>
      <c r="C56" s="1666">
        <v>19847409</v>
      </c>
      <c r="D56" s="1666">
        <v>19</v>
      </c>
      <c r="E56" s="1667">
        <v>20300</v>
      </c>
      <c r="F56" s="1672">
        <v>1044600</v>
      </c>
    </row>
    <row r="57" spans="1:6" ht="16.5" customHeight="1">
      <c r="A57" s="1669">
        <v>41743</v>
      </c>
      <c r="B57" s="1673">
        <v>444814</v>
      </c>
      <c r="C57" s="1666">
        <v>23067406</v>
      </c>
      <c r="D57" s="1666">
        <v>22</v>
      </c>
      <c r="E57" s="1667">
        <v>20219</v>
      </c>
      <c r="F57" s="1672">
        <v>1048518</v>
      </c>
    </row>
    <row r="58" spans="1:6" ht="16.5" customHeight="1">
      <c r="A58" s="1669">
        <v>41773</v>
      </c>
      <c r="B58" s="1673">
        <v>421691</v>
      </c>
      <c r="C58" s="1666">
        <v>22238506</v>
      </c>
      <c r="D58" s="1666">
        <v>21</v>
      </c>
      <c r="E58" s="1667">
        <v>20081</v>
      </c>
      <c r="F58" s="1672">
        <v>1058976</v>
      </c>
    </row>
    <row r="59" spans="1:6" ht="16.5" customHeight="1">
      <c r="A59" s="1669">
        <v>41791</v>
      </c>
      <c r="B59" s="1673">
        <v>403572</v>
      </c>
      <c r="C59" s="1666">
        <v>21524293</v>
      </c>
      <c r="D59" s="1666">
        <v>21</v>
      </c>
      <c r="E59" s="1667">
        <v>19218</v>
      </c>
      <c r="F59" s="1672">
        <v>1024966</v>
      </c>
    </row>
    <row r="60" spans="1:6" ht="16.5" customHeight="1" thickBot="1">
      <c r="A60" s="1675">
        <v>41821</v>
      </c>
      <c r="B60" s="1676">
        <v>432321</v>
      </c>
      <c r="C60" s="1677">
        <v>22733366</v>
      </c>
      <c r="D60" s="1677">
        <v>22</v>
      </c>
      <c r="E60" s="1678">
        <v>19651</v>
      </c>
      <c r="F60" s="1679">
        <v>1033335</v>
      </c>
    </row>
    <row r="61" spans="1:6" ht="15.75" thickTop="1">
      <c r="A61" s="1680" t="s">
        <v>1345</v>
      </c>
      <c r="B61" s="1681"/>
      <c r="C61" s="1681"/>
      <c r="D61" s="1681"/>
      <c r="E61" s="1681"/>
      <c r="F61" s="1681"/>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A16" sqref="A16"/>
    </sheetView>
  </sheetViews>
  <sheetFormatPr defaultRowHeight="15.75"/>
  <cols>
    <col min="1" max="1" width="51.7109375" style="63" customWidth="1"/>
    <col min="2" max="2" width="25.85546875" style="101" customWidth="1"/>
    <col min="3" max="3" width="12.85546875" style="101" customWidth="1"/>
    <col min="4" max="4" width="24" style="63" customWidth="1"/>
    <col min="5" max="5" width="8.85546875" style="63" customWidth="1"/>
    <col min="6" max="6" width="10.42578125" style="63" customWidth="1"/>
    <col min="7" max="7" width="16.28515625" style="63" bestFit="1" customWidth="1"/>
    <col min="8" max="16384" width="9.140625" style="63"/>
  </cols>
  <sheetData>
    <row r="1" spans="1:7" ht="18.75">
      <c r="A1" s="59" t="s">
        <v>30</v>
      </c>
      <c r="B1" s="60"/>
      <c r="C1" s="60"/>
      <c r="D1" s="61"/>
      <c r="E1" s="61"/>
      <c r="F1" s="62"/>
    </row>
    <row r="2" spans="1:7" ht="19.5" thickBot="1">
      <c r="A2" s="64"/>
      <c r="B2" s="65"/>
      <c r="C2" s="65"/>
      <c r="D2" s="64"/>
      <c r="E2" s="64"/>
      <c r="F2" s="66"/>
    </row>
    <row r="3" spans="1:7" ht="19.5" thickTop="1">
      <c r="A3" s="67"/>
      <c r="B3" s="68">
        <v>41791</v>
      </c>
      <c r="C3" s="68"/>
      <c r="D3" s="68">
        <v>41760</v>
      </c>
      <c r="E3" s="69"/>
      <c r="F3" s="70"/>
    </row>
    <row r="4" spans="1:7" ht="18.75">
      <c r="A4" s="71"/>
      <c r="B4" s="72" t="s">
        <v>31</v>
      </c>
      <c r="C4" s="72"/>
      <c r="D4" s="72" t="s">
        <v>31</v>
      </c>
      <c r="E4" s="73"/>
      <c r="F4" s="70"/>
    </row>
    <row r="5" spans="1:7" ht="18.75">
      <c r="A5" s="74" t="s">
        <v>32</v>
      </c>
      <c r="B5" s="75"/>
      <c r="C5" s="75"/>
      <c r="D5" s="75"/>
      <c r="E5" s="76"/>
      <c r="F5" s="70"/>
    </row>
    <row r="6" spans="1:7" ht="18.75">
      <c r="A6" s="77" t="s">
        <v>7</v>
      </c>
      <c r="B6" s="75"/>
      <c r="C6" s="75"/>
      <c r="D6" s="75"/>
      <c r="E6" s="76"/>
      <c r="F6" s="70"/>
    </row>
    <row r="7" spans="1:7" ht="18.75">
      <c r="A7" s="78" t="s">
        <v>33</v>
      </c>
      <c r="B7" s="79">
        <v>40109857221.732315</v>
      </c>
      <c r="C7" s="79"/>
      <c r="D7" s="79">
        <v>40484875279.438965</v>
      </c>
      <c r="E7" s="80"/>
      <c r="F7" s="70"/>
      <c r="G7" s="81"/>
    </row>
    <row r="8" spans="1:7" ht="18.75">
      <c r="A8" s="78" t="s">
        <v>34</v>
      </c>
      <c r="B8" s="79" t="s">
        <v>28</v>
      </c>
      <c r="C8" s="82"/>
      <c r="D8" s="79" t="s">
        <v>28</v>
      </c>
      <c r="E8" s="80"/>
      <c r="F8" s="70"/>
      <c r="G8" s="81"/>
    </row>
    <row r="9" spans="1:7" ht="18.75">
      <c r="A9" s="78" t="s">
        <v>35</v>
      </c>
      <c r="B9" s="83">
        <v>189045373360.56824</v>
      </c>
      <c r="C9" s="84"/>
      <c r="D9" s="83">
        <v>195777903461.06851</v>
      </c>
      <c r="E9" s="80"/>
      <c r="F9" s="70"/>
      <c r="G9" s="81"/>
    </row>
    <row r="10" spans="1:7" ht="18.75">
      <c r="A10" s="78" t="s">
        <v>36</v>
      </c>
      <c r="B10" s="84">
        <v>269247487352.5025</v>
      </c>
      <c r="C10" s="84"/>
      <c r="D10" s="84">
        <v>268908708577.67209</v>
      </c>
      <c r="E10" s="80"/>
      <c r="F10" s="70"/>
      <c r="G10" s="81"/>
    </row>
    <row r="11" spans="1:7" ht="18.75">
      <c r="A11" s="78" t="s">
        <v>37</v>
      </c>
      <c r="B11" s="85">
        <v>74378516146.553299</v>
      </c>
      <c r="C11" s="84"/>
      <c r="D11" s="85">
        <v>72348166149.052872</v>
      </c>
      <c r="E11" s="80"/>
      <c r="F11" s="70"/>
      <c r="G11" s="81"/>
    </row>
    <row r="12" spans="1:7" ht="18.75">
      <c r="A12" s="78"/>
      <c r="B12" s="79">
        <v>532671376859.62402</v>
      </c>
      <c r="C12" s="82"/>
      <c r="D12" s="79">
        <v>537034778187.79346</v>
      </c>
      <c r="E12" s="80"/>
      <c r="F12" s="70"/>
      <c r="G12" s="81"/>
    </row>
    <row r="13" spans="1:7" ht="18.75">
      <c r="A13" s="78" t="s">
        <v>38</v>
      </c>
      <c r="B13" s="79">
        <v>84306400403.284607</v>
      </c>
      <c r="C13" s="82"/>
      <c r="D13" s="79">
        <v>82151265400.623596</v>
      </c>
      <c r="E13" s="80"/>
      <c r="F13" s="70"/>
      <c r="G13" s="81"/>
    </row>
    <row r="14" spans="1:7" ht="18.75">
      <c r="A14" s="78" t="s">
        <v>39</v>
      </c>
      <c r="B14" s="79">
        <v>456957725.99887544</v>
      </c>
      <c r="C14" s="82"/>
      <c r="D14" s="79">
        <v>462373347.05635685</v>
      </c>
      <c r="E14" s="80"/>
      <c r="F14" s="70"/>
      <c r="G14" s="81"/>
    </row>
    <row r="15" spans="1:7" ht="18.75">
      <c r="A15" s="78" t="s">
        <v>40</v>
      </c>
      <c r="B15" s="79"/>
      <c r="C15" s="82"/>
      <c r="D15" s="79"/>
      <c r="E15" s="80"/>
      <c r="F15" s="70"/>
      <c r="G15" s="81"/>
    </row>
    <row r="16" spans="1:7" ht="18.75">
      <c r="A16" s="78" t="s">
        <v>41</v>
      </c>
      <c r="B16" s="83">
        <v>219803788071.20657</v>
      </c>
      <c r="C16" s="84"/>
      <c r="D16" s="83">
        <v>216526603543.47412</v>
      </c>
      <c r="E16" s="80"/>
      <c r="F16" s="70"/>
      <c r="G16" s="81"/>
    </row>
    <row r="17" spans="1:7" ht="18.75">
      <c r="A17" s="78" t="s">
        <v>42</v>
      </c>
      <c r="B17" s="85">
        <v>0</v>
      </c>
      <c r="C17" s="84"/>
      <c r="D17" s="85">
        <v>0</v>
      </c>
      <c r="E17" s="80"/>
      <c r="F17" s="70"/>
      <c r="G17" s="81"/>
    </row>
    <row r="18" spans="1:7" ht="18.75">
      <c r="A18" s="78"/>
      <c r="B18" s="79">
        <v>219803788071.20657</v>
      </c>
      <c r="C18" s="82"/>
      <c r="D18" s="79">
        <v>216526603543.47412</v>
      </c>
      <c r="E18" s="80"/>
      <c r="F18" s="70"/>
      <c r="G18" s="81"/>
    </row>
    <row r="19" spans="1:7" ht="18.75">
      <c r="A19" s="78" t="s">
        <v>43</v>
      </c>
      <c r="B19" s="79"/>
      <c r="C19" s="82"/>
      <c r="D19" s="79"/>
      <c r="E19" s="80"/>
      <c r="F19" s="70"/>
      <c r="G19" s="81"/>
    </row>
    <row r="20" spans="1:7" ht="18.75">
      <c r="A20" s="78" t="s">
        <v>44</v>
      </c>
      <c r="B20" s="83">
        <v>8649980679.1837616</v>
      </c>
      <c r="C20" s="84"/>
      <c r="D20" s="83">
        <v>8418397617.7788887</v>
      </c>
      <c r="E20" s="80"/>
      <c r="F20" s="70"/>
      <c r="G20" s="81"/>
    </row>
    <row r="21" spans="1:7" ht="18.75">
      <c r="A21" s="78" t="s">
        <v>45</v>
      </c>
      <c r="B21" s="85">
        <v>73295446592.620041</v>
      </c>
      <c r="C21" s="84"/>
      <c r="D21" s="85">
        <v>73657361193.387741</v>
      </c>
      <c r="E21" s="80"/>
      <c r="F21" s="70"/>
      <c r="G21" s="81"/>
    </row>
    <row r="22" spans="1:7" ht="18.75">
      <c r="A22" s="78"/>
      <c r="B22" s="79">
        <v>81945427271.803802</v>
      </c>
      <c r="C22" s="82"/>
      <c r="D22" s="79">
        <v>82075758811.166626</v>
      </c>
      <c r="E22" s="80"/>
      <c r="F22" s="70"/>
      <c r="G22" s="81"/>
    </row>
    <row r="23" spans="1:7" ht="18.75">
      <c r="A23" s="78" t="s">
        <v>46</v>
      </c>
      <c r="B23" s="79">
        <v>7069563412.0152874</v>
      </c>
      <c r="C23" s="82"/>
      <c r="D23" s="79">
        <v>11268703081.76745</v>
      </c>
      <c r="E23" s="80"/>
      <c r="F23" s="70"/>
      <c r="G23" s="81"/>
    </row>
    <row r="24" spans="1:7" ht="18.75">
      <c r="A24" s="78" t="s">
        <v>47</v>
      </c>
      <c r="B24" s="79">
        <v>22357585925.206482</v>
      </c>
      <c r="C24" s="82"/>
      <c r="D24" s="79">
        <v>21929513225.922287</v>
      </c>
      <c r="E24" s="80"/>
      <c r="F24" s="70"/>
      <c r="G24" s="81"/>
    </row>
    <row r="25" spans="1:7" ht="18.75">
      <c r="A25" s="78" t="s">
        <v>16</v>
      </c>
      <c r="B25" s="86">
        <v>25002089168.602718</v>
      </c>
      <c r="C25" s="82"/>
      <c r="D25" s="86">
        <v>26201870997.379581</v>
      </c>
      <c r="E25" s="80"/>
      <c r="F25" s="70"/>
      <c r="G25" s="81"/>
    </row>
    <row r="26" spans="1:7" ht="18.75">
      <c r="A26" s="78"/>
      <c r="B26" s="79">
        <v>1013723046059.4745</v>
      </c>
      <c r="C26" s="82"/>
      <c r="D26" s="79">
        <v>1018135741874.6224</v>
      </c>
      <c r="E26" s="80"/>
      <c r="F26" s="70"/>
      <c r="G26" s="81"/>
    </row>
    <row r="27" spans="1:7" ht="18.75">
      <c r="A27" s="87" t="s">
        <v>48</v>
      </c>
      <c r="B27" s="79"/>
      <c r="C27" s="82"/>
      <c r="D27" s="79"/>
      <c r="E27" s="80"/>
      <c r="F27" s="70"/>
      <c r="G27" s="81"/>
    </row>
    <row r="28" spans="1:7" ht="18.75">
      <c r="A28" s="88" t="s">
        <v>18</v>
      </c>
      <c r="B28" s="79"/>
      <c r="C28" s="82"/>
      <c r="D28" s="79"/>
      <c r="E28" s="80"/>
      <c r="F28" s="70"/>
      <c r="G28" s="81"/>
    </row>
    <row r="29" spans="1:7" ht="18.75">
      <c r="A29" s="78" t="s">
        <v>49</v>
      </c>
      <c r="B29" s="79"/>
      <c r="C29" s="82"/>
      <c r="D29" s="79"/>
      <c r="E29" s="80"/>
      <c r="F29" s="70"/>
      <c r="G29" s="81"/>
    </row>
    <row r="30" spans="1:7" ht="18.75">
      <c r="A30" s="78" t="s">
        <v>50</v>
      </c>
      <c r="B30" s="83">
        <v>283496310312.13251</v>
      </c>
      <c r="C30" s="84"/>
      <c r="D30" s="83">
        <v>275695611483.19348</v>
      </c>
      <c r="E30" s="80"/>
      <c r="F30" s="70"/>
      <c r="G30" s="81"/>
    </row>
    <row r="31" spans="1:7" ht="18.75">
      <c r="A31" s="78" t="s">
        <v>51</v>
      </c>
      <c r="B31" s="84">
        <v>173356328705.37582</v>
      </c>
      <c r="C31" s="84"/>
      <c r="D31" s="84">
        <v>169438059568.13501</v>
      </c>
      <c r="E31" s="80"/>
      <c r="F31" s="70"/>
      <c r="G31" s="81"/>
    </row>
    <row r="32" spans="1:7" ht="18.75">
      <c r="A32" s="78" t="s">
        <v>52</v>
      </c>
      <c r="B32" s="84">
        <v>248121791487.0325</v>
      </c>
      <c r="C32" s="84"/>
      <c r="D32" s="84">
        <v>254844705968.2117</v>
      </c>
      <c r="E32" s="80"/>
      <c r="F32" s="70"/>
      <c r="G32" s="81"/>
    </row>
    <row r="33" spans="1:7" ht="18.75">
      <c r="A33" s="78" t="s">
        <v>53</v>
      </c>
      <c r="B33" s="85">
        <v>66282997.000922501</v>
      </c>
      <c r="C33" s="84" t="s">
        <v>28</v>
      </c>
      <c r="D33" s="85">
        <v>57982446.399792008</v>
      </c>
      <c r="E33" s="80"/>
      <c r="F33" s="70"/>
      <c r="G33" s="81"/>
    </row>
    <row r="34" spans="1:7" ht="18.75">
      <c r="A34" s="78"/>
      <c r="B34" s="79">
        <v>705040713501.54175</v>
      </c>
      <c r="C34" s="82"/>
      <c r="D34" s="79">
        <v>700036359465.93994</v>
      </c>
      <c r="E34" s="80"/>
      <c r="F34" s="70"/>
      <c r="G34" s="81"/>
    </row>
    <row r="35" spans="1:7" ht="18.75">
      <c r="A35" s="78" t="s">
        <v>54</v>
      </c>
      <c r="B35" s="79"/>
      <c r="C35" s="82"/>
      <c r="D35" s="79"/>
      <c r="E35" s="80"/>
      <c r="F35" s="70"/>
      <c r="G35" s="81"/>
    </row>
    <row r="36" spans="1:7" ht="18.75">
      <c r="A36" s="78" t="s">
        <v>55</v>
      </c>
      <c r="B36" s="83">
        <v>2301281655.5845003</v>
      </c>
      <c r="C36" s="84"/>
      <c r="D36" s="83">
        <v>2492291181.9476004</v>
      </c>
      <c r="E36" s="80"/>
      <c r="F36" s="70"/>
      <c r="G36" s="81"/>
    </row>
    <row r="37" spans="1:7" ht="18.75">
      <c r="A37" s="78" t="s">
        <v>56</v>
      </c>
      <c r="B37" s="84">
        <v>4914161124.9222565</v>
      </c>
      <c r="C37" s="84"/>
      <c r="D37" s="84">
        <v>5117818457.7308378</v>
      </c>
      <c r="E37" s="80"/>
      <c r="F37" s="70"/>
      <c r="G37" s="81"/>
    </row>
    <row r="38" spans="1:7" ht="18.75">
      <c r="A38" s="78" t="s">
        <v>57</v>
      </c>
      <c r="B38" s="84">
        <v>116430717909.86255</v>
      </c>
      <c r="C38" s="84"/>
      <c r="D38" s="84">
        <v>123293974646.50681</v>
      </c>
      <c r="E38" s="80"/>
      <c r="F38" s="70"/>
      <c r="G38" s="81"/>
    </row>
    <row r="39" spans="1:7" ht="18.75">
      <c r="A39" s="78" t="s">
        <v>58</v>
      </c>
      <c r="B39" s="85">
        <v>7884625942.75</v>
      </c>
      <c r="C39" s="84"/>
      <c r="D39" s="85">
        <v>8950397480.2700005</v>
      </c>
      <c r="E39" s="80"/>
      <c r="F39" s="70"/>
      <c r="G39" s="81"/>
    </row>
    <row r="40" spans="1:7" ht="18.75">
      <c r="A40" s="78"/>
      <c r="B40" s="79">
        <v>131530786633.11931</v>
      </c>
      <c r="C40" s="82"/>
      <c r="D40" s="79">
        <v>139854481766.45523</v>
      </c>
      <c r="E40" s="80"/>
      <c r="F40" s="70"/>
      <c r="G40" s="81"/>
    </row>
    <row r="41" spans="1:7" ht="18.75">
      <c r="A41" s="78" t="s">
        <v>59</v>
      </c>
      <c r="B41" s="79">
        <v>54630246282.846313</v>
      </c>
      <c r="C41" s="82"/>
      <c r="D41" s="79">
        <v>53799512993.091499</v>
      </c>
      <c r="E41" s="80"/>
      <c r="F41" s="70"/>
      <c r="G41" s="81"/>
    </row>
    <row r="42" spans="1:7" ht="18.75">
      <c r="A42" s="78"/>
      <c r="B42" s="89">
        <v>891201746417.50732</v>
      </c>
      <c r="C42" s="82"/>
      <c r="D42" s="89">
        <v>893690354225.48669</v>
      </c>
      <c r="E42" s="80"/>
      <c r="F42" s="70"/>
      <c r="G42" s="81"/>
    </row>
    <row r="43" spans="1:7" ht="19.5" thickBot="1">
      <c r="A43" s="78"/>
      <c r="B43" s="90">
        <v>122521299642.96716</v>
      </c>
      <c r="C43" s="91"/>
      <c r="D43" s="90">
        <v>124445387650.13574</v>
      </c>
      <c r="E43" s="92"/>
      <c r="F43" s="70"/>
      <c r="G43" s="81"/>
    </row>
    <row r="44" spans="1:7" ht="19.5" thickTop="1">
      <c r="A44" s="88" t="s">
        <v>60</v>
      </c>
      <c r="B44" s="79"/>
      <c r="C44" s="82"/>
      <c r="D44" s="79"/>
      <c r="E44" s="80"/>
      <c r="F44" s="70"/>
      <c r="G44" s="81"/>
    </row>
    <row r="45" spans="1:7" ht="18.75">
      <c r="A45" s="88" t="s">
        <v>61</v>
      </c>
      <c r="B45" s="79"/>
      <c r="C45" s="82"/>
      <c r="D45" s="79"/>
      <c r="E45" s="80"/>
      <c r="F45" s="70"/>
      <c r="G45" s="81"/>
    </row>
    <row r="46" spans="1:7" ht="18.75">
      <c r="A46" s="78" t="s">
        <v>62</v>
      </c>
      <c r="B46" s="83">
        <v>39525834621.995529</v>
      </c>
      <c r="C46" s="84"/>
      <c r="D46" s="83">
        <v>37621984356.310738</v>
      </c>
      <c r="E46" s="80"/>
      <c r="F46" s="70"/>
      <c r="G46" s="81"/>
    </row>
    <row r="47" spans="1:7" ht="18.75">
      <c r="A47" s="78" t="s">
        <v>63</v>
      </c>
      <c r="B47" s="85">
        <v>60667501192.748779</v>
      </c>
      <c r="C47" s="84"/>
      <c r="D47" s="85">
        <v>64502348593.658363</v>
      </c>
      <c r="E47" s="80"/>
      <c r="F47" s="70"/>
      <c r="G47" s="81"/>
    </row>
    <row r="48" spans="1:7" ht="18.75">
      <c r="A48" s="78"/>
      <c r="B48" s="79">
        <v>100193335814.74431</v>
      </c>
      <c r="C48" s="82"/>
      <c r="D48" s="79">
        <v>102124332949.9691</v>
      </c>
      <c r="E48" s="80"/>
      <c r="F48" s="70"/>
      <c r="G48" s="81"/>
    </row>
    <row r="49" spans="1:7" ht="18.75">
      <c r="A49" s="88" t="s">
        <v>64</v>
      </c>
      <c r="B49" s="79">
        <v>22327963828.222996</v>
      </c>
      <c r="C49" s="82"/>
      <c r="D49" s="79">
        <v>22321054700.171082</v>
      </c>
      <c r="E49" s="80"/>
      <c r="F49" s="70"/>
      <c r="G49" s="81"/>
    </row>
    <row r="50" spans="1:7" ht="19.5" thickBot="1">
      <c r="A50" s="78"/>
      <c r="B50" s="90">
        <v>122521299642.9673</v>
      </c>
      <c r="C50" s="91"/>
      <c r="D50" s="90">
        <v>124445387650.14018</v>
      </c>
      <c r="E50" s="92"/>
      <c r="F50" s="70"/>
      <c r="G50" s="81"/>
    </row>
    <row r="51" spans="1:7" ht="19.5" thickTop="1">
      <c r="A51" s="88" t="s">
        <v>65</v>
      </c>
      <c r="B51" s="79"/>
      <c r="C51" s="82"/>
      <c r="D51" s="79"/>
      <c r="E51" s="80"/>
      <c r="F51" s="70"/>
      <c r="G51" s="81"/>
    </row>
    <row r="52" spans="1:7" ht="18.75">
      <c r="A52" s="78" t="s">
        <v>66</v>
      </c>
      <c r="B52" s="79"/>
      <c r="C52" s="79"/>
      <c r="D52" s="79"/>
      <c r="E52" s="80"/>
      <c r="F52" s="70"/>
      <c r="G52" s="81"/>
    </row>
    <row r="53" spans="1:7" ht="18.75">
      <c r="A53" s="78" t="s">
        <v>67</v>
      </c>
      <c r="B53" s="79"/>
      <c r="C53" s="79"/>
      <c r="D53" s="79"/>
      <c r="E53" s="80"/>
      <c r="F53" s="70"/>
      <c r="G53" s="81"/>
    </row>
    <row r="54" spans="1:7" ht="18.75">
      <c r="A54" s="78" t="s">
        <v>68</v>
      </c>
      <c r="B54" s="79">
        <v>56208970414.594025</v>
      </c>
      <c r="C54" s="79"/>
      <c r="D54" s="79">
        <v>51664676499.670502</v>
      </c>
      <c r="E54" s="80"/>
      <c r="F54" s="70"/>
      <c r="G54" s="81"/>
    </row>
    <row r="55" spans="1:7" ht="18.75">
      <c r="A55" s="78" t="s">
        <v>69</v>
      </c>
      <c r="B55" s="79">
        <v>7733287875.386219</v>
      </c>
      <c r="C55" s="79"/>
      <c r="D55" s="79">
        <v>7143585360.7373409</v>
      </c>
      <c r="E55" s="80"/>
      <c r="F55" s="70"/>
      <c r="G55" s="81"/>
    </row>
    <row r="56" spans="1:7" ht="18.75">
      <c r="A56" s="78" t="s">
        <v>70</v>
      </c>
      <c r="B56" s="79">
        <v>2412755478.8525882</v>
      </c>
      <c r="C56" s="79"/>
      <c r="D56" s="79">
        <v>2115220205.8673999</v>
      </c>
      <c r="E56" s="80"/>
      <c r="F56" s="70"/>
      <c r="G56" s="81"/>
    </row>
    <row r="57" spans="1:7" ht="18.75">
      <c r="A57" s="93" t="s">
        <v>71</v>
      </c>
      <c r="B57" s="82">
        <v>13586865876.528851</v>
      </c>
      <c r="C57" s="82"/>
      <c r="D57" s="82">
        <v>13957128801.065565</v>
      </c>
      <c r="E57" s="80"/>
      <c r="F57" s="66"/>
      <c r="G57" s="81"/>
    </row>
    <row r="58" spans="1:7" ht="18.75">
      <c r="A58" s="78" t="s">
        <v>72</v>
      </c>
      <c r="B58" s="82">
        <v>13291134392.325901</v>
      </c>
      <c r="C58" s="82"/>
      <c r="D58" s="82">
        <v>13523248005.334206</v>
      </c>
      <c r="E58" s="80"/>
      <c r="F58" s="66"/>
      <c r="G58" s="81"/>
    </row>
    <row r="59" spans="1:7" ht="19.5" thickBot="1">
      <c r="A59" s="94"/>
      <c r="B59" s="95"/>
      <c r="C59" s="95"/>
      <c r="D59" s="95"/>
      <c r="E59" s="96"/>
      <c r="F59" s="66"/>
      <c r="G59" s="81"/>
    </row>
    <row r="60" spans="1:7" ht="1.5" customHeight="1" thickTop="1">
      <c r="A60" s="97"/>
      <c r="B60" s="98"/>
      <c r="C60" s="98"/>
      <c r="D60" s="66"/>
      <c r="E60" s="66"/>
      <c r="F60" s="66"/>
    </row>
    <row r="61" spans="1:7" ht="18.75">
      <c r="A61" s="99"/>
      <c r="B61" s="98"/>
      <c r="C61" s="98"/>
      <c r="D61" s="66"/>
      <c r="E61" s="66"/>
      <c r="F61" s="66"/>
    </row>
    <row r="62" spans="1:7" ht="18" customHeight="1">
      <c r="A62" s="100" t="s">
        <v>29</v>
      </c>
      <c r="B62" s="98"/>
      <c r="C62" s="98"/>
      <c r="D62" s="66"/>
      <c r="E62" s="66"/>
      <c r="F62" s="66"/>
    </row>
    <row r="63" spans="1:7" ht="18.75">
      <c r="A63" s="66"/>
      <c r="B63" s="98" t="s">
        <v>28</v>
      </c>
      <c r="C63" s="98"/>
      <c r="D63" s="66"/>
      <c r="E63" s="66"/>
      <c r="F63" s="66"/>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65"/>
  <sheetViews>
    <sheetView zoomScaleNormal="100" zoomScaleSheetLayoutView="93" workbookViewId="0">
      <selection activeCell="A12" sqref="A12"/>
    </sheetView>
  </sheetViews>
  <sheetFormatPr defaultRowHeight="15"/>
  <cols>
    <col min="1" max="1" width="64" style="1683" customWidth="1"/>
    <col min="2" max="3" width="11" style="1683" hidden="1" customWidth="1"/>
    <col min="4" max="4" width="10.140625" style="1683" hidden="1" customWidth="1"/>
    <col min="5" max="6" width="9.140625" style="1683" hidden="1" customWidth="1"/>
    <col min="7" max="7" width="10.42578125" style="1683" hidden="1" customWidth="1"/>
    <col min="8" max="8" width="11.42578125" style="1683" hidden="1" customWidth="1"/>
    <col min="9" max="9" width="10" style="1683" hidden="1" customWidth="1"/>
    <col min="10" max="10" width="10.42578125" style="1683" hidden="1" customWidth="1"/>
    <col min="11" max="11" width="11.28515625" style="1683" hidden="1" customWidth="1"/>
    <col min="12" max="12" width="10.5703125" style="1683" hidden="1" customWidth="1"/>
    <col min="13" max="13" width="10.42578125" style="1683" hidden="1" customWidth="1"/>
    <col min="14" max="14" width="10.140625" style="1683" hidden="1" customWidth="1"/>
    <col min="15" max="15" width="11.85546875" style="1683" hidden="1" customWidth="1"/>
    <col min="16" max="16" width="12.5703125" style="1683" hidden="1" customWidth="1"/>
    <col min="17" max="17" width="10.5703125" style="1683" hidden="1" customWidth="1"/>
    <col min="18" max="48" width="11" style="1683" hidden="1" customWidth="1"/>
    <col min="49" max="49" width="10" style="1683" hidden="1" customWidth="1"/>
    <col min="50" max="51" width="11" style="1683" hidden="1" customWidth="1"/>
    <col min="52" max="52" width="10.42578125" style="1683" hidden="1" customWidth="1"/>
    <col min="53" max="54" width="11" style="1683" hidden="1" customWidth="1"/>
    <col min="55" max="55" width="10" style="1683" hidden="1" customWidth="1"/>
    <col min="56" max="58" width="11" style="1683" hidden="1" customWidth="1"/>
    <col min="59" max="59" width="10.42578125" style="1683" hidden="1" customWidth="1"/>
    <col min="60" max="60" width="10.42578125" style="1684" hidden="1" customWidth="1"/>
    <col min="61" max="61" width="12.85546875" style="1684" hidden="1" customWidth="1"/>
    <col min="62" max="65" width="10" style="1684" hidden="1" customWidth="1"/>
    <col min="66" max="67" width="10" style="1683" hidden="1" customWidth="1"/>
    <col min="68" max="70" width="11.5703125" style="1683" hidden="1" customWidth="1"/>
    <col min="71" max="72" width="11.140625" style="1683" hidden="1" customWidth="1"/>
    <col min="73" max="79" width="10.7109375" style="1683" hidden="1" customWidth="1"/>
    <col min="80" max="80" width="9.7109375" style="1683" hidden="1" customWidth="1"/>
    <col min="81" max="82" width="9.85546875" style="1683" hidden="1" customWidth="1"/>
    <col min="83" max="83" width="9.28515625" style="1683" hidden="1" customWidth="1"/>
    <col min="84" max="84" width="9.85546875" style="1683" hidden="1" customWidth="1"/>
    <col min="85" max="85" width="9.5703125" style="1683" hidden="1" customWidth="1"/>
    <col min="86" max="86" width="0" style="1683" hidden="1" customWidth="1"/>
    <col min="87" max="87" width="9.42578125" style="1683" hidden="1" customWidth="1"/>
    <col min="88" max="90" width="0" style="1683" hidden="1" customWidth="1"/>
    <col min="91" max="91" width="9.140625" style="1683" hidden="1" customWidth="1"/>
    <col min="92" max="94" width="9.28515625" style="1683" hidden="1" customWidth="1"/>
    <col min="95" max="95" width="13.28515625" style="1683" hidden="1" customWidth="1"/>
    <col min="96" max="96" width="14.7109375" style="1683" hidden="1" customWidth="1"/>
    <col min="97" max="106" width="14.7109375" style="1683" customWidth="1"/>
    <col min="107" max="109" width="14.7109375" style="1685" customWidth="1"/>
    <col min="110" max="256" width="9.140625" style="1683"/>
    <col min="257" max="257" width="55.7109375" style="1683" customWidth="1"/>
    <col min="258" max="349" width="0" style="1683" hidden="1" customWidth="1"/>
    <col min="350" max="351" width="9.28515625" style="1683" customWidth="1"/>
    <col min="352" max="362" width="10.28515625" style="1683" customWidth="1"/>
    <col min="363" max="512" width="9.140625" style="1683"/>
    <col min="513" max="513" width="55.7109375" style="1683" customWidth="1"/>
    <col min="514" max="605" width="0" style="1683" hidden="1" customWidth="1"/>
    <col min="606" max="607" width="9.28515625" style="1683" customWidth="1"/>
    <col min="608" max="618" width="10.28515625" style="1683" customWidth="1"/>
    <col min="619" max="768" width="9.140625" style="1683"/>
    <col min="769" max="769" width="55.7109375" style="1683" customWidth="1"/>
    <col min="770" max="861" width="0" style="1683" hidden="1" customWidth="1"/>
    <col min="862" max="863" width="9.28515625" style="1683" customWidth="1"/>
    <col min="864" max="874" width="10.28515625" style="1683" customWidth="1"/>
    <col min="875" max="1024" width="9.140625" style="1683"/>
    <col min="1025" max="1025" width="55.7109375" style="1683" customWidth="1"/>
    <col min="1026" max="1117" width="0" style="1683" hidden="1" customWidth="1"/>
    <col min="1118" max="1119" width="9.28515625" style="1683" customWidth="1"/>
    <col min="1120" max="1130" width="10.28515625" style="1683" customWidth="1"/>
    <col min="1131" max="1280" width="9.140625" style="1683"/>
    <col min="1281" max="1281" width="55.7109375" style="1683" customWidth="1"/>
    <col min="1282" max="1373" width="0" style="1683" hidden="1" customWidth="1"/>
    <col min="1374" max="1375" width="9.28515625" style="1683" customWidth="1"/>
    <col min="1376" max="1386" width="10.28515625" style="1683" customWidth="1"/>
    <col min="1387" max="1536" width="9.140625" style="1683"/>
    <col min="1537" max="1537" width="55.7109375" style="1683" customWidth="1"/>
    <col min="1538" max="1629" width="0" style="1683" hidden="1" customWidth="1"/>
    <col min="1630" max="1631" width="9.28515625" style="1683" customWidth="1"/>
    <col min="1632" max="1642" width="10.28515625" style="1683" customWidth="1"/>
    <col min="1643" max="1792" width="9.140625" style="1683"/>
    <col min="1793" max="1793" width="55.7109375" style="1683" customWidth="1"/>
    <col min="1794" max="1885" width="0" style="1683" hidden="1" customWidth="1"/>
    <col min="1886" max="1887" width="9.28515625" style="1683" customWidth="1"/>
    <col min="1888" max="1898" width="10.28515625" style="1683" customWidth="1"/>
    <col min="1899" max="2048" width="9.140625" style="1683"/>
    <col min="2049" max="2049" width="55.7109375" style="1683" customWidth="1"/>
    <col min="2050" max="2141" width="0" style="1683" hidden="1" customWidth="1"/>
    <col min="2142" max="2143" width="9.28515625" style="1683" customWidth="1"/>
    <col min="2144" max="2154" width="10.28515625" style="1683" customWidth="1"/>
    <col min="2155" max="2304" width="9.140625" style="1683"/>
    <col min="2305" max="2305" width="55.7109375" style="1683" customWidth="1"/>
    <col min="2306" max="2397" width="0" style="1683" hidden="1" customWidth="1"/>
    <col min="2398" max="2399" width="9.28515625" style="1683" customWidth="1"/>
    <col min="2400" max="2410" width="10.28515625" style="1683" customWidth="1"/>
    <col min="2411" max="2560" width="9.140625" style="1683"/>
    <col min="2561" max="2561" width="55.7109375" style="1683" customWidth="1"/>
    <col min="2562" max="2653" width="0" style="1683" hidden="1" customWidth="1"/>
    <col min="2654" max="2655" width="9.28515625" style="1683" customWidth="1"/>
    <col min="2656" max="2666" width="10.28515625" style="1683" customWidth="1"/>
    <col min="2667" max="2816" width="9.140625" style="1683"/>
    <col min="2817" max="2817" width="55.7109375" style="1683" customWidth="1"/>
    <col min="2818" max="2909" width="0" style="1683" hidden="1" customWidth="1"/>
    <col min="2910" max="2911" width="9.28515625" style="1683" customWidth="1"/>
    <col min="2912" max="2922" width="10.28515625" style="1683" customWidth="1"/>
    <col min="2923" max="3072" width="9.140625" style="1683"/>
    <col min="3073" max="3073" width="55.7109375" style="1683" customWidth="1"/>
    <col min="3074" max="3165" width="0" style="1683" hidden="1" customWidth="1"/>
    <col min="3166" max="3167" width="9.28515625" style="1683" customWidth="1"/>
    <col min="3168" max="3178" width="10.28515625" style="1683" customWidth="1"/>
    <col min="3179" max="3328" width="9.140625" style="1683"/>
    <col min="3329" max="3329" width="55.7109375" style="1683" customWidth="1"/>
    <col min="3330" max="3421" width="0" style="1683" hidden="1" customWidth="1"/>
    <col min="3422" max="3423" width="9.28515625" style="1683" customWidth="1"/>
    <col min="3424" max="3434" width="10.28515625" style="1683" customWidth="1"/>
    <col min="3435" max="3584" width="9.140625" style="1683"/>
    <col min="3585" max="3585" width="55.7109375" style="1683" customWidth="1"/>
    <col min="3586" max="3677" width="0" style="1683" hidden="1" customWidth="1"/>
    <col min="3678" max="3679" width="9.28515625" style="1683" customWidth="1"/>
    <col min="3680" max="3690" width="10.28515625" style="1683" customWidth="1"/>
    <col min="3691" max="3840" width="9.140625" style="1683"/>
    <col min="3841" max="3841" width="55.7109375" style="1683" customWidth="1"/>
    <col min="3842" max="3933" width="0" style="1683" hidden="1" customWidth="1"/>
    <col min="3934" max="3935" width="9.28515625" style="1683" customWidth="1"/>
    <col min="3936" max="3946" width="10.28515625" style="1683" customWidth="1"/>
    <col min="3947" max="4096" width="9.140625" style="1683"/>
    <col min="4097" max="4097" width="55.7109375" style="1683" customWidth="1"/>
    <col min="4098" max="4189" width="0" style="1683" hidden="1" customWidth="1"/>
    <col min="4190" max="4191" width="9.28515625" style="1683" customWidth="1"/>
    <col min="4192" max="4202" width="10.28515625" style="1683" customWidth="1"/>
    <col min="4203" max="4352" width="9.140625" style="1683"/>
    <col min="4353" max="4353" width="55.7109375" style="1683" customWidth="1"/>
    <col min="4354" max="4445" width="0" style="1683" hidden="1" customWidth="1"/>
    <col min="4446" max="4447" width="9.28515625" style="1683" customWidth="1"/>
    <col min="4448" max="4458" width="10.28515625" style="1683" customWidth="1"/>
    <col min="4459" max="4608" width="9.140625" style="1683"/>
    <col min="4609" max="4609" width="55.7109375" style="1683" customWidth="1"/>
    <col min="4610" max="4701" width="0" style="1683" hidden="1" customWidth="1"/>
    <col min="4702" max="4703" width="9.28515625" style="1683" customWidth="1"/>
    <col min="4704" max="4714" width="10.28515625" style="1683" customWidth="1"/>
    <col min="4715" max="4864" width="9.140625" style="1683"/>
    <col min="4865" max="4865" width="55.7109375" style="1683" customWidth="1"/>
    <col min="4866" max="4957" width="0" style="1683" hidden="1" customWidth="1"/>
    <col min="4958" max="4959" width="9.28515625" style="1683" customWidth="1"/>
    <col min="4960" max="4970" width="10.28515625" style="1683" customWidth="1"/>
    <col min="4971" max="5120" width="9.140625" style="1683"/>
    <col min="5121" max="5121" width="55.7109375" style="1683" customWidth="1"/>
    <col min="5122" max="5213" width="0" style="1683" hidden="1" customWidth="1"/>
    <col min="5214" max="5215" width="9.28515625" style="1683" customWidth="1"/>
    <col min="5216" max="5226" width="10.28515625" style="1683" customWidth="1"/>
    <col min="5227" max="5376" width="9.140625" style="1683"/>
    <col min="5377" max="5377" width="55.7109375" style="1683" customWidth="1"/>
    <col min="5378" max="5469" width="0" style="1683" hidden="1" customWidth="1"/>
    <col min="5470" max="5471" width="9.28515625" style="1683" customWidth="1"/>
    <col min="5472" max="5482" width="10.28515625" style="1683" customWidth="1"/>
    <col min="5483" max="5632" width="9.140625" style="1683"/>
    <col min="5633" max="5633" width="55.7109375" style="1683" customWidth="1"/>
    <col min="5634" max="5725" width="0" style="1683" hidden="1" customWidth="1"/>
    <col min="5726" max="5727" width="9.28515625" style="1683" customWidth="1"/>
    <col min="5728" max="5738" width="10.28515625" style="1683" customWidth="1"/>
    <col min="5739" max="5888" width="9.140625" style="1683"/>
    <col min="5889" max="5889" width="55.7109375" style="1683" customWidth="1"/>
    <col min="5890" max="5981" width="0" style="1683" hidden="1" customWidth="1"/>
    <col min="5982" max="5983" width="9.28515625" style="1683" customWidth="1"/>
    <col min="5984" max="5994" width="10.28515625" style="1683" customWidth="1"/>
    <col min="5995" max="6144" width="9.140625" style="1683"/>
    <col min="6145" max="6145" width="55.7109375" style="1683" customWidth="1"/>
    <col min="6146" max="6237" width="0" style="1683" hidden="1" customWidth="1"/>
    <col min="6238" max="6239" width="9.28515625" style="1683" customWidth="1"/>
    <col min="6240" max="6250" width="10.28515625" style="1683" customWidth="1"/>
    <col min="6251" max="6400" width="9.140625" style="1683"/>
    <col min="6401" max="6401" width="55.7109375" style="1683" customWidth="1"/>
    <col min="6402" max="6493" width="0" style="1683" hidden="1" customWidth="1"/>
    <col min="6494" max="6495" width="9.28515625" style="1683" customWidth="1"/>
    <col min="6496" max="6506" width="10.28515625" style="1683" customWidth="1"/>
    <col min="6507" max="6656" width="9.140625" style="1683"/>
    <col min="6657" max="6657" width="55.7109375" style="1683" customWidth="1"/>
    <col min="6658" max="6749" width="0" style="1683" hidden="1" customWidth="1"/>
    <col min="6750" max="6751" width="9.28515625" style="1683" customWidth="1"/>
    <col min="6752" max="6762" width="10.28515625" style="1683" customWidth="1"/>
    <col min="6763" max="6912" width="9.140625" style="1683"/>
    <col min="6913" max="6913" width="55.7109375" style="1683" customWidth="1"/>
    <col min="6914" max="7005" width="0" style="1683" hidden="1" customWidth="1"/>
    <col min="7006" max="7007" width="9.28515625" style="1683" customWidth="1"/>
    <col min="7008" max="7018" width="10.28515625" style="1683" customWidth="1"/>
    <col min="7019" max="7168" width="9.140625" style="1683"/>
    <col min="7169" max="7169" width="55.7109375" style="1683" customWidth="1"/>
    <col min="7170" max="7261" width="0" style="1683" hidden="1" customWidth="1"/>
    <col min="7262" max="7263" width="9.28515625" style="1683" customWidth="1"/>
    <col min="7264" max="7274" width="10.28515625" style="1683" customWidth="1"/>
    <col min="7275" max="7424" width="9.140625" style="1683"/>
    <col min="7425" max="7425" width="55.7109375" style="1683" customWidth="1"/>
    <col min="7426" max="7517" width="0" style="1683" hidden="1" customWidth="1"/>
    <col min="7518" max="7519" width="9.28515625" style="1683" customWidth="1"/>
    <col min="7520" max="7530" width="10.28515625" style="1683" customWidth="1"/>
    <col min="7531" max="7680" width="9.140625" style="1683"/>
    <col min="7681" max="7681" width="55.7109375" style="1683" customWidth="1"/>
    <col min="7682" max="7773" width="0" style="1683" hidden="1" customWidth="1"/>
    <col min="7774" max="7775" width="9.28515625" style="1683" customWidth="1"/>
    <col min="7776" max="7786" width="10.28515625" style="1683" customWidth="1"/>
    <col min="7787" max="7936" width="9.140625" style="1683"/>
    <col min="7937" max="7937" width="55.7109375" style="1683" customWidth="1"/>
    <col min="7938" max="8029" width="0" style="1683" hidden="1" customWidth="1"/>
    <col min="8030" max="8031" width="9.28515625" style="1683" customWidth="1"/>
    <col min="8032" max="8042" width="10.28515625" style="1683" customWidth="1"/>
    <col min="8043" max="8192" width="9.140625" style="1683"/>
    <col min="8193" max="8193" width="55.7109375" style="1683" customWidth="1"/>
    <col min="8194" max="8285" width="0" style="1683" hidden="1" customWidth="1"/>
    <col min="8286" max="8287" width="9.28515625" style="1683" customWidth="1"/>
    <col min="8288" max="8298" width="10.28515625" style="1683" customWidth="1"/>
    <col min="8299" max="8448" width="9.140625" style="1683"/>
    <col min="8449" max="8449" width="55.7109375" style="1683" customWidth="1"/>
    <col min="8450" max="8541" width="0" style="1683" hidden="1" customWidth="1"/>
    <col min="8542" max="8543" width="9.28515625" style="1683" customWidth="1"/>
    <col min="8544" max="8554" width="10.28515625" style="1683" customWidth="1"/>
    <col min="8555" max="8704" width="9.140625" style="1683"/>
    <col min="8705" max="8705" width="55.7109375" style="1683" customWidth="1"/>
    <col min="8706" max="8797" width="0" style="1683" hidden="1" customWidth="1"/>
    <col min="8798" max="8799" width="9.28515625" style="1683" customWidth="1"/>
    <col min="8800" max="8810" width="10.28515625" style="1683" customWidth="1"/>
    <col min="8811" max="8960" width="9.140625" style="1683"/>
    <col min="8961" max="8961" width="55.7109375" style="1683" customWidth="1"/>
    <col min="8962" max="9053" width="0" style="1683" hidden="1" customWidth="1"/>
    <col min="9054" max="9055" width="9.28515625" style="1683" customWidth="1"/>
    <col min="9056" max="9066" width="10.28515625" style="1683" customWidth="1"/>
    <col min="9067" max="9216" width="9.140625" style="1683"/>
    <col min="9217" max="9217" width="55.7109375" style="1683" customWidth="1"/>
    <col min="9218" max="9309" width="0" style="1683" hidden="1" customWidth="1"/>
    <col min="9310" max="9311" width="9.28515625" style="1683" customWidth="1"/>
    <col min="9312" max="9322" width="10.28515625" style="1683" customWidth="1"/>
    <col min="9323" max="9472" width="9.140625" style="1683"/>
    <col min="9473" max="9473" width="55.7109375" style="1683" customWidth="1"/>
    <col min="9474" max="9565" width="0" style="1683" hidden="1" customWidth="1"/>
    <col min="9566" max="9567" width="9.28515625" style="1683" customWidth="1"/>
    <col min="9568" max="9578" width="10.28515625" style="1683" customWidth="1"/>
    <col min="9579" max="9728" width="9.140625" style="1683"/>
    <col min="9729" max="9729" width="55.7109375" style="1683" customWidth="1"/>
    <col min="9730" max="9821" width="0" style="1683" hidden="1" customWidth="1"/>
    <col min="9822" max="9823" width="9.28515625" style="1683" customWidth="1"/>
    <col min="9824" max="9834" width="10.28515625" style="1683" customWidth="1"/>
    <col min="9835" max="9984" width="9.140625" style="1683"/>
    <col min="9985" max="9985" width="55.7109375" style="1683" customWidth="1"/>
    <col min="9986" max="10077" width="0" style="1683" hidden="1" customWidth="1"/>
    <col min="10078" max="10079" width="9.28515625" style="1683" customWidth="1"/>
    <col min="10080" max="10090" width="10.28515625" style="1683" customWidth="1"/>
    <col min="10091" max="10240" width="9.140625" style="1683"/>
    <col min="10241" max="10241" width="55.7109375" style="1683" customWidth="1"/>
    <col min="10242" max="10333" width="0" style="1683" hidden="1" customWidth="1"/>
    <col min="10334" max="10335" width="9.28515625" style="1683" customWidth="1"/>
    <col min="10336" max="10346" width="10.28515625" style="1683" customWidth="1"/>
    <col min="10347" max="10496" width="9.140625" style="1683"/>
    <col min="10497" max="10497" width="55.7109375" style="1683" customWidth="1"/>
    <col min="10498" max="10589" width="0" style="1683" hidden="1" customWidth="1"/>
    <col min="10590" max="10591" width="9.28515625" style="1683" customWidth="1"/>
    <col min="10592" max="10602" width="10.28515625" style="1683" customWidth="1"/>
    <col min="10603" max="10752" width="9.140625" style="1683"/>
    <col min="10753" max="10753" width="55.7109375" style="1683" customWidth="1"/>
    <col min="10754" max="10845" width="0" style="1683" hidden="1" customWidth="1"/>
    <col min="10846" max="10847" width="9.28515625" style="1683" customWidth="1"/>
    <col min="10848" max="10858" width="10.28515625" style="1683" customWidth="1"/>
    <col min="10859" max="11008" width="9.140625" style="1683"/>
    <col min="11009" max="11009" width="55.7109375" style="1683" customWidth="1"/>
    <col min="11010" max="11101" width="0" style="1683" hidden="1" customWidth="1"/>
    <col min="11102" max="11103" width="9.28515625" style="1683" customWidth="1"/>
    <col min="11104" max="11114" width="10.28515625" style="1683" customWidth="1"/>
    <col min="11115" max="11264" width="9.140625" style="1683"/>
    <col min="11265" max="11265" width="55.7109375" style="1683" customWidth="1"/>
    <col min="11266" max="11357" width="0" style="1683" hidden="1" customWidth="1"/>
    <col min="11358" max="11359" width="9.28515625" style="1683" customWidth="1"/>
    <col min="11360" max="11370" width="10.28515625" style="1683" customWidth="1"/>
    <col min="11371" max="11520" width="9.140625" style="1683"/>
    <col min="11521" max="11521" width="55.7109375" style="1683" customWidth="1"/>
    <col min="11522" max="11613" width="0" style="1683" hidden="1" customWidth="1"/>
    <col min="11614" max="11615" width="9.28515625" style="1683" customWidth="1"/>
    <col min="11616" max="11626" width="10.28515625" style="1683" customWidth="1"/>
    <col min="11627" max="11776" width="9.140625" style="1683"/>
    <col min="11777" max="11777" width="55.7109375" style="1683" customWidth="1"/>
    <col min="11778" max="11869" width="0" style="1683" hidden="1" customWidth="1"/>
    <col min="11870" max="11871" width="9.28515625" style="1683" customWidth="1"/>
    <col min="11872" max="11882" width="10.28515625" style="1683" customWidth="1"/>
    <col min="11883" max="12032" width="9.140625" style="1683"/>
    <col min="12033" max="12033" width="55.7109375" style="1683" customWidth="1"/>
    <col min="12034" max="12125" width="0" style="1683" hidden="1" customWidth="1"/>
    <col min="12126" max="12127" width="9.28515625" style="1683" customWidth="1"/>
    <col min="12128" max="12138" width="10.28515625" style="1683" customWidth="1"/>
    <col min="12139" max="12288" width="9.140625" style="1683"/>
    <col min="12289" max="12289" width="55.7109375" style="1683" customWidth="1"/>
    <col min="12290" max="12381" width="0" style="1683" hidden="1" customWidth="1"/>
    <col min="12382" max="12383" width="9.28515625" style="1683" customWidth="1"/>
    <col min="12384" max="12394" width="10.28515625" style="1683" customWidth="1"/>
    <col min="12395" max="12544" width="9.140625" style="1683"/>
    <col min="12545" max="12545" width="55.7109375" style="1683" customWidth="1"/>
    <col min="12546" max="12637" width="0" style="1683" hidden="1" customWidth="1"/>
    <col min="12638" max="12639" width="9.28515625" style="1683" customWidth="1"/>
    <col min="12640" max="12650" width="10.28515625" style="1683" customWidth="1"/>
    <col min="12651" max="12800" width="9.140625" style="1683"/>
    <col min="12801" max="12801" width="55.7109375" style="1683" customWidth="1"/>
    <col min="12802" max="12893" width="0" style="1683" hidden="1" customWidth="1"/>
    <col min="12894" max="12895" width="9.28515625" style="1683" customWidth="1"/>
    <col min="12896" max="12906" width="10.28515625" style="1683" customWidth="1"/>
    <col min="12907" max="13056" width="9.140625" style="1683"/>
    <col min="13057" max="13057" width="55.7109375" style="1683" customWidth="1"/>
    <col min="13058" max="13149" width="0" style="1683" hidden="1" customWidth="1"/>
    <col min="13150" max="13151" width="9.28515625" style="1683" customWidth="1"/>
    <col min="13152" max="13162" width="10.28515625" style="1683" customWidth="1"/>
    <col min="13163" max="13312" width="9.140625" style="1683"/>
    <col min="13313" max="13313" width="55.7109375" style="1683" customWidth="1"/>
    <col min="13314" max="13405" width="0" style="1683" hidden="1" customWidth="1"/>
    <col min="13406" max="13407" width="9.28515625" style="1683" customWidth="1"/>
    <col min="13408" max="13418" width="10.28515625" style="1683" customWidth="1"/>
    <col min="13419" max="13568" width="9.140625" style="1683"/>
    <col min="13569" max="13569" width="55.7109375" style="1683" customWidth="1"/>
    <col min="13570" max="13661" width="0" style="1683" hidden="1" customWidth="1"/>
    <col min="13662" max="13663" width="9.28515625" style="1683" customWidth="1"/>
    <col min="13664" max="13674" width="10.28515625" style="1683" customWidth="1"/>
    <col min="13675" max="13824" width="9.140625" style="1683"/>
    <col min="13825" max="13825" width="55.7109375" style="1683" customWidth="1"/>
    <col min="13826" max="13917" width="0" style="1683" hidden="1" customWidth="1"/>
    <col min="13918" max="13919" width="9.28515625" style="1683" customWidth="1"/>
    <col min="13920" max="13930" width="10.28515625" style="1683" customWidth="1"/>
    <col min="13931" max="14080" width="9.140625" style="1683"/>
    <col min="14081" max="14081" width="55.7109375" style="1683" customWidth="1"/>
    <col min="14082" max="14173" width="0" style="1683" hidden="1" customWidth="1"/>
    <col min="14174" max="14175" width="9.28515625" style="1683" customWidth="1"/>
    <col min="14176" max="14186" width="10.28515625" style="1683" customWidth="1"/>
    <col min="14187" max="14336" width="9.140625" style="1683"/>
    <col min="14337" max="14337" width="55.7109375" style="1683" customWidth="1"/>
    <col min="14338" max="14429" width="0" style="1683" hidden="1" customWidth="1"/>
    <col min="14430" max="14431" width="9.28515625" style="1683" customWidth="1"/>
    <col min="14432" max="14442" width="10.28515625" style="1683" customWidth="1"/>
    <col min="14443" max="14592" width="9.140625" style="1683"/>
    <col min="14593" max="14593" width="55.7109375" style="1683" customWidth="1"/>
    <col min="14594" max="14685" width="0" style="1683" hidden="1" customWidth="1"/>
    <col min="14686" max="14687" width="9.28515625" style="1683" customWidth="1"/>
    <col min="14688" max="14698" width="10.28515625" style="1683" customWidth="1"/>
    <col min="14699" max="14848" width="9.140625" style="1683"/>
    <col min="14849" max="14849" width="55.7109375" style="1683" customWidth="1"/>
    <col min="14850" max="14941" width="0" style="1683" hidden="1" customWidth="1"/>
    <col min="14942" max="14943" width="9.28515625" style="1683" customWidth="1"/>
    <col min="14944" max="14954" width="10.28515625" style="1683" customWidth="1"/>
    <col min="14955" max="15104" width="9.140625" style="1683"/>
    <col min="15105" max="15105" width="55.7109375" style="1683" customWidth="1"/>
    <col min="15106" max="15197" width="0" style="1683" hidden="1" customWidth="1"/>
    <col min="15198" max="15199" width="9.28515625" style="1683" customWidth="1"/>
    <col min="15200" max="15210" width="10.28515625" style="1683" customWidth="1"/>
    <col min="15211" max="15360" width="9.140625" style="1683"/>
    <col min="15361" max="15361" width="55.7109375" style="1683" customWidth="1"/>
    <col min="15362" max="15453" width="0" style="1683" hidden="1" customWidth="1"/>
    <col min="15454" max="15455" width="9.28515625" style="1683" customWidth="1"/>
    <col min="15456" max="15466" width="10.28515625" style="1683" customWidth="1"/>
    <col min="15467" max="15616" width="9.140625" style="1683"/>
    <col min="15617" max="15617" width="55.7109375" style="1683" customWidth="1"/>
    <col min="15618" max="15709" width="0" style="1683" hidden="1" customWidth="1"/>
    <col min="15710" max="15711" width="9.28515625" style="1683" customWidth="1"/>
    <col min="15712" max="15722" width="10.28515625" style="1683" customWidth="1"/>
    <col min="15723" max="15872" width="9.140625" style="1683"/>
    <col min="15873" max="15873" width="55.7109375" style="1683" customWidth="1"/>
    <col min="15874" max="15965" width="0" style="1683" hidden="1" customWidth="1"/>
    <col min="15966" max="15967" width="9.28515625" style="1683" customWidth="1"/>
    <col min="15968" max="15978" width="10.28515625" style="1683" customWidth="1"/>
    <col min="15979" max="16128" width="9.140625" style="1683"/>
    <col min="16129" max="16129" width="55.7109375" style="1683" customWidth="1"/>
    <col min="16130" max="16221" width="0" style="1683" hidden="1" customWidth="1"/>
    <col min="16222" max="16223" width="9.28515625" style="1683" customWidth="1"/>
    <col min="16224" max="16234" width="10.28515625" style="1683" customWidth="1"/>
    <col min="16235" max="16384" width="9.140625" style="1683"/>
  </cols>
  <sheetData>
    <row r="1" spans="1:109">
      <c r="A1" s="1682"/>
    </row>
    <row r="2" spans="1:109" ht="19.5">
      <c r="A2" s="1686" t="s">
        <v>1346</v>
      </c>
      <c r="B2" s="1684"/>
      <c r="C2" s="1684"/>
    </row>
    <row r="3" spans="1:109" ht="15.75" thickBot="1">
      <c r="A3" s="1687"/>
      <c r="B3" s="1687"/>
      <c r="C3" s="1687"/>
      <c r="D3" s="1687"/>
      <c r="E3" s="1687"/>
      <c r="F3" s="1687"/>
      <c r="G3" s="1687"/>
      <c r="H3" s="1687"/>
      <c r="I3" s="1687"/>
      <c r="J3" s="1687"/>
      <c r="K3" s="1687"/>
      <c r="L3" s="1687"/>
      <c r="M3" s="1687"/>
      <c r="N3" s="1687"/>
      <c r="O3" s="1687"/>
      <c r="P3" s="1687"/>
      <c r="Q3" s="1687"/>
      <c r="R3" s="1687"/>
      <c r="S3" s="1687"/>
      <c r="T3" s="1687"/>
      <c r="U3" s="1687"/>
      <c r="V3" s="1687"/>
      <c r="W3" s="1687"/>
      <c r="X3" s="1687"/>
      <c r="Y3" s="1687"/>
      <c r="Z3" s="1687"/>
      <c r="AA3" s="1687"/>
      <c r="AB3" s="1687"/>
      <c r="AC3" s="1687"/>
      <c r="AD3" s="1687"/>
      <c r="AF3" s="1688"/>
      <c r="AH3" s="1689" t="s">
        <v>1347</v>
      </c>
      <c r="AI3" s="1689"/>
      <c r="AL3" s="1690"/>
      <c r="AM3" s="1690"/>
      <c r="AO3" s="1690"/>
      <c r="AP3" s="1690"/>
      <c r="AQ3" s="1690"/>
      <c r="AR3" s="1690" t="s">
        <v>1348</v>
      </c>
      <c r="AS3" s="1690"/>
      <c r="AT3" s="1690"/>
      <c r="AU3" s="1687"/>
      <c r="AV3" s="1687"/>
      <c r="AW3" s="1687"/>
      <c r="AX3" s="1687"/>
      <c r="AY3" s="1687"/>
      <c r="AZ3" s="1687"/>
      <c r="BA3" s="1687"/>
      <c r="BB3" s="1687" t="s">
        <v>1348</v>
      </c>
      <c r="BC3" s="1690"/>
      <c r="BD3" s="1690"/>
      <c r="BE3" s="1690"/>
      <c r="BF3" s="1690"/>
      <c r="BG3" s="1690"/>
      <c r="BH3" s="1690"/>
      <c r="BI3" s="1690"/>
      <c r="BJ3" s="1690"/>
      <c r="BK3" s="1690"/>
      <c r="BL3" s="1690"/>
      <c r="BM3" s="1690"/>
      <c r="BO3" s="1690"/>
      <c r="BP3" s="1687"/>
      <c r="BQ3" s="1687" t="s">
        <v>1348</v>
      </c>
      <c r="BR3" s="1690"/>
      <c r="BS3" s="1690"/>
      <c r="CG3" s="1690" t="s">
        <v>1349</v>
      </c>
    </row>
    <row r="4" spans="1:109" ht="22.5" customHeight="1" thickTop="1" thickBot="1">
      <c r="A4" s="1691"/>
      <c r="B4" s="1692">
        <v>38534</v>
      </c>
      <c r="C4" s="1693">
        <v>38565</v>
      </c>
      <c r="D4" s="1693">
        <v>38596</v>
      </c>
      <c r="E4" s="1693">
        <v>38626</v>
      </c>
      <c r="F4" s="1692">
        <v>38657</v>
      </c>
      <c r="G4" s="1693">
        <v>38687</v>
      </c>
      <c r="H4" s="1693">
        <v>38718</v>
      </c>
      <c r="I4" s="1693">
        <v>38749</v>
      </c>
      <c r="J4" s="1693">
        <v>38777</v>
      </c>
      <c r="K4" s="1693">
        <v>38808</v>
      </c>
      <c r="L4" s="1693">
        <v>38838</v>
      </c>
      <c r="M4" s="1693">
        <v>38869</v>
      </c>
      <c r="N4" s="1692">
        <v>38899</v>
      </c>
      <c r="O4" s="1693">
        <v>38930</v>
      </c>
      <c r="P4" s="1693">
        <v>38961</v>
      </c>
      <c r="Q4" s="1692">
        <v>38991</v>
      </c>
      <c r="R4" s="1693">
        <v>39022</v>
      </c>
      <c r="S4" s="1693">
        <v>39052</v>
      </c>
      <c r="T4" s="1694">
        <v>39083</v>
      </c>
      <c r="U4" s="1694">
        <v>39114</v>
      </c>
      <c r="V4" s="1694">
        <v>39142</v>
      </c>
      <c r="W4" s="1694">
        <v>39173</v>
      </c>
      <c r="X4" s="1694">
        <v>39203</v>
      </c>
      <c r="Y4" s="1694">
        <v>39234</v>
      </c>
      <c r="Z4" s="1694">
        <v>39264</v>
      </c>
      <c r="AA4" s="1694">
        <v>39295</v>
      </c>
      <c r="AB4" s="1694">
        <v>39326</v>
      </c>
      <c r="AC4" s="1694">
        <v>39356</v>
      </c>
      <c r="AD4" s="1694">
        <v>39387</v>
      </c>
      <c r="AE4" s="1694">
        <v>39417</v>
      </c>
      <c r="AF4" s="1694">
        <v>39455</v>
      </c>
      <c r="AG4" s="1694">
        <v>39486</v>
      </c>
      <c r="AH4" s="1694">
        <v>39515</v>
      </c>
      <c r="AI4" s="1694">
        <v>39546</v>
      </c>
      <c r="AJ4" s="1694">
        <v>39576</v>
      </c>
      <c r="AK4" s="1694">
        <v>39607</v>
      </c>
      <c r="AL4" s="1694">
        <v>39637</v>
      </c>
      <c r="AM4" s="1694">
        <v>39668</v>
      </c>
      <c r="AN4" s="1694">
        <v>39699</v>
      </c>
      <c r="AO4" s="1694">
        <v>39729</v>
      </c>
      <c r="AP4" s="1694">
        <v>39760</v>
      </c>
      <c r="AQ4" s="1694">
        <v>39790</v>
      </c>
      <c r="AR4" s="1694">
        <v>39821</v>
      </c>
      <c r="AS4" s="1694">
        <v>39852</v>
      </c>
      <c r="AT4" s="1694">
        <v>39880</v>
      </c>
      <c r="AU4" s="1694">
        <v>39911</v>
      </c>
      <c r="AV4" s="1694">
        <v>39941</v>
      </c>
      <c r="AW4" s="1694">
        <v>39972</v>
      </c>
      <c r="AX4" s="1694">
        <v>40002</v>
      </c>
      <c r="AY4" s="1694">
        <v>40033</v>
      </c>
      <c r="AZ4" s="1694">
        <v>40064</v>
      </c>
      <c r="BA4" s="1694">
        <v>40094</v>
      </c>
      <c r="BB4" s="1694">
        <v>40125</v>
      </c>
      <c r="BC4" s="1694">
        <v>40155</v>
      </c>
      <c r="BD4" s="1694">
        <v>40186</v>
      </c>
      <c r="BE4" s="1694">
        <v>40217</v>
      </c>
      <c r="BF4" s="1694">
        <v>40245</v>
      </c>
      <c r="BG4" s="1694">
        <v>40276</v>
      </c>
      <c r="BH4" s="1694">
        <v>40306</v>
      </c>
      <c r="BI4" s="1694">
        <v>40337</v>
      </c>
      <c r="BJ4" s="1694">
        <v>40367</v>
      </c>
      <c r="BK4" s="1694">
        <v>40398</v>
      </c>
      <c r="BL4" s="1694">
        <v>40429</v>
      </c>
      <c r="BM4" s="1695" t="s">
        <v>236</v>
      </c>
      <c r="BN4" s="1695" t="s">
        <v>374</v>
      </c>
      <c r="BO4" s="1695" t="s">
        <v>1350</v>
      </c>
      <c r="BP4" s="1695" t="s">
        <v>1351</v>
      </c>
      <c r="BQ4" s="1695" t="s">
        <v>1352</v>
      </c>
      <c r="BR4" s="1695" t="s">
        <v>1353</v>
      </c>
      <c r="BS4" s="1695" t="s">
        <v>1354</v>
      </c>
      <c r="BT4" s="1695">
        <v>40664</v>
      </c>
      <c r="BU4" s="1695">
        <v>40695</v>
      </c>
      <c r="BV4" s="1695">
        <v>40725</v>
      </c>
      <c r="BW4" s="1695" t="s">
        <v>1355</v>
      </c>
      <c r="BX4" s="1695" t="s">
        <v>1356</v>
      </c>
      <c r="BY4" s="1695" t="s">
        <v>1357</v>
      </c>
      <c r="BZ4" s="1696" t="s">
        <v>1358</v>
      </c>
      <c r="CA4" s="1695" t="s">
        <v>1359</v>
      </c>
      <c r="CB4" s="1695" t="s">
        <v>1360</v>
      </c>
      <c r="CC4" s="1695" t="s">
        <v>1361</v>
      </c>
      <c r="CD4" s="1695" t="s">
        <v>1362</v>
      </c>
      <c r="CE4" s="1695" t="s">
        <v>1363</v>
      </c>
      <c r="CF4" s="1695" t="s">
        <v>1364</v>
      </c>
      <c r="CG4" s="1695" t="s">
        <v>1365</v>
      </c>
      <c r="CH4" s="1695" t="s">
        <v>1366</v>
      </c>
      <c r="CI4" s="1695" t="s">
        <v>1367</v>
      </c>
      <c r="CJ4" s="1695" t="s">
        <v>1368</v>
      </c>
      <c r="CK4" s="1695" t="s">
        <v>1369</v>
      </c>
      <c r="CL4" s="1695" t="s">
        <v>1370</v>
      </c>
      <c r="CM4" s="1695" t="s">
        <v>1371</v>
      </c>
      <c r="CN4" s="1695" t="s">
        <v>1372</v>
      </c>
      <c r="CO4" s="1695" t="s">
        <v>1373</v>
      </c>
      <c r="CP4" s="1697" t="s">
        <v>377</v>
      </c>
      <c r="CQ4" s="1698" t="s">
        <v>378</v>
      </c>
      <c r="CR4" s="1698" t="s">
        <v>379</v>
      </c>
      <c r="CS4" s="1698" t="s">
        <v>380</v>
      </c>
      <c r="CT4" s="1698" t="s">
        <v>381</v>
      </c>
      <c r="CU4" s="1698" t="s">
        <v>382</v>
      </c>
      <c r="CV4" s="1698" t="s">
        <v>383</v>
      </c>
      <c r="CW4" s="1698" t="s">
        <v>384</v>
      </c>
      <c r="CX4" s="1698" t="s">
        <v>391</v>
      </c>
      <c r="CY4" s="1698" t="s">
        <v>392</v>
      </c>
      <c r="CZ4" s="1698" t="s">
        <v>393</v>
      </c>
      <c r="DA4" s="1698" t="s">
        <v>385</v>
      </c>
      <c r="DB4" s="1698" t="s">
        <v>386</v>
      </c>
      <c r="DC4" s="1698" t="s">
        <v>387</v>
      </c>
      <c r="DD4" s="1698" t="s">
        <v>388</v>
      </c>
      <c r="DE4" s="1698" t="s">
        <v>389</v>
      </c>
    </row>
    <row r="5" spans="1:109" ht="15.75" thickTop="1">
      <c r="A5" s="1699"/>
      <c r="B5" s="1700"/>
      <c r="C5" s="1701"/>
      <c r="D5" s="1701"/>
      <c r="E5" s="1701"/>
      <c r="F5" s="1702"/>
      <c r="G5" s="1703"/>
      <c r="H5" s="1703"/>
      <c r="I5" s="1703"/>
      <c r="J5" s="1703"/>
      <c r="K5" s="1703"/>
      <c r="L5" s="1703"/>
      <c r="M5" s="1703"/>
      <c r="N5" s="1702"/>
      <c r="O5" s="1703"/>
      <c r="P5" s="1703"/>
      <c r="Q5" s="1702"/>
      <c r="R5" s="1703"/>
      <c r="S5" s="1703"/>
      <c r="T5" s="1704"/>
      <c r="U5" s="1704"/>
      <c r="V5" s="1705"/>
      <c r="W5" s="1705"/>
      <c r="X5" s="1705"/>
      <c r="Y5" s="1705"/>
      <c r="Z5" s="1705"/>
      <c r="AA5" s="1705"/>
      <c r="AB5" s="1705"/>
      <c r="AC5" s="1705"/>
      <c r="AD5" s="1705"/>
      <c r="AE5" s="1705"/>
      <c r="AF5" s="1705"/>
      <c r="AG5" s="1705"/>
      <c r="AH5" s="1705"/>
      <c r="AI5" s="1705"/>
      <c r="AJ5" s="1705"/>
      <c r="AK5" s="1705"/>
      <c r="AL5" s="1705"/>
      <c r="AM5" s="1705"/>
      <c r="AN5" s="1706"/>
      <c r="AO5" s="1705"/>
      <c r="AP5" s="1705"/>
      <c r="AQ5" s="1705"/>
      <c r="AR5" s="1705"/>
      <c r="AS5" s="1705"/>
      <c r="AT5" s="1705"/>
      <c r="AU5" s="1705"/>
      <c r="AV5" s="1705"/>
      <c r="AW5" s="1705"/>
      <c r="AX5" s="1705"/>
      <c r="AY5" s="1705"/>
      <c r="AZ5" s="1705"/>
      <c r="BA5" s="1705"/>
      <c r="BB5" s="1705"/>
      <c r="BC5" s="1705"/>
      <c r="BD5" s="1705"/>
      <c r="BE5" s="1705"/>
      <c r="BF5" s="1705"/>
      <c r="BG5" s="1705"/>
      <c r="BH5" s="1706"/>
      <c r="BI5" s="1706"/>
      <c r="BJ5" s="1706"/>
      <c r="BK5" s="1706"/>
      <c r="BL5" s="1706"/>
      <c r="BM5" s="1706"/>
      <c r="BN5" s="1706"/>
      <c r="BO5" s="1706"/>
      <c r="BP5" s="1707"/>
      <c r="BQ5" s="1707"/>
      <c r="BR5" s="1707"/>
      <c r="BS5" s="1707"/>
      <c r="BT5" s="1707"/>
      <c r="BU5" s="1707"/>
      <c r="BV5" s="1707"/>
      <c r="BW5" s="1707"/>
      <c r="BX5" s="1704"/>
      <c r="BY5" s="1704"/>
      <c r="BZ5" s="1705"/>
      <c r="CA5" s="1704"/>
      <c r="CB5" s="1704"/>
      <c r="CC5" s="1705"/>
      <c r="CD5" s="1705"/>
      <c r="CE5" s="1705"/>
      <c r="CF5" s="1705"/>
      <c r="CG5" s="1705"/>
      <c r="CH5" s="1708"/>
      <c r="CI5" s="1709"/>
      <c r="CJ5" s="1705"/>
      <c r="CK5" s="1705"/>
      <c r="CL5" s="1705"/>
      <c r="CM5" s="1705"/>
      <c r="CN5" s="1705"/>
      <c r="CO5" s="1705"/>
      <c r="CP5" s="1705"/>
      <c r="CQ5" s="1705"/>
      <c r="CR5" s="1705"/>
      <c r="CS5" s="1705"/>
      <c r="CT5" s="1705"/>
      <c r="CU5" s="1705"/>
      <c r="CV5" s="1705"/>
      <c r="CW5" s="1705"/>
      <c r="CX5" s="1705"/>
      <c r="CY5" s="1705"/>
      <c r="CZ5" s="1705"/>
      <c r="DA5" s="1705"/>
      <c r="DB5" s="1705"/>
      <c r="DC5" s="1710"/>
      <c r="DD5" s="1710"/>
      <c r="DE5" s="1710"/>
    </row>
    <row r="6" spans="1:109" ht="17.45" customHeight="1">
      <c r="A6" s="1711" t="s">
        <v>1374</v>
      </c>
      <c r="B6" s="1712"/>
      <c r="C6" s="1713"/>
      <c r="D6" s="1713"/>
      <c r="E6" s="1713"/>
      <c r="F6" s="1714"/>
      <c r="G6" s="1715"/>
      <c r="H6" s="1715"/>
      <c r="I6" s="1715"/>
      <c r="J6" s="1715"/>
      <c r="K6" s="1715"/>
      <c r="L6" s="1715"/>
      <c r="M6" s="1715"/>
      <c r="N6" s="1714"/>
      <c r="O6" s="1715"/>
      <c r="P6" s="1715"/>
      <c r="Q6" s="1714"/>
      <c r="R6" s="1715"/>
      <c r="S6" s="1715"/>
      <c r="T6" s="1716"/>
      <c r="U6" s="1716"/>
      <c r="V6" s="1717"/>
      <c r="W6" s="1717"/>
      <c r="X6" s="1717"/>
      <c r="Y6" s="1717"/>
      <c r="Z6" s="1717"/>
      <c r="AA6" s="1717"/>
      <c r="AB6" s="1717"/>
      <c r="AC6" s="1717"/>
      <c r="AD6" s="1717"/>
      <c r="AE6" s="1717"/>
      <c r="AF6" s="1717"/>
      <c r="AG6" s="1717"/>
      <c r="AH6" s="1717"/>
      <c r="AI6" s="1717"/>
      <c r="AJ6" s="1717"/>
      <c r="AK6" s="1717"/>
      <c r="AL6" s="1717"/>
      <c r="AM6" s="1717"/>
      <c r="AN6" s="1718"/>
      <c r="AO6" s="1717"/>
      <c r="AP6" s="1717"/>
      <c r="AQ6" s="1717"/>
      <c r="AR6" s="1717"/>
      <c r="AS6" s="1717"/>
      <c r="AT6" s="1717"/>
      <c r="AU6" s="1717"/>
      <c r="AV6" s="1717"/>
      <c r="AW6" s="1717"/>
      <c r="AX6" s="1717"/>
      <c r="AY6" s="1717"/>
      <c r="AZ6" s="1717"/>
      <c r="BA6" s="1717"/>
      <c r="BB6" s="1717"/>
      <c r="BC6" s="1717"/>
      <c r="BD6" s="1717"/>
      <c r="BE6" s="1717"/>
      <c r="BF6" s="1717"/>
      <c r="BG6" s="1717"/>
      <c r="BH6" s="1718"/>
      <c r="BI6" s="1718"/>
      <c r="BJ6" s="1718"/>
      <c r="BK6" s="1718"/>
      <c r="BL6" s="1718"/>
      <c r="BM6" s="1718"/>
      <c r="BN6" s="1718"/>
      <c r="BO6" s="1718"/>
      <c r="BP6" s="1719"/>
      <c r="BQ6" s="1719"/>
      <c r="BR6" s="1719"/>
      <c r="BS6" s="1719"/>
      <c r="BT6" s="1719"/>
      <c r="BU6" s="1719"/>
      <c r="BV6" s="1719"/>
      <c r="BW6" s="1719"/>
      <c r="BX6" s="1716"/>
      <c r="BY6" s="1716"/>
      <c r="BZ6" s="1717"/>
      <c r="CA6" s="1716"/>
      <c r="CB6" s="1716"/>
      <c r="CC6" s="1717"/>
      <c r="CD6" s="1717"/>
      <c r="CE6" s="1717"/>
      <c r="CF6" s="1717"/>
      <c r="CG6" s="1717"/>
      <c r="CH6" s="1720"/>
      <c r="CI6" s="1721"/>
      <c r="CJ6" s="1717"/>
      <c r="CK6" s="1717"/>
      <c r="CL6" s="1717"/>
      <c r="CM6" s="1717"/>
      <c r="CN6" s="1717"/>
      <c r="CO6" s="1717"/>
      <c r="CP6" s="1717"/>
      <c r="CQ6" s="1717"/>
      <c r="CR6" s="1717"/>
      <c r="CS6" s="1717"/>
      <c r="CT6" s="1717"/>
      <c r="CU6" s="1717"/>
      <c r="CV6" s="1717"/>
      <c r="CW6" s="1717"/>
      <c r="CX6" s="1717"/>
      <c r="CY6" s="1717"/>
      <c r="CZ6" s="1717"/>
      <c r="DA6" s="1717"/>
      <c r="DB6" s="1717"/>
      <c r="DC6" s="1722"/>
      <c r="DD6" s="1722"/>
      <c r="DE6" s="1722"/>
    </row>
    <row r="7" spans="1:109" ht="17.45" customHeight="1">
      <c r="A7" s="1711"/>
      <c r="B7" s="1712"/>
      <c r="C7" s="1713"/>
      <c r="D7" s="1713"/>
      <c r="E7" s="1713"/>
      <c r="F7" s="1714"/>
      <c r="G7" s="1715"/>
      <c r="H7" s="1715"/>
      <c r="I7" s="1715"/>
      <c r="J7" s="1715"/>
      <c r="K7" s="1715"/>
      <c r="L7" s="1715"/>
      <c r="M7" s="1715"/>
      <c r="N7" s="1714"/>
      <c r="O7" s="1715"/>
      <c r="P7" s="1715"/>
      <c r="Q7" s="1714"/>
      <c r="R7" s="1715"/>
      <c r="S7" s="1715"/>
      <c r="T7" s="1716"/>
      <c r="U7" s="1716"/>
      <c r="V7" s="1717"/>
      <c r="W7" s="1717"/>
      <c r="X7" s="1717"/>
      <c r="Y7" s="1717"/>
      <c r="Z7" s="1717"/>
      <c r="AA7" s="1717"/>
      <c r="AB7" s="1717"/>
      <c r="AC7" s="1717"/>
      <c r="AD7" s="1717"/>
      <c r="AE7" s="1717"/>
      <c r="AF7" s="1717"/>
      <c r="AG7" s="1717"/>
      <c r="AH7" s="1717"/>
      <c r="AI7" s="1717"/>
      <c r="AJ7" s="1717"/>
      <c r="AK7" s="1717"/>
      <c r="AL7" s="1717"/>
      <c r="AM7" s="1717"/>
      <c r="AN7" s="1718"/>
      <c r="AO7" s="1717"/>
      <c r="AP7" s="1717"/>
      <c r="AQ7" s="1717"/>
      <c r="AR7" s="1717"/>
      <c r="AS7" s="1717"/>
      <c r="AT7" s="1717"/>
      <c r="AU7" s="1717"/>
      <c r="AV7" s="1717"/>
      <c r="AW7" s="1717"/>
      <c r="AX7" s="1717"/>
      <c r="AY7" s="1717"/>
      <c r="AZ7" s="1717"/>
      <c r="BA7" s="1717"/>
      <c r="BB7" s="1717"/>
      <c r="BC7" s="1717"/>
      <c r="BD7" s="1717"/>
      <c r="BE7" s="1717"/>
      <c r="BF7" s="1717"/>
      <c r="BG7" s="1717"/>
      <c r="BH7" s="1718"/>
      <c r="BI7" s="1718"/>
      <c r="BJ7" s="1718"/>
      <c r="BK7" s="1718"/>
      <c r="BL7" s="1718"/>
      <c r="BM7" s="1718"/>
      <c r="BN7" s="1718"/>
      <c r="BO7" s="1718"/>
      <c r="BP7" s="1719"/>
      <c r="BQ7" s="1719"/>
      <c r="BR7" s="1719"/>
      <c r="BS7" s="1719"/>
      <c r="BT7" s="1719"/>
      <c r="BU7" s="1719"/>
      <c r="BV7" s="1719"/>
      <c r="BW7" s="1719"/>
      <c r="BX7" s="1716"/>
      <c r="BY7" s="1716"/>
      <c r="BZ7" s="1717"/>
      <c r="CA7" s="1716"/>
      <c r="CB7" s="1716"/>
      <c r="CC7" s="1717"/>
      <c r="CD7" s="1717"/>
      <c r="CE7" s="1717"/>
      <c r="CF7" s="1717"/>
      <c r="CG7" s="1717"/>
      <c r="CH7" s="1720"/>
      <c r="CI7" s="1721"/>
      <c r="CJ7" s="1717"/>
      <c r="CK7" s="1717"/>
      <c r="CL7" s="1717"/>
      <c r="CM7" s="1717"/>
      <c r="CN7" s="1717"/>
      <c r="CO7" s="1717"/>
      <c r="CP7" s="1717"/>
      <c r="CQ7" s="1717"/>
      <c r="CR7" s="1717"/>
      <c r="CS7" s="1717"/>
      <c r="CT7" s="1717"/>
      <c r="CU7" s="1717"/>
      <c r="CV7" s="1717"/>
      <c r="CW7" s="1717"/>
      <c r="CX7" s="1717"/>
      <c r="CY7" s="1717"/>
      <c r="CZ7" s="1717"/>
      <c r="DA7" s="1717"/>
      <c r="DB7" s="1717"/>
      <c r="DC7" s="1722"/>
      <c r="DD7" s="1722"/>
      <c r="DE7" s="1722"/>
    </row>
    <row r="8" spans="1:109" ht="17.45" customHeight="1">
      <c r="A8" s="1711" t="s">
        <v>601</v>
      </c>
      <c r="B8" s="1712"/>
      <c r="C8" s="1713"/>
      <c r="D8" s="1713"/>
      <c r="E8" s="1713"/>
      <c r="F8" s="1714"/>
      <c r="G8" s="1715"/>
      <c r="H8" s="1715"/>
      <c r="I8" s="1715"/>
      <c r="J8" s="1715"/>
      <c r="K8" s="1715"/>
      <c r="L8" s="1715"/>
      <c r="M8" s="1715"/>
      <c r="N8" s="1714"/>
      <c r="O8" s="1715"/>
      <c r="P8" s="1715"/>
      <c r="Q8" s="1714"/>
      <c r="R8" s="1715"/>
      <c r="S8" s="1715"/>
      <c r="T8" s="1716"/>
      <c r="U8" s="1716"/>
      <c r="V8" s="1717"/>
      <c r="W8" s="1717"/>
      <c r="X8" s="1717"/>
      <c r="Y8" s="1717"/>
      <c r="Z8" s="1717"/>
      <c r="AA8" s="1717"/>
      <c r="AB8" s="1717"/>
      <c r="AC8" s="1717"/>
      <c r="AD8" s="1717"/>
      <c r="AE8" s="1717"/>
      <c r="AF8" s="1717"/>
      <c r="AG8" s="1717"/>
      <c r="AH8" s="1717"/>
      <c r="AI8" s="1717"/>
      <c r="AJ8" s="1717"/>
      <c r="AK8" s="1717"/>
      <c r="AL8" s="1717"/>
      <c r="AM8" s="1717"/>
      <c r="AN8" s="1718"/>
      <c r="AO8" s="1717"/>
      <c r="AP8" s="1717"/>
      <c r="AQ8" s="1717"/>
      <c r="AR8" s="1717"/>
      <c r="AS8" s="1717"/>
      <c r="AT8" s="1717"/>
      <c r="AU8" s="1717"/>
      <c r="AV8" s="1717"/>
      <c r="AW8" s="1717"/>
      <c r="AX8" s="1717"/>
      <c r="AY8" s="1717"/>
      <c r="AZ8" s="1717"/>
      <c r="BA8" s="1717"/>
      <c r="BB8" s="1717"/>
      <c r="BC8" s="1717"/>
      <c r="BD8" s="1717"/>
      <c r="BE8" s="1717"/>
      <c r="BF8" s="1717"/>
      <c r="BG8" s="1717"/>
      <c r="BH8" s="1718"/>
      <c r="BI8" s="1718"/>
      <c r="BJ8" s="1718"/>
      <c r="BK8" s="1718"/>
      <c r="BL8" s="1718"/>
      <c r="BM8" s="1718"/>
      <c r="BN8" s="1718"/>
      <c r="BO8" s="1718"/>
      <c r="BP8" s="1719"/>
      <c r="BQ8" s="1719"/>
      <c r="BR8" s="1719"/>
      <c r="BS8" s="1719"/>
      <c r="BT8" s="1719"/>
      <c r="BU8" s="1719"/>
      <c r="BV8" s="1719"/>
      <c r="BW8" s="1719"/>
      <c r="BX8" s="1716"/>
      <c r="BY8" s="1716"/>
      <c r="BZ8" s="1717"/>
      <c r="CA8" s="1716"/>
      <c r="CB8" s="1716"/>
      <c r="CC8" s="1717"/>
      <c r="CD8" s="1717"/>
      <c r="CE8" s="1717"/>
      <c r="CF8" s="1717"/>
      <c r="CG8" s="1717"/>
      <c r="CH8" s="1720"/>
      <c r="CI8" s="1721"/>
      <c r="CJ8" s="1717"/>
      <c r="CK8" s="1717"/>
      <c r="CL8" s="1717"/>
      <c r="CM8" s="1717"/>
      <c r="CN8" s="1717"/>
      <c r="CO8" s="1717"/>
      <c r="CP8" s="1717"/>
      <c r="CQ8" s="1717"/>
      <c r="CR8" s="1717"/>
      <c r="CS8" s="1717"/>
      <c r="CT8" s="1717"/>
      <c r="CU8" s="1717"/>
      <c r="CV8" s="1717"/>
      <c r="CW8" s="1717"/>
      <c r="CX8" s="1717"/>
      <c r="CY8" s="1717"/>
      <c r="CZ8" s="1717"/>
      <c r="DA8" s="1717"/>
      <c r="DB8" s="1717"/>
      <c r="DC8" s="1722"/>
      <c r="DD8" s="1722"/>
      <c r="DE8" s="1722"/>
    </row>
    <row r="9" spans="1:109" ht="17.45" hidden="1" customHeight="1">
      <c r="A9" s="1723" t="s">
        <v>1375</v>
      </c>
      <c r="B9" s="1724">
        <v>10</v>
      </c>
      <c r="C9" s="1725">
        <v>10.5</v>
      </c>
      <c r="D9" s="1725">
        <v>10.5</v>
      </c>
      <c r="E9" s="1725">
        <v>10.5</v>
      </c>
      <c r="F9" s="1724">
        <v>10.5</v>
      </c>
      <c r="G9" s="1725">
        <v>11.5</v>
      </c>
      <c r="H9" s="1725">
        <v>11.5</v>
      </c>
      <c r="I9" s="1725">
        <v>11.5</v>
      </c>
      <c r="J9" s="1725">
        <v>11.5</v>
      </c>
      <c r="K9" s="1725">
        <v>11.5</v>
      </c>
      <c r="L9" s="1725">
        <v>11.5</v>
      </c>
      <c r="M9" s="1725">
        <v>11.5</v>
      </c>
      <c r="N9" s="1724">
        <v>12</v>
      </c>
      <c r="O9" s="1725">
        <v>12</v>
      </c>
      <c r="P9" s="1725">
        <v>13</v>
      </c>
      <c r="Q9" s="1724">
        <v>13</v>
      </c>
      <c r="R9" s="1725">
        <v>13</v>
      </c>
      <c r="S9" s="1725">
        <v>13</v>
      </c>
      <c r="T9" s="1726"/>
      <c r="U9" s="1726"/>
      <c r="V9" s="1717"/>
      <c r="W9" s="1717"/>
      <c r="X9" s="1717"/>
      <c r="Y9" s="1717"/>
      <c r="Z9" s="1717"/>
      <c r="AA9" s="1717"/>
      <c r="AB9" s="1717"/>
      <c r="AC9" s="1717"/>
      <c r="AD9" s="1717"/>
      <c r="AE9" s="1717"/>
      <c r="AF9" s="1717"/>
      <c r="AG9" s="1717"/>
      <c r="AH9" s="1717"/>
      <c r="AI9" s="1717"/>
      <c r="AJ9" s="1717"/>
      <c r="AK9" s="1717"/>
      <c r="AL9" s="1717"/>
      <c r="AM9" s="1717"/>
      <c r="AN9" s="1718"/>
      <c r="AO9" s="1717"/>
      <c r="AP9" s="1717"/>
      <c r="AQ9" s="1717"/>
      <c r="AR9" s="1717"/>
      <c r="AS9" s="1717"/>
      <c r="AT9" s="1717"/>
      <c r="AU9" s="1717"/>
      <c r="AV9" s="1717"/>
      <c r="AW9" s="1717"/>
      <c r="AX9" s="1717"/>
      <c r="AY9" s="1717"/>
      <c r="AZ9" s="1717"/>
      <c r="BA9" s="1717"/>
      <c r="BB9" s="1717"/>
      <c r="BC9" s="1717"/>
      <c r="BD9" s="1717"/>
      <c r="BE9" s="1717"/>
      <c r="BF9" s="1717"/>
      <c r="BG9" s="1717"/>
      <c r="BH9" s="1718"/>
      <c r="BI9" s="1718"/>
      <c r="BJ9" s="1718"/>
      <c r="BK9" s="1718"/>
      <c r="BL9" s="1718"/>
      <c r="BM9" s="1718"/>
      <c r="BN9" s="1718"/>
      <c r="BO9" s="1718"/>
      <c r="BP9" s="1719"/>
      <c r="BQ9" s="1719"/>
      <c r="BR9" s="1719"/>
      <c r="BS9" s="1719"/>
      <c r="BT9" s="1719"/>
      <c r="BU9" s="1719"/>
      <c r="BV9" s="1719"/>
      <c r="BX9" s="1716"/>
      <c r="BY9" s="1716"/>
      <c r="BZ9" s="1717"/>
      <c r="CA9" s="1716"/>
      <c r="CB9" s="1716"/>
      <c r="CC9" s="1717"/>
      <c r="CD9" s="1717"/>
      <c r="CE9" s="1717"/>
      <c r="CF9" s="1717"/>
      <c r="CG9" s="1717"/>
      <c r="CH9" s="1720"/>
      <c r="CI9" s="1721"/>
      <c r="CJ9" s="1717"/>
      <c r="CK9" s="1717"/>
      <c r="CL9" s="1717"/>
      <c r="CM9" s="1717"/>
      <c r="CN9" s="1717"/>
      <c r="CO9" s="1717"/>
      <c r="CP9" s="1717"/>
      <c r="CQ9" s="1717"/>
      <c r="CR9" s="1717"/>
      <c r="CS9" s="1717"/>
      <c r="CT9" s="1717"/>
      <c r="CU9" s="1717"/>
      <c r="CV9" s="1717"/>
      <c r="CW9" s="1717"/>
      <c r="CX9" s="1717"/>
      <c r="CY9" s="1717"/>
      <c r="CZ9" s="1717"/>
      <c r="DA9" s="1717"/>
      <c r="DB9" s="1717"/>
      <c r="DC9" s="1722"/>
      <c r="DD9" s="1722"/>
      <c r="DE9" s="1722"/>
    </row>
    <row r="10" spans="1:109" ht="17.45" customHeight="1">
      <c r="A10" s="1723" t="s">
        <v>1376</v>
      </c>
      <c r="B10" s="1724">
        <v>5.74</v>
      </c>
      <c r="C10" s="1725">
        <v>6.54</v>
      </c>
      <c r="D10" s="1725">
        <v>6.27</v>
      </c>
      <c r="E10" s="1725">
        <v>6.5</v>
      </c>
      <c r="F10" s="1724">
        <v>6.39</v>
      </c>
      <c r="G10" s="1725">
        <v>7.66</v>
      </c>
      <c r="H10" s="1725">
        <v>7.4</v>
      </c>
      <c r="I10" s="1725">
        <v>7.53</v>
      </c>
      <c r="J10" s="1725">
        <v>7.57</v>
      </c>
      <c r="K10" s="1725">
        <v>7.49</v>
      </c>
      <c r="L10" s="1725">
        <v>7.46</v>
      </c>
      <c r="M10" s="1725">
        <v>7.3</v>
      </c>
      <c r="N10" s="1724">
        <v>7.31</v>
      </c>
      <c r="O10" s="1725">
        <v>7.34</v>
      </c>
      <c r="P10" s="1725">
        <v>10.02</v>
      </c>
      <c r="Q10" s="1724">
        <v>10.46</v>
      </c>
      <c r="R10" s="1725">
        <v>11.06</v>
      </c>
      <c r="S10" s="1725">
        <v>12.45</v>
      </c>
      <c r="T10" s="1726">
        <v>13.31</v>
      </c>
      <c r="U10" s="1726">
        <v>12.86</v>
      </c>
      <c r="V10" s="1727">
        <v>11.35</v>
      </c>
      <c r="W10" s="1727">
        <v>11.86</v>
      </c>
      <c r="X10" s="1727">
        <v>11.54</v>
      </c>
      <c r="Y10" s="1727">
        <v>10.98</v>
      </c>
      <c r="Z10" s="1727">
        <v>10.99</v>
      </c>
      <c r="AA10" s="1727">
        <v>9.4600000000000009</v>
      </c>
      <c r="AB10" s="1727">
        <v>9.43</v>
      </c>
      <c r="AC10" s="1727">
        <v>9.4600000000000009</v>
      </c>
      <c r="AD10" s="1727">
        <v>9.4600000000000009</v>
      </c>
      <c r="AE10" s="1727">
        <v>10.050000000000001</v>
      </c>
      <c r="AF10" s="1727">
        <v>9.51</v>
      </c>
      <c r="AG10" s="1727">
        <v>7.86</v>
      </c>
      <c r="AH10" s="1727">
        <v>7.21</v>
      </c>
      <c r="AI10" s="1727">
        <v>7.64</v>
      </c>
      <c r="AJ10" s="1727">
        <v>7.26</v>
      </c>
      <c r="AK10" s="1727">
        <v>7.45</v>
      </c>
      <c r="AL10" s="1727">
        <v>7.47</v>
      </c>
      <c r="AM10" s="1727">
        <v>8.07</v>
      </c>
      <c r="AN10" s="1727">
        <v>9.2899999999999991</v>
      </c>
      <c r="AO10" s="1727">
        <v>9.41</v>
      </c>
      <c r="AP10" s="1727">
        <v>9.36</v>
      </c>
      <c r="AQ10" s="1727">
        <v>8.83</v>
      </c>
      <c r="AR10" s="1727">
        <v>7.53</v>
      </c>
      <c r="AS10" s="1727">
        <v>6.84</v>
      </c>
      <c r="AT10" s="1727">
        <v>5.28</v>
      </c>
      <c r="AU10" s="1727">
        <v>4.9800000000000004</v>
      </c>
      <c r="AV10" s="1727">
        <v>4.7699999999999996</v>
      </c>
      <c r="AW10" s="1727">
        <v>4.76</v>
      </c>
      <c r="AX10" s="1727">
        <v>4.49</v>
      </c>
      <c r="AY10" s="1727">
        <v>4.45</v>
      </c>
      <c r="AZ10" s="1727">
        <v>4.67</v>
      </c>
      <c r="BA10" s="1727">
        <v>4.62</v>
      </c>
      <c r="BB10" s="1727">
        <v>4.41</v>
      </c>
      <c r="BC10" s="1727">
        <v>4.38</v>
      </c>
      <c r="BD10" s="1727">
        <v>4.5599999999999996</v>
      </c>
      <c r="BE10" s="1727">
        <v>4.4400000000000004</v>
      </c>
      <c r="BF10" s="1727">
        <v>4.38</v>
      </c>
      <c r="BG10" s="1727">
        <v>4.33</v>
      </c>
      <c r="BH10" s="1727">
        <v>3.62</v>
      </c>
      <c r="BI10" s="1727">
        <v>3.96</v>
      </c>
      <c r="BJ10" s="1727">
        <v>3.47</v>
      </c>
      <c r="BK10" s="1727">
        <v>2.7</v>
      </c>
      <c r="BL10" s="1727">
        <v>3.21</v>
      </c>
      <c r="BM10" s="1727">
        <v>4.42</v>
      </c>
      <c r="BN10" s="1727">
        <v>3.26</v>
      </c>
      <c r="BO10" s="1727">
        <v>2.89</v>
      </c>
      <c r="BP10" s="1727">
        <v>3.01</v>
      </c>
      <c r="BQ10" s="1727">
        <v>2.54</v>
      </c>
      <c r="BR10" s="1727">
        <v>2.25</v>
      </c>
      <c r="BS10" s="1727">
        <v>4.07</v>
      </c>
      <c r="BT10" s="1727">
        <v>4.1500000000000004</v>
      </c>
      <c r="BU10" s="1727">
        <v>4.47</v>
      </c>
      <c r="BV10" s="1727">
        <v>4.3099999999999996</v>
      </c>
      <c r="BW10" s="1727">
        <v>4.47</v>
      </c>
      <c r="BX10" s="1727">
        <v>4.45</v>
      </c>
      <c r="BY10" s="1727">
        <v>4.28</v>
      </c>
      <c r="BZ10" s="1727">
        <v>4.54</v>
      </c>
      <c r="CA10" s="1727">
        <v>4.4400000000000004</v>
      </c>
      <c r="CB10" s="1727">
        <v>4.21</v>
      </c>
      <c r="CC10" s="1728">
        <v>4.22</v>
      </c>
      <c r="CD10" s="1728">
        <v>3.74</v>
      </c>
      <c r="CE10" s="1728">
        <v>3.67</v>
      </c>
      <c r="CF10" s="1728">
        <v>3.61</v>
      </c>
      <c r="CG10" s="1728">
        <v>3.39</v>
      </c>
      <c r="CH10" s="1729">
        <v>3.4</v>
      </c>
      <c r="CI10" s="1730">
        <v>3.45</v>
      </c>
      <c r="CJ10" s="1728">
        <v>3.44</v>
      </c>
      <c r="CK10" s="1728">
        <v>3.13</v>
      </c>
      <c r="CL10" s="1728">
        <v>2.98</v>
      </c>
      <c r="CM10" s="1728">
        <v>2.89</v>
      </c>
      <c r="CN10" s="1728">
        <v>2.76</v>
      </c>
      <c r="CO10" s="1728">
        <v>2.71</v>
      </c>
      <c r="CP10" s="1728">
        <v>2.36</v>
      </c>
      <c r="CQ10" s="1731">
        <v>2.2999999999999998</v>
      </c>
      <c r="CR10" s="1731">
        <v>2.3199999999999998</v>
      </c>
      <c r="CS10" s="1731">
        <v>2.74</v>
      </c>
      <c r="CT10" s="1731">
        <v>2.8</v>
      </c>
      <c r="CU10" s="1731">
        <v>2.78</v>
      </c>
      <c r="CV10" s="1731">
        <v>2.73</v>
      </c>
      <c r="CW10" s="1731">
        <v>3.16</v>
      </c>
      <c r="CX10" s="1731">
        <v>3.52</v>
      </c>
      <c r="CY10" s="1731">
        <v>3.56</v>
      </c>
      <c r="CZ10" s="1731">
        <v>3.46</v>
      </c>
      <c r="DA10" s="1731">
        <v>3.23</v>
      </c>
      <c r="DB10" s="1731">
        <v>3.05</v>
      </c>
      <c r="DC10" s="1732">
        <v>2.91</v>
      </c>
      <c r="DD10" s="1732">
        <v>2.74</v>
      </c>
      <c r="DE10" s="1732">
        <v>2.48</v>
      </c>
    </row>
    <row r="11" spans="1:109" ht="17.45" customHeight="1">
      <c r="A11" s="1733" t="s">
        <v>1377</v>
      </c>
      <c r="B11" s="1724"/>
      <c r="C11" s="1725"/>
      <c r="D11" s="1725"/>
      <c r="E11" s="1725"/>
      <c r="F11" s="1724"/>
      <c r="G11" s="1725"/>
      <c r="H11" s="1725"/>
      <c r="I11" s="1725"/>
      <c r="J11" s="1725"/>
      <c r="K11" s="1725"/>
      <c r="L11" s="1725"/>
      <c r="M11" s="1725"/>
      <c r="N11" s="1724"/>
      <c r="O11" s="1725"/>
      <c r="P11" s="1725"/>
      <c r="Q11" s="1724"/>
      <c r="R11" s="1725"/>
      <c r="S11" s="1725">
        <v>8.5</v>
      </c>
      <c r="T11" s="1726">
        <v>8.5</v>
      </c>
      <c r="U11" s="1726">
        <v>8.5</v>
      </c>
      <c r="V11" s="1727">
        <v>8.5</v>
      </c>
      <c r="W11" s="1727">
        <v>8.5</v>
      </c>
      <c r="X11" s="1727">
        <v>8.5</v>
      </c>
      <c r="Y11" s="1727">
        <v>8.5</v>
      </c>
      <c r="Z11" s="1727">
        <v>9.25</v>
      </c>
      <c r="AA11" s="1727">
        <v>9.25</v>
      </c>
      <c r="AB11" s="1727">
        <v>9.25</v>
      </c>
      <c r="AC11" s="1727">
        <v>9.25</v>
      </c>
      <c r="AD11" s="1727">
        <v>9.25</v>
      </c>
      <c r="AE11" s="1727">
        <v>9.25</v>
      </c>
      <c r="AF11" s="1727">
        <v>9.25</v>
      </c>
      <c r="AG11" s="1727">
        <v>9</v>
      </c>
      <c r="AH11" s="1727">
        <v>8.5</v>
      </c>
      <c r="AI11" s="1727">
        <v>8.5</v>
      </c>
      <c r="AJ11" s="1727">
        <v>8</v>
      </c>
      <c r="AK11" s="1727">
        <v>8</v>
      </c>
      <c r="AL11" s="1727">
        <v>8.25</v>
      </c>
      <c r="AM11" s="1727">
        <v>8.25</v>
      </c>
      <c r="AN11" s="1727">
        <v>8.25</v>
      </c>
      <c r="AO11" s="1727">
        <v>7.75</v>
      </c>
      <c r="AP11" s="1727">
        <v>7.75</v>
      </c>
      <c r="AQ11" s="1727">
        <v>6.75</v>
      </c>
      <c r="AR11" s="1727">
        <v>6.75</v>
      </c>
      <c r="AS11" s="1727">
        <v>6.75</v>
      </c>
      <c r="AT11" s="1727">
        <v>5.75</v>
      </c>
      <c r="AU11" s="1727">
        <v>5.75</v>
      </c>
      <c r="AV11" s="1727">
        <v>5.75</v>
      </c>
      <c r="AW11" s="1727">
        <v>5.75</v>
      </c>
      <c r="AX11" s="1727">
        <v>5.75</v>
      </c>
      <c r="AY11" s="1727">
        <v>5.75</v>
      </c>
      <c r="AZ11" s="1727">
        <v>5.75</v>
      </c>
      <c r="BA11" s="1727">
        <v>5.75</v>
      </c>
      <c r="BB11" s="1727">
        <v>5.75</v>
      </c>
      <c r="BC11" s="1727">
        <v>5.75</v>
      </c>
      <c r="BD11" s="1727">
        <v>5.75</v>
      </c>
      <c r="BE11" s="1727">
        <v>5.75</v>
      </c>
      <c r="BF11" s="1727">
        <v>5.75</v>
      </c>
      <c r="BG11" s="1727">
        <v>5.75</v>
      </c>
      <c r="BH11" s="1727">
        <v>5.75</v>
      </c>
      <c r="BI11" s="1727">
        <v>5.75</v>
      </c>
      <c r="BJ11" s="1727">
        <v>5.75</v>
      </c>
      <c r="BK11" s="1727">
        <v>5.75</v>
      </c>
      <c r="BL11" s="1727">
        <v>4.75</v>
      </c>
      <c r="BM11" s="1727">
        <v>4.75</v>
      </c>
      <c r="BN11" s="1727">
        <v>4.75</v>
      </c>
      <c r="BO11" s="1727">
        <v>4.75</v>
      </c>
      <c r="BP11" s="1727">
        <v>4.75</v>
      </c>
      <c r="BQ11" s="1727">
        <v>4.75</v>
      </c>
      <c r="BR11" s="1727">
        <v>5.25</v>
      </c>
      <c r="BS11" s="1727">
        <v>5.25</v>
      </c>
      <c r="BT11" s="1727">
        <v>5.25</v>
      </c>
      <c r="BU11" s="1727">
        <v>5.5</v>
      </c>
      <c r="BV11" s="1727">
        <v>5.5</v>
      </c>
      <c r="BW11" s="1727">
        <v>5.5</v>
      </c>
      <c r="BX11" s="1727">
        <v>5.5</v>
      </c>
      <c r="BY11" s="1727">
        <v>5.5</v>
      </c>
      <c r="BZ11" s="1727">
        <v>5.5</v>
      </c>
      <c r="CA11" s="1727">
        <v>5.4</v>
      </c>
      <c r="CB11" s="1727">
        <v>5.4</v>
      </c>
      <c r="CC11" s="1728">
        <v>5.4</v>
      </c>
      <c r="CD11" s="1728">
        <v>4.9000000000000004</v>
      </c>
      <c r="CE11" s="1728">
        <v>4.9000000000000004</v>
      </c>
      <c r="CF11" s="1728">
        <v>4.9000000000000004</v>
      </c>
      <c r="CG11" s="1728">
        <v>4.9000000000000004</v>
      </c>
      <c r="CH11" s="1729">
        <v>4.9000000000000004</v>
      </c>
      <c r="CI11" s="1730">
        <v>4.9000000000000004</v>
      </c>
      <c r="CJ11" s="1728">
        <v>4.9000000000000004</v>
      </c>
      <c r="CK11" s="1728">
        <v>4.9000000000000004</v>
      </c>
      <c r="CL11" s="1728">
        <v>4.9000000000000004</v>
      </c>
      <c r="CM11" s="1728">
        <v>4.9000000000000004</v>
      </c>
      <c r="CN11" s="1728">
        <v>4.9000000000000004</v>
      </c>
      <c r="CO11" s="1728">
        <v>4.9000000000000004</v>
      </c>
      <c r="CP11" s="1728">
        <v>4.9000000000000004</v>
      </c>
      <c r="CQ11" s="1731">
        <v>4.9000000000000004</v>
      </c>
      <c r="CR11" s="1731">
        <v>4.9000000000000004</v>
      </c>
      <c r="CS11" s="1731">
        <v>4.6500000000000004</v>
      </c>
      <c r="CT11" s="1731">
        <v>4.6500000000000004</v>
      </c>
      <c r="CU11" s="1731">
        <v>4.6500000000000004</v>
      </c>
      <c r="CV11" s="1731">
        <v>4.6500000000000004</v>
      </c>
      <c r="CW11" s="1731">
        <v>4.6500000000000004</v>
      </c>
      <c r="CX11" s="1731">
        <v>4.6500000000000004</v>
      </c>
      <c r="CY11" s="1731">
        <v>4.6500000000000004</v>
      </c>
      <c r="CZ11" s="1731">
        <v>4.6500000000000004</v>
      </c>
      <c r="DA11" s="1731">
        <v>4.6500000000000004</v>
      </c>
      <c r="DB11" s="1731">
        <v>4.6500000000000004</v>
      </c>
      <c r="DC11" s="1732">
        <v>4.6500000000000004</v>
      </c>
      <c r="DD11" s="1732">
        <v>4.6500000000000004</v>
      </c>
      <c r="DE11" s="1732">
        <v>4.6500000000000004</v>
      </c>
    </row>
    <row r="12" spans="1:109" ht="17.45" customHeight="1">
      <c r="A12" s="1733"/>
      <c r="B12" s="1712"/>
      <c r="C12" s="1713"/>
      <c r="D12" s="1713"/>
      <c r="E12" s="1713"/>
      <c r="F12" s="1714"/>
      <c r="G12" s="1715"/>
      <c r="H12" s="1715"/>
      <c r="I12" s="1715"/>
      <c r="J12" s="1715"/>
      <c r="K12" s="1715"/>
      <c r="L12" s="1715"/>
      <c r="M12" s="1715"/>
      <c r="N12" s="1714"/>
      <c r="O12" s="1715"/>
      <c r="P12" s="1715"/>
      <c r="Q12" s="1714"/>
      <c r="R12" s="1715"/>
      <c r="S12" s="1715"/>
      <c r="T12" s="1716"/>
      <c r="U12" s="1716"/>
      <c r="V12" s="1717"/>
      <c r="W12" s="1717"/>
      <c r="X12" s="1717"/>
      <c r="Y12" s="1717"/>
      <c r="Z12" s="1717"/>
      <c r="AA12" s="1717"/>
      <c r="AB12" s="1717"/>
      <c r="AC12" s="1717"/>
      <c r="AD12" s="1717"/>
      <c r="AE12" s="1717"/>
      <c r="AF12" s="1717"/>
      <c r="AG12" s="1717"/>
      <c r="AH12" s="1717"/>
      <c r="AI12" s="1717"/>
      <c r="AJ12" s="1717"/>
      <c r="AK12" s="1717"/>
      <c r="AL12" s="1717"/>
      <c r="AM12" s="1717"/>
      <c r="AN12" s="1718"/>
      <c r="AO12" s="1717"/>
      <c r="AP12" s="1717"/>
      <c r="AQ12" s="1717"/>
      <c r="AR12" s="1717"/>
      <c r="AS12" s="1717"/>
      <c r="AT12" s="1717"/>
      <c r="AU12" s="1717"/>
      <c r="AV12" s="1717"/>
      <c r="AW12" s="1717"/>
      <c r="AX12" s="1717"/>
      <c r="AY12" s="1717"/>
      <c r="AZ12" s="1717"/>
      <c r="BA12" s="1717"/>
      <c r="BB12" s="1717"/>
      <c r="BC12" s="1717"/>
      <c r="BD12" s="1717"/>
      <c r="BE12" s="1717"/>
      <c r="BF12" s="1717"/>
      <c r="BG12" s="1717"/>
      <c r="BH12" s="1718"/>
      <c r="BI12" s="1718"/>
      <c r="BJ12" s="1718"/>
      <c r="BK12" s="1718"/>
      <c r="BL12" s="1718"/>
      <c r="BM12" s="1718"/>
      <c r="BN12" s="1718"/>
      <c r="BO12" s="1718"/>
      <c r="BP12" s="1719"/>
      <c r="BQ12" s="1719"/>
      <c r="BR12" s="1719"/>
      <c r="BS12" s="1719"/>
      <c r="BT12" s="1719"/>
      <c r="BU12" s="1719"/>
      <c r="BV12" s="1719"/>
      <c r="BW12" s="1719"/>
      <c r="BX12" s="1719"/>
      <c r="BY12" s="1719"/>
      <c r="BZ12" s="1719"/>
      <c r="CA12" s="1719"/>
      <c r="CB12" s="1719"/>
      <c r="CC12" s="1717"/>
      <c r="CD12" s="1717"/>
      <c r="CE12" s="1717"/>
      <c r="CF12" s="1717"/>
      <c r="CG12" s="1717"/>
      <c r="CH12" s="1720"/>
      <c r="CI12" s="1721"/>
      <c r="CJ12" s="1717"/>
      <c r="CK12" s="1717"/>
      <c r="CL12" s="1717"/>
      <c r="CM12" s="1717"/>
      <c r="CN12" s="1717"/>
      <c r="CO12" s="1717"/>
      <c r="CP12" s="1717"/>
      <c r="CQ12" s="1734"/>
      <c r="CR12" s="1734"/>
      <c r="CS12" s="1734"/>
      <c r="CT12" s="1734"/>
      <c r="CU12" s="1734"/>
      <c r="CV12" s="1734"/>
      <c r="CW12" s="1734"/>
      <c r="CX12" s="1734"/>
      <c r="CY12" s="1734"/>
      <c r="CZ12" s="1734"/>
      <c r="DA12" s="1734"/>
      <c r="DB12" s="1734"/>
      <c r="DC12" s="1735"/>
      <c r="DD12" s="1735"/>
      <c r="DE12" s="1735"/>
    </row>
    <row r="13" spans="1:109" ht="17.45" customHeight="1">
      <c r="A13" s="1736" t="s">
        <v>1378</v>
      </c>
      <c r="B13" s="1712"/>
      <c r="C13" s="1713"/>
      <c r="D13" s="1713"/>
      <c r="E13" s="1713"/>
      <c r="F13" s="1714"/>
      <c r="G13" s="1715"/>
      <c r="H13" s="1715"/>
      <c r="I13" s="1715"/>
      <c r="J13" s="1715"/>
      <c r="K13" s="1715"/>
      <c r="L13" s="1715"/>
      <c r="M13" s="1715"/>
      <c r="N13" s="1714"/>
      <c r="O13" s="1715"/>
      <c r="P13" s="1715"/>
      <c r="Q13" s="1714"/>
      <c r="R13" s="1715"/>
      <c r="S13" s="1715"/>
      <c r="T13" s="1716"/>
      <c r="U13" s="1716"/>
      <c r="V13" s="1717"/>
      <c r="W13" s="1717"/>
      <c r="X13" s="1717"/>
      <c r="Y13" s="1717"/>
      <c r="Z13" s="1717"/>
      <c r="AA13" s="1717"/>
      <c r="AB13" s="1717"/>
      <c r="AC13" s="1717"/>
      <c r="AD13" s="1717"/>
      <c r="AE13" s="1717"/>
      <c r="AF13" s="1717"/>
      <c r="AG13" s="1717"/>
      <c r="AH13" s="1717"/>
      <c r="AI13" s="1717"/>
      <c r="AJ13" s="1717"/>
      <c r="AK13" s="1717"/>
      <c r="AL13" s="1717"/>
      <c r="AM13" s="1717"/>
      <c r="AN13" s="1718"/>
      <c r="AO13" s="1717"/>
      <c r="AP13" s="1717"/>
      <c r="AQ13" s="1717"/>
      <c r="AR13" s="1717"/>
      <c r="AS13" s="1717"/>
      <c r="AT13" s="1717"/>
      <c r="AU13" s="1717"/>
      <c r="AV13" s="1717"/>
      <c r="AW13" s="1717"/>
      <c r="AX13" s="1717"/>
      <c r="AY13" s="1717"/>
      <c r="AZ13" s="1717"/>
      <c r="BA13" s="1717"/>
      <c r="BB13" s="1717"/>
      <c r="BC13" s="1717"/>
      <c r="BD13" s="1717"/>
      <c r="BE13" s="1717"/>
      <c r="BF13" s="1717"/>
      <c r="BG13" s="1717"/>
      <c r="BH13" s="1718"/>
      <c r="BI13" s="1718"/>
      <c r="BJ13" s="1718"/>
      <c r="BK13" s="1718"/>
      <c r="BL13" s="1718"/>
      <c r="BM13" s="1718"/>
      <c r="BN13" s="1718"/>
      <c r="BO13" s="1718"/>
      <c r="BP13" s="1719"/>
      <c r="BQ13" s="1719"/>
      <c r="BR13" s="1719"/>
      <c r="BS13" s="1719"/>
      <c r="BT13" s="1719"/>
      <c r="BU13" s="1719"/>
      <c r="BV13" s="1719"/>
      <c r="BW13" s="1719"/>
      <c r="BX13" s="1719"/>
      <c r="BY13" s="1719"/>
      <c r="BZ13" s="1719"/>
      <c r="CA13" s="1719"/>
      <c r="CB13" s="1719"/>
      <c r="CC13" s="1717"/>
      <c r="CD13" s="1717"/>
      <c r="CE13" s="1717"/>
      <c r="CF13" s="1717"/>
      <c r="CG13" s="1717"/>
      <c r="CH13" s="1720"/>
      <c r="CI13" s="1721"/>
      <c r="CJ13" s="1717"/>
      <c r="CK13" s="1717"/>
      <c r="CL13" s="1717"/>
      <c r="CM13" s="1717"/>
      <c r="CN13" s="1717"/>
      <c r="CO13" s="1717"/>
      <c r="CP13" s="1717"/>
      <c r="CQ13" s="1734"/>
      <c r="CR13" s="1734"/>
      <c r="CS13" s="1734"/>
      <c r="CT13" s="1734"/>
      <c r="CU13" s="1734"/>
      <c r="CV13" s="1734"/>
      <c r="CW13" s="1734"/>
      <c r="CX13" s="1734"/>
      <c r="CY13" s="1734"/>
      <c r="CZ13" s="1734"/>
      <c r="DA13" s="1734"/>
      <c r="DB13" s="1734"/>
      <c r="DC13" s="1735"/>
      <c r="DD13" s="1735"/>
      <c r="DE13" s="1735"/>
    </row>
    <row r="14" spans="1:109" ht="17.45" customHeight="1">
      <c r="A14" s="1736" t="s">
        <v>1379</v>
      </c>
      <c r="B14" s="1737" t="s">
        <v>1380</v>
      </c>
      <c r="C14" s="1738" t="s">
        <v>1381</v>
      </c>
      <c r="D14" s="1738" t="s">
        <v>1381</v>
      </c>
      <c r="E14" s="1738" t="s">
        <v>1381</v>
      </c>
      <c r="F14" s="1737" t="s">
        <v>1381</v>
      </c>
      <c r="G14" s="1738" t="s">
        <v>1382</v>
      </c>
      <c r="H14" s="1738" t="s">
        <v>1382</v>
      </c>
      <c r="I14" s="1738" t="s">
        <v>1382</v>
      </c>
      <c r="J14" s="1738" t="s">
        <v>1382</v>
      </c>
      <c r="K14" s="1738" t="s">
        <v>1382</v>
      </c>
      <c r="L14" s="1738" t="s">
        <v>1382</v>
      </c>
      <c r="M14" s="1738" t="s">
        <v>1382</v>
      </c>
      <c r="N14" s="1737" t="s">
        <v>1383</v>
      </c>
      <c r="O14" s="1738" t="s">
        <v>1383</v>
      </c>
      <c r="P14" s="1738" t="s">
        <v>1384</v>
      </c>
      <c r="Q14" s="1737" t="s">
        <v>1384</v>
      </c>
      <c r="R14" s="1738" t="s">
        <v>1384</v>
      </c>
      <c r="S14" s="1738" t="s">
        <v>1384</v>
      </c>
      <c r="T14" s="1739" t="s">
        <v>1384</v>
      </c>
      <c r="U14" s="1739" t="s">
        <v>1384</v>
      </c>
      <c r="V14" s="1739" t="s">
        <v>1384</v>
      </c>
      <c r="W14" s="1739" t="s">
        <v>1384</v>
      </c>
      <c r="X14" s="1739" t="s">
        <v>1384</v>
      </c>
      <c r="Y14" s="1739" t="s">
        <v>1384</v>
      </c>
      <c r="Z14" s="1739" t="s">
        <v>1385</v>
      </c>
      <c r="AA14" s="1739" t="s">
        <v>1385</v>
      </c>
      <c r="AB14" s="1739" t="s">
        <v>1385</v>
      </c>
      <c r="AC14" s="1739" t="s">
        <v>1386</v>
      </c>
      <c r="AD14" s="1739" t="s">
        <v>1386</v>
      </c>
      <c r="AE14" s="1740" t="s">
        <v>1386</v>
      </c>
      <c r="AF14" s="1740" t="s">
        <v>1386</v>
      </c>
      <c r="AG14" s="1740" t="s">
        <v>1387</v>
      </c>
      <c r="AH14" s="1740" t="s">
        <v>1388</v>
      </c>
      <c r="AI14" s="1740" t="s">
        <v>1388</v>
      </c>
      <c r="AJ14" s="1740" t="s">
        <v>1389</v>
      </c>
      <c r="AK14" s="1740" t="s">
        <v>1389</v>
      </c>
      <c r="AL14" s="1740" t="s">
        <v>1389</v>
      </c>
      <c r="AM14" s="1740" t="s">
        <v>1388</v>
      </c>
      <c r="AN14" s="1740" t="s">
        <v>1388</v>
      </c>
      <c r="AO14" s="1740" t="s">
        <v>1388</v>
      </c>
      <c r="AP14" s="1740" t="s">
        <v>1390</v>
      </c>
      <c r="AQ14" s="1740" t="s">
        <v>1391</v>
      </c>
      <c r="AR14" s="1740" t="s">
        <v>1391</v>
      </c>
      <c r="AS14" s="1740" t="s">
        <v>1391</v>
      </c>
      <c r="AT14" s="1740" t="s">
        <v>1392</v>
      </c>
      <c r="AU14" s="1740" t="s">
        <v>1393</v>
      </c>
      <c r="AV14" s="1740" t="s">
        <v>1393</v>
      </c>
      <c r="AW14" s="1740" t="s">
        <v>1393</v>
      </c>
      <c r="AX14" s="1740" t="s">
        <v>1393</v>
      </c>
      <c r="AY14" s="1740" t="s">
        <v>1393</v>
      </c>
      <c r="AZ14" s="1740" t="s">
        <v>1393</v>
      </c>
      <c r="BA14" s="1740" t="s">
        <v>1393</v>
      </c>
      <c r="BB14" s="1740" t="s">
        <v>1393</v>
      </c>
      <c r="BC14" s="1740" t="s">
        <v>1393</v>
      </c>
      <c r="BD14" s="1740" t="s">
        <v>1393</v>
      </c>
      <c r="BE14" s="1740" t="s">
        <v>1393</v>
      </c>
      <c r="BF14" s="1740" t="s">
        <v>1393</v>
      </c>
      <c r="BG14" s="1740" t="s">
        <v>1393</v>
      </c>
      <c r="BH14" s="1740" t="s">
        <v>1393</v>
      </c>
      <c r="BI14" s="1740" t="s">
        <v>1393</v>
      </c>
      <c r="BJ14" s="1740" t="s">
        <v>1393</v>
      </c>
      <c r="BK14" s="1740" t="s">
        <v>1393</v>
      </c>
      <c r="BL14" s="1740" t="s">
        <v>1394</v>
      </c>
      <c r="BM14" s="1740" t="s">
        <v>1395</v>
      </c>
      <c r="BN14" s="1740" t="s">
        <v>1395</v>
      </c>
      <c r="BO14" s="1740" t="s">
        <v>1395</v>
      </c>
      <c r="BP14" s="1740" t="s">
        <v>1395</v>
      </c>
      <c r="BQ14" s="1740" t="s">
        <v>1395</v>
      </c>
      <c r="BR14" s="1740" t="s">
        <v>1394</v>
      </c>
      <c r="BS14" s="1740" t="s">
        <v>1394</v>
      </c>
      <c r="BT14" s="1740" t="s">
        <v>1396</v>
      </c>
      <c r="BU14" s="1740" t="s">
        <v>1396</v>
      </c>
      <c r="BV14" s="1740" t="s">
        <v>1397</v>
      </c>
      <c r="BW14" s="1740" t="s">
        <v>1397</v>
      </c>
      <c r="BX14" s="1740" t="s">
        <v>1397</v>
      </c>
      <c r="BY14" s="1740" t="s">
        <v>1397</v>
      </c>
      <c r="BZ14" s="1740" t="s">
        <v>1397</v>
      </c>
      <c r="CA14" s="1740" t="s">
        <v>1397</v>
      </c>
      <c r="CB14" s="1740" t="s">
        <v>1397</v>
      </c>
      <c r="CC14" s="1740" t="s">
        <v>1397</v>
      </c>
      <c r="CD14" s="1740" t="s">
        <v>1398</v>
      </c>
      <c r="CE14" s="1740" t="s">
        <v>1399</v>
      </c>
      <c r="CF14" s="1740" t="s">
        <v>1088</v>
      </c>
      <c r="CG14" s="1740" t="s">
        <v>1088</v>
      </c>
      <c r="CH14" s="1741" t="s">
        <v>1088</v>
      </c>
      <c r="CI14" s="1742" t="s">
        <v>1088</v>
      </c>
      <c r="CJ14" s="1740" t="s">
        <v>1088</v>
      </c>
      <c r="CK14" s="1740" t="s">
        <v>1088</v>
      </c>
      <c r="CL14" s="1740" t="s">
        <v>1088</v>
      </c>
      <c r="CM14" s="1740" t="s">
        <v>1088</v>
      </c>
      <c r="CN14" s="1740" t="s">
        <v>1088</v>
      </c>
      <c r="CO14" s="1740" t="s">
        <v>1088</v>
      </c>
      <c r="CP14" s="1740" t="s">
        <v>1088</v>
      </c>
      <c r="CQ14" s="1743" t="s">
        <v>1088</v>
      </c>
      <c r="CR14" s="1743" t="s">
        <v>1088</v>
      </c>
      <c r="CS14" s="1743" t="s">
        <v>1088</v>
      </c>
      <c r="CT14" s="1743" t="s">
        <v>1400</v>
      </c>
      <c r="CU14" s="1743" t="s">
        <v>1400</v>
      </c>
      <c r="CV14" s="1743" t="s">
        <v>1400</v>
      </c>
      <c r="CW14" s="1743" t="s">
        <v>1401</v>
      </c>
      <c r="CX14" s="1743" t="s">
        <v>1401</v>
      </c>
      <c r="CY14" s="1743" t="s">
        <v>1401</v>
      </c>
      <c r="CZ14" s="1743" t="s">
        <v>1401</v>
      </c>
      <c r="DA14" s="1743" t="s">
        <v>1401</v>
      </c>
      <c r="DB14" s="1743" t="s">
        <v>1401</v>
      </c>
      <c r="DC14" s="1744" t="s">
        <v>1401</v>
      </c>
      <c r="DD14" s="1744" t="s">
        <v>1401</v>
      </c>
      <c r="DE14" s="1744" t="s">
        <v>1401</v>
      </c>
    </row>
    <row r="15" spans="1:109" ht="17.45" customHeight="1">
      <c r="A15" s="1736" t="s">
        <v>1402</v>
      </c>
      <c r="B15" s="1712"/>
      <c r="C15" s="1713"/>
      <c r="D15" s="1713"/>
      <c r="E15" s="1713"/>
      <c r="F15" s="1712"/>
      <c r="G15" s="1713"/>
      <c r="H15" s="1713"/>
      <c r="I15" s="1713"/>
      <c r="J15" s="1713"/>
      <c r="K15" s="1713"/>
      <c r="L15" s="1713"/>
      <c r="M15" s="1713"/>
      <c r="N15" s="1712"/>
      <c r="O15" s="1713"/>
      <c r="P15" s="1713"/>
      <c r="Q15" s="1714"/>
      <c r="R15" s="1715"/>
      <c r="S15" s="1715"/>
      <c r="T15" s="1716"/>
      <c r="U15" s="1716"/>
      <c r="V15" s="1716"/>
      <c r="W15" s="1716"/>
      <c r="X15" s="1716"/>
      <c r="Y15" s="1716"/>
      <c r="Z15" s="1716"/>
      <c r="AA15" s="1716"/>
      <c r="AB15" s="1716"/>
      <c r="AC15" s="1716"/>
      <c r="AD15" s="1716"/>
      <c r="AE15" s="1717"/>
      <c r="AF15" s="1717"/>
      <c r="AG15" s="1717"/>
      <c r="AH15" s="1717"/>
      <c r="AI15" s="1717"/>
      <c r="AJ15" s="1717"/>
      <c r="AK15" s="1717"/>
      <c r="AL15" s="1717"/>
      <c r="AM15" s="1717"/>
      <c r="AN15" s="1718"/>
      <c r="AO15" s="1717"/>
      <c r="AP15" s="1717"/>
      <c r="AQ15" s="1717"/>
      <c r="AR15" s="1717"/>
      <c r="AS15" s="1717"/>
      <c r="AT15" s="1717"/>
      <c r="AU15" s="1717"/>
      <c r="AV15" s="1717"/>
      <c r="AW15" s="1717"/>
      <c r="AX15" s="1717"/>
      <c r="AY15" s="1717"/>
      <c r="AZ15" s="1717"/>
      <c r="BA15" s="1717"/>
      <c r="BB15" s="1717"/>
      <c r="BC15" s="1718"/>
      <c r="BD15" s="1718"/>
      <c r="BE15" s="1718"/>
      <c r="BF15" s="1718"/>
      <c r="BG15" s="1718"/>
      <c r="BH15" s="1718"/>
      <c r="BI15" s="1718"/>
      <c r="BJ15" s="1718"/>
      <c r="BK15" s="1718"/>
      <c r="BL15" s="1718"/>
      <c r="BM15" s="1718"/>
      <c r="BN15" s="1718"/>
      <c r="BO15" s="1718"/>
      <c r="BP15" s="1719"/>
      <c r="BQ15" s="1719"/>
      <c r="BR15" s="1719"/>
      <c r="BS15" s="1719"/>
      <c r="BT15" s="1719"/>
      <c r="BU15" s="1719"/>
      <c r="BV15" s="1719"/>
      <c r="BW15" s="1719"/>
      <c r="BX15" s="1719"/>
      <c r="BY15" s="1719"/>
      <c r="BZ15" s="1719"/>
      <c r="CA15" s="1719"/>
      <c r="CB15" s="1719"/>
      <c r="CC15" s="1719"/>
      <c r="CD15" s="1719"/>
      <c r="CE15" s="1719"/>
      <c r="CF15" s="1719"/>
      <c r="CG15" s="1719"/>
      <c r="CH15" s="1745"/>
      <c r="CI15" s="1746"/>
      <c r="CJ15" s="1719"/>
      <c r="CK15" s="1719"/>
      <c r="CL15" s="1719"/>
      <c r="CM15" s="1719"/>
      <c r="CN15" s="1719"/>
      <c r="CO15" s="1719"/>
      <c r="CP15" s="1719"/>
      <c r="CQ15" s="1747"/>
      <c r="CR15" s="1747"/>
      <c r="CS15" s="1747"/>
      <c r="CT15" s="1747"/>
      <c r="CU15" s="1747"/>
      <c r="CV15" s="1747"/>
      <c r="CW15" s="1747"/>
      <c r="CX15" s="1747"/>
      <c r="CY15" s="1747"/>
      <c r="CZ15" s="1747"/>
      <c r="DA15" s="1747"/>
      <c r="DB15" s="1747"/>
      <c r="DC15" s="1748"/>
      <c r="DD15" s="1748"/>
      <c r="DE15" s="1748"/>
    </row>
    <row r="16" spans="1:109" ht="17.45" customHeight="1">
      <c r="A16" s="1733" t="s">
        <v>1403</v>
      </c>
      <c r="B16" s="1749" t="s">
        <v>1404</v>
      </c>
      <c r="C16" s="1750" t="s">
        <v>1404</v>
      </c>
      <c r="D16" s="1750" t="s">
        <v>1404</v>
      </c>
      <c r="E16" s="1750" t="s">
        <v>1404</v>
      </c>
      <c r="F16" s="1749" t="s">
        <v>1404</v>
      </c>
      <c r="G16" s="1750" t="s">
        <v>1405</v>
      </c>
      <c r="H16" s="1750" t="s">
        <v>1405</v>
      </c>
      <c r="I16" s="1750" t="s">
        <v>1405</v>
      </c>
      <c r="J16" s="1750" t="s">
        <v>1405</v>
      </c>
      <c r="K16" s="1750" t="s">
        <v>1405</v>
      </c>
      <c r="L16" s="1750" t="s">
        <v>1405</v>
      </c>
      <c r="M16" s="1750" t="s">
        <v>1405</v>
      </c>
      <c r="N16" s="1749" t="s">
        <v>1405</v>
      </c>
      <c r="O16" s="1750" t="s">
        <v>1405</v>
      </c>
      <c r="P16" s="1750" t="s">
        <v>1406</v>
      </c>
      <c r="Q16" s="1749" t="s">
        <v>1405</v>
      </c>
      <c r="R16" s="1750" t="s">
        <v>1405</v>
      </c>
      <c r="S16" s="1750" t="s">
        <v>1405</v>
      </c>
      <c r="T16" s="1751" t="s">
        <v>1405</v>
      </c>
      <c r="U16" s="1751" t="s">
        <v>1405</v>
      </c>
      <c r="V16" s="1751" t="s">
        <v>1405</v>
      </c>
      <c r="W16" s="1751" t="s">
        <v>1405</v>
      </c>
      <c r="X16" s="1751" t="s">
        <v>1405</v>
      </c>
      <c r="Y16" s="1751" t="s">
        <v>1405</v>
      </c>
      <c r="Z16" s="1751" t="s">
        <v>1407</v>
      </c>
      <c r="AA16" s="1751" t="s">
        <v>1408</v>
      </c>
      <c r="AB16" s="1751" t="s">
        <v>1409</v>
      </c>
      <c r="AC16" s="1751" t="s">
        <v>1410</v>
      </c>
      <c r="AD16" s="1751" t="s">
        <v>1410</v>
      </c>
      <c r="AE16" s="1752" t="s">
        <v>1411</v>
      </c>
      <c r="AF16" s="1752" t="s">
        <v>1411</v>
      </c>
      <c r="AG16" s="1752" t="s">
        <v>1410</v>
      </c>
      <c r="AH16" s="1752" t="s">
        <v>1412</v>
      </c>
      <c r="AI16" s="1752" t="s">
        <v>1413</v>
      </c>
      <c r="AJ16" s="1752" t="s">
        <v>1414</v>
      </c>
      <c r="AK16" s="1752" t="s">
        <v>1414</v>
      </c>
      <c r="AL16" s="1752" t="s">
        <v>1414</v>
      </c>
      <c r="AM16" s="1752" t="s">
        <v>1415</v>
      </c>
      <c r="AN16" s="1752" t="s">
        <v>1416</v>
      </c>
      <c r="AO16" s="1752" t="s">
        <v>1416</v>
      </c>
      <c r="AP16" s="1752" t="s">
        <v>1417</v>
      </c>
      <c r="AQ16" s="1752" t="s">
        <v>1418</v>
      </c>
      <c r="AR16" s="1752" t="s">
        <v>1418</v>
      </c>
      <c r="AS16" s="1752" t="s">
        <v>1418</v>
      </c>
      <c r="AT16" s="1752" t="s">
        <v>1418</v>
      </c>
      <c r="AU16" s="1752" t="s">
        <v>1418</v>
      </c>
      <c r="AV16" s="1752" t="s">
        <v>1418</v>
      </c>
      <c r="AW16" s="1752" t="s">
        <v>1418</v>
      </c>
      <c r="AX16" s="1752" t="s">
        <v>1418</v>
      </c>
      <c r="AY16" s="1752" t="s">
        <v>1418</v>
      </c>
      <c r="AZ16" s="1752" t="s">
        <v>1418</v>
      </c>
      <c r="BA16" s="1752" t="s">
        <v>1418</v>
      </c>
      <c r="BB16" s="1752" t="s">
        <v>1418</v>
      </c>
      <c r="BC16" s="1752" t="s">
        <v>1418</v>
      </c>
      <c r="BD16" s="1752" t="s">
        <v>1418</v>
      </c>
      <c r="BE16" s="1752" t="s">
        <v>1418</v>
      </c>
      <c r="BF16" s="1752" t="s">
        <v>1418</v>
      </c>
      <c r="BG16" s="1752" t="s">
        <v>1418</v>
      </c>
      <c r="BH16" s="1752" t="s">
        <v>1418</v>
      </c>
      <c r="BI16" s="1752" t="s">
        <v>1418</v>
      </c>
      <c r="BJ16" s="1752" t="s">
        <v>1418</v>
      </c>
      <c r="BK16" s="1752" t="s">
        <v>1418</v>
      </c>
      <c r="BL16" s="1752" t="s">
        <v>1418</v>
      </c>
      <c r="BM16" s="1752" t="s">
        <v>1419</v>
      </c>
      <c r="BN16" s="1752" t="s">
        <v>1419</v>
      </c>
      <c r="BO16" s="1752" t="s">
        <v>1419</v>
      </c>
      <c r="BP16" s="1752" t="s">
        <v>1419</v>
      </c>
      <c r="BQ16" s="1752" t="s">
        <v>1419</v>
      </c>
      <c r="BR16" s="1752" t="s">
        <v>1419</v>
      </c>
      <c r="BS16" s="1752" t="s">
        <v>1419</v>
      </c>
      <c r="BT16" s="1752" t="s">
        <v>1419</v>
      </c>
      <c r="BU16" s="1752" t="s">
        <v>1419</v>
      </c>
      <c r="BV16" s="1752" t="s">
        <v>1420</v>
      </c>
      <c r="BW16" s="1752" t="s">
        <v>1417</v>
      </c>
      <c r="BX16" s="1752" t="s">
        <v>1417</v>
      </c>
      <c r="BY16" s="1752" t="s">
        <v>1421</v>
      </c>
      <c r="BZ16" s="1752" t="s">
        <v>1422</v>
      </c>
      <c r="CA16" s="1752" t="s">
        <v>1423</v>
      </c>
      <c r="CB16" s="1752" t="s">
        <v>1424</v>
      </c>
      <c r="CC16" s="1752" t="s">
        <v>1425</v>
      </c>
      <c r="CD16" s="1752" t="s">
        <v>1426</v>
      </c>
      <c r="CE16" s="1752" t="s">
        <v>1427</v>
      </c>
      <c r="CF16" s="1752" t="s">
        <v>1428</v>
      </c>
      <c r="CG16" s="1752" t="s">
        <v>1429</v>
      </c>
      <c r="CH16" s="1753" t="s">
        <v>1429</v>
      </c>
      <c r="CI16" s="1754" t="s">
        <v>1430</v>
      </c>
      <c r="CJ16" s="1752" t="s">
        <v>1431</v>
      </c>
      <c r="CK16" s="1752" t="s">
        <v>1428</v>
      </c>
      <c r="CL16" s="1752" t="s">
        <v>1428</v>
      </c>
      <c r="CM16" s="1752" t="s">
        <v>1432</v>
      </c>
      <c r="CN16" s="1752" t="s">
        <v>1433</v>
      </c>
      <c r="CO16" s="1752" t="s">
        <v>1434</v>
      </c>
      <c r="CP16" s="1752" t="s">
        <v>1435</v>
      </c>
      <c r="CQ16" s="1755" t="s">
        <v>1436</v>
      </c>
      <c r="CR16" s="1755" t="s">
        <v>1437</v>
      </c>
      <c r="CS16" s="1755" t="s">
        <v>1438</v>
      </c>
      <c r="CT16" s="1755" t="s">
        <v>1439</v>
      </c>
      <c r="CU16" s="1755" t="s">
        <v>1440</v>
      </c>
      <c r="CV16" s="1755" t="s">
        <v>1441</v>
      </c>
      <c r="CW16" s="1755" t="s">
        <v>1442</v>
      </c>
      <c r="CX16" s="1755" t="s">
        <v>1443</v>
      </c>
      <c r="CY16" s="1755" t="s">
        <v>1444</v>
      </c>
      <c r="CZ16" s="1755" t="s">
        <v>1445</v>
      </c>
      <c r="DA16" s="1755" t="s">
        <v>1446</v>
      </c>
      <c r="DB16" s="1755" t="s">
        <v>1437</v>
      </c>
      <c r="DC16" s="1756" t="s">
        <v>1447</v>
      </c>
      <c r="DD16" s="1756" t="s">
        <v>1448</v>
      </c>
      <c r="DE16" s="1756" t="s">
        <v>1449</v>
      </c>
    </row>
    <row r="17" spans="1:111" ht="17.45" customHeight="1">
      <c r="A17" s="1733" t="s">
        <v>1450</v>
      </c>
      <c r="B17" s="1757"/>
      <c r="C17" s="1758"/>
      <c r="D17" s="1758"/>
      <c r="E17" s="1758"/>
      <c r="F17" s="1757"/>
      <c r="G17" s="1758"/>
      <c r="H17" s="1758"/>
      <c r="I17" s="1758"/>
      <c r="J17" s="1758"/>
      <c r="K17" s="1758"/>
      <c r="L17" s="1758"/>
      <c r="M17" s="1758"/>
      <c r="N17" s="1757"/>
      <c r="O17" s="1758"/>
      <c r="P17" s="1758"/>
      <c r="Q17" s="1757"/>
      <c r="R17" s="1758"/>
      <c r="S17" s="1758"/>
      <c r="T17" s="1759"/>
      <c r="U17" s="1759"/>
      <c r="V17" s="1759"/>
      <c r="W17" s="1759"/>
      <c r="X17" s="1759"/>
      <c r="Y17" s="1759"/>
      <c r="Z17" s="1759"/>
      <c r="AA17" s="1759"/>
      <c r="AB17" s="1759"/>
      <c r="AC17" s="1759"/>
      <c r="AD17" s="1759"/>
      <c r="AE17" s="1760"/>
      <c r="AF17" s="1760"/>
      <c r="AG17" s="1761"/>
      <c r="AH17" s="1761"/>
      <c r="AI17" s="1761"/>
      <c r="AJ17" s="1761"/>
      <c r="AK17" s="1761"/>
      <c r="AL17" s="1761"/>
      <c r="AM17" s="1761"/>
      <c r="AN17" s="1761"/>
      <c r="AO17" s="1761"/>
      <c r="AP17" s="1761"/>
      <c r="AQ17" s="1761"/>
      <c r="AR17" s="1761"/>
      <c r="AS17" s="1761"/>
      <c r="AT17" s="1761"/>
      <c r="AU17" s="1761"/>
      <c r="AV17" s="1761"/>
      <c r="AW17" s="1761"/>
      <c r="AX17" s="1761"/>
      <c r="AY17" s="1761"/>
      <c r="AZ17" s="1761"/>
      <c r="BA17" s="1761"/>
      <c r="BB17" s="1761"/>
      <c r="BC17" s="1761"/>
      <c r="BD17" s="1761"/>
      <c r="BE17" s="1761"/>
      <c r="BF17" s="1761"/>
      <c r="BG17" s="1761"/>
      <c r="BH17" s="1761"/>
      <c r="BI17" s="1761"/>
      <c r="BJ17" s="1761"/>
      <c r="BK17" s="1761"/>
      <c r="BL17" s="1761"/>
      <c r="BM17" s="1761"/>
      <c r="BN17" s="1761"/>
      <c r="BO17" s="1761"/>
      <c r="BP17" s="1761"/>
      <c r="BQ17" s="1761"/>
      <c r="BR17" s="1761"/>
      <c r="BS17" s="1761"/>
      <c r="BT17" s="1761"/>
      <c r="BU17" s="1761"/>
      <c r="BV17" s="1761"/>
      <c r="BW17" s="1761"/>
      <c r="BX17" s="1761"/>
      <c r="BY17" s="1761"/>
      <c r="BZ17" s="1761"/>
      <c r="CA17" s="1761"/>
      <c r="CB17" s="1761"/>
      <c r="CC17" s="1761"/>
      <c r="CD17" s="1761"/>
      <c r="CE17" s="1761"/>
      <c r="CF17" s="1761"/>
      <c r="CG17" s="1761"/>
      <c r="CH17" s="1762"/>
      <c r="CI17" s="1763"/>
      <c r="CJ17" s="1761"/>
      <c r="CK17" s="1761"/>
      <c r="CL17" s="1761"/>
      <c r="CM17" s="1761"/>
      <c r="CN17" s="1761"/>
      <c r="CO17" s="1761"/>
      <c r="CP17" s="1761"/>
      <c r="CQ17" s="1764"/>
      <c r="CR17" s="1764"/>
      <c r="CS17" s="1764"/>
      <c r="CT17" s="1764"/>
      <c r="CU17" s="1764"/>
      <c r="CV17" s="1764"/>
      <c r="CW17" s="1764"/>
      <c r="CX17" s="1764"/>
      <c r="CY17" s="1764"/>
      <c r="CZ17" s="1764"/>
      <c r="DA17" s="1764"/>
      <c r="DB17" s="1764"/>
      <c r="DC17" s="1765"/>
      <c r="DD17" s="1765"/>
      <c r="DE17" s="1765"/>
    </row>
    <row r="18" spans="1:111" ht="17.45" customHeight="1">
      <c r="A18" s="1766" t="s">
        <v>1451</v>
      </c>
      <c r="B18" s="1767" t="s">
        <v>1452</v>
      </c>
      <c r="C18" s="1768" t="s">
        <v>1452</v>
      </c>
      <c r="D18" s="1768" t="s">
        <v>1453</v>
      </c>
      <c r="E18" s="1768" t="s">
        <v>1453</v>
      </c>
      <c r="F18" s="1767" t="s">
        <v>1404</v>
      </c>
      <c r="G18" s="1768" t="s">
        <v>1454</v>
      </c>
      <c r="H18" s="1768" t="s">
        <v>1405</v>
      </c>
      <c r="I18" s="1768" t="s">
        <v>1454</v>
      </c>
      <c r="J18" s="1768" t="s">
        <v>1405</v>
      </c>
      <c r="K18" s="1768" t="s">
        <v>1405</v>
      </c>
      <c r="L18" s="1768" t="s">
        <v>1454</v>
      </c>
      <c r="M18" s="1768" t="s">
        <v>1454</v>
      </c>
      <c r="N18" s="1767" t="s">
        <v>1454</v>
      </c>
      <c r="O18" s="1768" t="s">
        <v>1454</v>
      </c>
      <c r="P18" s="1768" t="s">
        <v>1455</v>
      </c>
      <c r="Q18" s="1767" t="s">
        <v>1455</v>
      </c>
      <c r="R18" s="1768" t="s">
        <v>1455</v>
      </c>
      <c r="S18" s="1768" t="s">
        <v>1455</v>
      </c>
      <c r="T18" s="1769" t="s">
        <v>1455</v>
      </c>
      <c r="U18" s="1769" t="s">
        <v>1455</v>
      </c>
      <c r="V18" s="1769" t="s">
        <v>1455</v>
      </c>
      <c r="W18" s="1769" t="s">
        <v>1455</v>
      </c>
      <c r="X18" s="1769" t="s">
        <v>1405</v>
      </c>
      <c r="Y18" s="1769" t="s">
        <v>1405</v>
      </c>
      <c r="Z18" s="1769" t="s">
        <v>1455</v>
      </c>
      <c r="AA18" s="1769" t="s">
        <v>1455</v>
      </c>
      <c r="AB18" s="1769" t="s">
        <v>1455</v>
      </c>
      <c r="AC18" s="1769" t="s">
        <v>1455</v>
      </c>
      <c r="AD18" s="1769" t="s">
        <v>1455</v>
      </c>
      <c r="AE18" s="1770" t="s">
        <v>1455</v>
      </c>
      <c r="AF18" s="1770" t="s">
        <v>1455</v>
      </c>
      <c r="AG18" s="1770" t="s">
        <v>1455</v>
      </c>
      <c r="AH18" s="1770" t="s">
        <v>1456</v>
      </c>
      <c r="AI18" s="1770" t="s">
        <v>1418</v>
      </c>
      <c r="AJ18" s="1770" t="s">
        <v>1418</v>
      </c>
      <c r="AK18" s="1770" t="s">
        <v>1418</v>
      </c>
      <c r="AL18" s="1770" t="s">
        <v>1418</v>
      </c>
      <c r="AM18" s="1770" t="s">
        <v>1414</v>
      </c>
      <c r="AN18" s="1770" t="s">
        <v>1414</v>
      </c>
      <c r="AO18" s="1770" t="s">
        <v>1414</v>
      </c>
      <c r="AP18" s="1770" t="s">
        <v>1457</v>
      </c>
      <c r="AQ18" s="1770" t="s">
        <v>1418</v>
      </c>
      <c r="AR18" s="1770" t="s">
        <v>1418</v>
      </c>
      <c r="AS18" s="1770" t="s">
        <v>1418</v>
      </c>
      <c r="AT18" s="1770" t="s">
        <v>1418</v>
      </c>
      <c r="AU18" s="1770" t="s">
        <v>1418</v>
      </c>
      <c r="AV18" s="1770" t="s">
        <v>1418</v>
      </c>
      <c r="AW18" s="1770" t="s">
        <v>1418</v>
      </c>
      <c r="AX18" s="1770" t="s">
        <v>1418</v>
      </c>
      <c r="AY18" s="1770" t="s">
        <v>1418</v>
      </c>
      <c r="AZ18" s="1770" t="s">
        <v>1418</v>
      </c>
      <c r="BA18" s="1770" t="s">
        <v>1418</v>
      </c>
      <c r="BB18" s="1770" t="s">
        <v>1418</v>
      </c>
      <c r="BC18" s="1770" t="s">
        <v>1418</v>
      </c>
      <c r="BD18" s="1770" t="s">
        <v>1456</v>
      </c>
      <c r="BE18" s="1770" t="s">
        <v>1456</v>
      </c>
      <c r="BF18" s="1770" t="s">
        <v>1456</v>
      </c>
      <c r="BG18" s="1770" t="s">
        <v>1456</v>
      </c>
      <c r="BH18" s="1770" t="s">
        <v>1456</v>
      </c>
      <c r="BI18" s="1770" t="s">
        <v>1456</v>
      </c>
      <c r="BJ18" s="1770" t="s">
        <v>1456</v>
      </c>
      <c r="BK18" s="1770" t="s">
        <v>1456</v>
      </c>
      <c r="BL18" s="1770" t="s">
        <v>1456</v>
      </c>
      <c r="BM18" s="1770" t="s">
        <v>1458</v>
      </c>
      <c r="BN18" s="1770" t="s">
        <v>1459</v>
      </c>
      <c r="BO18" s="1770" t="s">
        <v>1459</v>
      </c>
      <c r="BP18" s="1770" t="s">
        <v>1459</v>
      </c>
      <c r="BQ18" s="1770" t="s">
        <v>1459</v>
      </c>
      <c r="BR18" s="1770" t="s">
        <v>1459</v>
      </c>
      <c r="BS18" s="1770" t="s">
        <v>1460</v>
      </c>
      <c r="BT18" s="1770" t="s">
        <v>1460</v>
      </c>
      <c r="BU18" s="1770" t="s">
        <v>1461</v>
      </c>
      <c r="BV18" s="1770" t="s">
        <v>1462</v>
      </c>
      <c r="BW18" s="1770" t="s">
        <v>1463</v>
      </c>
      <c r="BX18" s="1770" t="s">
        <v>1464</v>
      </c>
      <c r="BY18" s="1770" t="s">
        <v>1464</v>
      </c>
      <c r="BZ18" s="1770" t="s">
        <v>1465</v>
      </c>
      <c r="CA18" s="1770" t="s">
        <v>1465</v>
      </c>
      <c r="CB18" s="1770" t="s">
        <v>1466</v>
      </c>
      <c r="CC18" s="1770" t="s">
        <v>1467</v>
      </c>
      <c r="CD18" s="1770" t="s">
        <v>1468</v>
      </c>
      <c r="CE18" s="1770" t="s">
        <v>1469</v>
      </c>
      <c r="CF18" s="1770" t="s">
        <v>1470</v>
      </c>
      <c r="CG18" s="1770" t="s">
        <v>1470</v>
      </c>
      <c r="CH18" s="1771" t="s">
        <v>1470</v>
      </c>
      <c r="CI18" s="1772" t="s">
        <v>1471</v>
      </c>
      <c r="CJ18" s="1770" t="s">
        <v>1470</v>
      </c>
      <c r="CK18" s="1770" t="s">
        <v>1472</v>
      </c>
      <c r="CL18" s="1770" t="s">
        <v>1472</v>
      </c>
      <c r="CM18" s="1770" t="s">
        <v>1472</v>
      </c>
      <c r="CN18" s="1770" t="s">
        <v>1473</v>
      </c>
      <c r="CO18" s="1770" t="s">
        <v>1474</v>
      </c>
      <c r="CP18" s="1770" t="s">
        <v>1475</v>
      </c>
      <c r="CQ18" s="1755" t="s">
        <v>1476</v>
      </c>
      <c r="CR18" s="1755" t="s">
        <v>1476</v>
      </c>
      <c r="CS18" s="1755" t="s">
        <v>1477</v>
      </c>
      <c r="CT18" s="1755" t="s">
        <v>1478</v>
      </c>
      <c r="CU18" s="1755" t="s">
        <v>1479</v>
      </c>
      <c r="CV18" s="1755" t="s">
        <v>1480</v>
      </c>
      <c r="CW18" s="1755" t="s">
        <v>1481</v>
      </c>
      <c r="CX18" s="1755" t="s">
        <v>1479</v>
      </c>
      <c r="CY18" s="1755" t="s">
        <v>1478</v>
      </c>
      <c r="CZ18" s="1755" t="s">
        <v>1482</v>
      </c>
      <c r="DA18" s="1755" t="s">
        <v>1479</v>
      </c>
      <c r="DB18" s="1755" t="s">
        <v>1483</v>
      </c>
      <c r="DC18" s="1755" t="s">
        <v>1483</v>
      </c>
      <c r="DD18" s="1755" t="s">
        <v>1483</v>
      </c>
      <c r="DE18" s="1755" t="s">
        <v>1484</v>
      </c>
      <c r="DF18" s="1773"/>
      <c r="DG18" s="1773"/>
    </row>
    <row r="19" spans="1:111" ht="17.45" customHeight="1">
      <c r="A19" s="1733" t="s">
        <v>1485</v>
      </c>
      <c r="B19" s="1749" t="s">
        <v>1486</v>
      </c>
      <c r="C19" s="1750" t="s">
        <v>1486</v>
      </c>
      <c r="D19" s="1750" t="s">
        <v>1487</v>
      </c>
      <c r="E19" s="1750" t="s">
        <v>1488</v>
      </c>
      <c r="F19" s="1749" t="s">
        <v>1489</v>
      </c>
      <c r="G19" s="1750" t="s">
        <v>1490</v>
      </c>
      <c r="H19" s="1750" t="s">
        <v>1490</v>
      </c>
      <c r="I19" s="1750" t="s">
        <v>1490</v>
      </c>
      <c r="J19" s="1750" t="s">
        <v>1490</v>
      </c>
      <c r="K19" s="1750" t="s">
        <v>1490</v>
      </c>
      <c r="L19" s="1750" t="s">
        <v>1490</v>
      </c>
      <c r="M19" s="1750" t="s">
        <v>1490</v>
      </c>
      <c r="N19" s="1749" t="s">
        <v>1490</v>
      </c>
      <c r="O19" s="1750" t="s">
        <v>1490</v>
      </c>
      <c r="P19" s="1750" t="s">
        <v>1491</v>
      </c>
      <c r="Q19" s="1749" t="s">
        <v>1492</v>
      </c>
      <c r="R19" s="1750" t="s">
        <v>1490</v>
      </c>
      <c r="S19" s="1750" t="s">
        <v>1493</v>
      </c>
      <c r="T19" s="1751" t="s">
        <v>1494</v>
      </c>
      <c r="U19" s="1751" t="s">
        <v>1490</v>
      </c>
      <c r="V19" s="1751" t="s">
        <v>1495</v>
      </c>
      <c r="W19" s="1751" t="s">
        <v>1496</v>
      </c>
      <c r="X19" s="1751" t="s">
        <v>1493</v>
      </c>
      <c r="Y19" s="1751" t="s">
        <v>1497</v>
      </c>
      <c r="Z19" s="1751" t="s">
        <v>1498</v>
      </c>
      <c r="AA19" s="1751" t="s">
        <v>1499</v>
      </c>
      <c r="AB19" s="1751" t="s">
        <v>1500</v>
      </c>
      <c r="AC19" s="1751" t="s">
        <v>1500</v>
      </c>
      <c r="AD19" s="1751" t="s">
        <v>1499</v>
      </c>
      <c r="AE19" s="1752" t="s">
        <v>1499</v>
      </c>
      <c r="AF19" s="1752" t="s">
        <v>1501</v>
      </c>
      <c r="AG19" s="1752" t="s">
        <v>1502</v>
      </c>
      <c r="AH19" s="1752" t="s">
        <v>1503</v>
      </c>
      <c r="AI19" s="1752" t="s">
        <v>1504</v>
      </c>
      <c r="AJ19" s="1752" t="s">
        <v>1505</v>
      </c>
      <c r="AK19" s="1752" t="s">
        <v>1506</v>
      </c>
      <c r="AL19" s="1752" t="s">
        <v>1507</v>
      </c>
      <c r="AM19" s="1752" t="s">
        <v>1508</v>
      </c>
      <c r="AN19" s="1752" t="s">
        <v>1508</v>
      </c>
      <c r="AO19" s="1752" t="s">
        <v>1508</v>
      </c>
      <c r="AP19" s="1752" t="s">
        <v>1509</v>
      </c>
      <c r="AQ19" s="1752" t="s">
        <v>1510</v>
      </c>
      <c r="AR19" s="1752" t="s">
        <v>1510</v>
      </c>
      <c r="AS19" s="1752" t="s">
        <v>1510</v>
      </c>
      <c r="AT19" s="1752" t="s">
        <v>1511</v>
      </c>
      <c r="AU19" s="1752" t="s">
        <v>1512</v>
      </c>
      <c r="AV19" s="1752" t="s">
        <v>1513</v>
      </c>
      <c r="AW19" s="1752" t="s">
        <v>1513</v>
      </c>
      <c r="AX19" s="1752" t="s">
        <v>1514</v>
      </c>
      <c r="AY19" s="1752" t="s">
        <v>1514</v>
      </c>
      <c r="AZ19" s="1752" t="s">
        <v>1514</v>
      </c>
      <c r="BA19" s="1752" t="s">
        <v>1514</v>
      </c>
      <c r="BB19" s="1752" t="s">
        <v>1514</v>
      </c>
      <c r="BC19" s="1752" t="s">
        <v>1514</v>
      </c>
      <c r="BD19" s="1752" t="s">
        <v>1514</v>
      </c>
      <c r="BE19" s="1752" t="s">
        <v>1515</v>
      </c>
      <c r="BF19" s="1752" t="s">
        <v>1515</v>
      </c>
      <c r="BG19" s="1752" t="s">
        <v>1515</v>
      </c>
      <c r="BH19" s="1752" t="s">
        <v>1515</v>
      </c>
      <c r="BI19" s="1752" t="s">
        <v>1515</v>
      </c>
      <c r="BJ19" s="1752" t="s">
        <v>1515</v>
      </c>
      <c r="BK19" s="1752" t="s">
        <v>1515</v>
      </c>
      <c r="BL19" s="1752" t="s">
        <v>1516</v>
      </c>
      <c r="BM19" s="1752" t="s">
        <v>1516</v>
      </c>
      <c r="BN19" s="1752" t="s">
        <v>1516</v>
      </c>
      <c r="BO19" s="1752" t="s">
        <v>1516</v>
      </c>
      <c r="BP19" s="1752" t="s">
        <v>1516</v>
      </c>
      <c r="BQ19" s="1752" t="s">
        <v>1516</v>
      </c>
      <c r="BR19" s="1752" t="s">
        <v>1516</v>
      </c>
      <c r="BS19" s="1752" t="s">
        <v>1516</v>
      </c>
      <c r="BT19" s="1752" t="s">
        <v>1517</v>
      </c>
      <c r="BU19" s="1752" t="s">
        <v>1517</v>
      </c>
      <c r="BV19" s="1752" t="s">
        <v>1518</v>
      </c>
      <c r="BW19" s="1752" t="s">
        <v>1517</v>
      </c>
      <c r="BX19" s="1752" t="s">
        <v>1517</v>
      </c>
      <c r="BY19" s="1752" t="s">
        <v>1519</v>
      </c>
      <c r="BZ19" s="1752" t="s">
        <v>1519</v>
      </c>
      <c r="CA19" s="1752" t="s">
        <v>1519</v>
      </c>
      <c r="CB19" s="1752" t="s">
        <v>1520</v>
      </c>
      <c r="CC19" s="1752" t="s">
        <v>1521</v>
      </c>
      <c r="CD19" s="1752" t="s">
        <v>1522</v>
      </c>
      <c r="CE19" s="1752" t="s">
        <v>1523</v>
      </c>
      <c r="CF19" s="1752" t="s">
        <v>1524</v>
      </c>
      <c r="CG19" s="1752" t="s">
        <v>1525</v>
      </c>
      <c r="CH19" s="1753" t="s">
        <v>1525</v>
      </c>
      <c r="CI19" s="1754" t="s">
        <v>1526</v>
      </c>
      <c r="CJ19" s="1752" t="s">
        <v>1527</v>
      </c>
      <c r="CK19" s="1752" t="s">
        <v>1528</v>
      </c>
      <c r="CL19" s="1752" t="s">
        <v>1529</v>
      </c>
      <c r="CM19" s="1752" t="s">
        <v>1530</v>
      </c>
      <c r="CN19" s="1752" t="s">
        <v>1531</v>
      </c>
      <c r="CO19" s="1752" t="s">
        <v>1532</v>
      </c>
      <c r="CP19" s="1752" t="s">
        <v>1522</v>
      </c>
      <c r="CQ19" s="1755" t="s">
        <v>1533</v>
      </c>
      <c r="CR19" s="1755" t="s">
        <v>1530</v>
      </c>
      <c r="CS19" s="1755" t="s">
        <v>1534</v>
      </c>
      <c r="CT19" s="1755" t="s">
        <v>1442</v>
      </c>
      <c r="CU19" s="1755" t="s">
        <v>1535</v>
      </c>
      <c r="CV19" s="1755" t="s">
        <v>1536</v>
      </c>
      <c r="CW19" s="1755" t="s">
        <v>1537</v>
      </c>
      <c r="CX19" s="1755" t="s">
        <v>1538</v>
      </c>
      <c r="CY19" s="1755" t="s">
        <v>1535</v>
      </c>
      <c r="CZ19" s="1755" t="s">
        <v>1539</v>
      </c>
      <c r="DA19" s="1755" t="s">
        <v>1534</v>
      </c>
      <c r="DB19" s="1755" t="s">
        <v>1540</v>
      </c>
      <c r="DC19" s="1755" t="s">
        <v>1539</v>
      </c>
      <c r="DD19" s="1755" t="s">
        <v>1541</v>
      </c>
      <c r="DE19" s="1755" t="s">
        <v>1542</v>
      </c>
      <c r="DF19" s="1773"/>
      <c r="DG19" s="1773"/>
    </row>
    <row r="20" spans="1:111" ht="17.45" customHeight="1">
      <c r="A20" s="1733" t="s">
        <v>1450</v>
      </c>
      <c r="B20" s="1757"/>
      <c r="C20" s="1758"/>
      <c r="D20" s="1758"/>
      <c r="E20" s="1758"/>
      <c r="F20" s="1757"/>
      <c r="G20" s="1758"/>
      <c r="H20" s="1758"/>
      <c r="I20" s="1758"/>
      <c r="J20" s="1758"/>
      <c r="K20" s="1758"/>
      <c r="L20" s="1758"/>
      <c r="M20" s="1758"/>
      <c r="N20" s="1757"/>
      <c r="O20" s="1758"/>
      <c r="P20" s="1758"/>
      <c r="Q20" s="1757"/>
      <c r="R20" s="1758"/>
      <c r="S20" s="1758"/>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1759"/>
      <c r="AV20" s="1759"/>
      <c r="AW20" s="1759"/>
      <c r="AX20" s="1759"/>
      <c r="AY20" s="1759"/>
      <c r="AZ20" s="1759"/>
      <c r="BA20" s="1759"/>
      <c r="BB20" s="1759"/>
      <c r="BC20" s="1759"/>
      <c r="BD20" s="1759"/>
      <c r="BE20" s="1759"/>
      <c r="BF20" s="1759"/>
      <c r="BG20" s="1759"/>
      <c r="BH20" s="1759"/>
      <c r="BI20" s="1759"/>
      <c r="BJ20" s="1759"/>
      <c r="BK20" s="1759"/>
      <c r="BL20" s="1759"/>
      <c r="BM20" s="1759"/>
      <c r="BN20" s="1759"/>
      <c r="BO20" s="1759"/>
      <c r="BP20" s="1759"/>
      <c r="BQ20" s="1759"/>
      <c r="BR20" s="1759"/>
      <c r="BS20" s="1759"/>
      <c r="BT20" s="1759"/>
      <c r="BU20" s="1759"/>
      <c r="BV20" s="1759"/>
      <c r="BW20" s="1759"/>
      <c r="BX20" s="1759"/>
      <c r="BY20" s="1759"/>
      <c r="BZ20" s="1760"/>
      <c r="CA20" s="1759"/>
      <c r="CB20" s="1759"/>
      <c r="CC20" s="1759"/>
      <c r="CD20" s="1759"/>
      <c r="CE20" s="1759"/>
      <c r="CF20" s="1759"/>
      <c r="CG20" s="1759"/>
      <c r="CH20" s="1759"/>
      <c r="CI20" s="1759"/>
      <c r="CJ20" s="1759"/>
      <c r="CK20" s="1759"/>
      <c r="CL20" s="1759"/>
      <c r="CM20" s="1759"/>
      <c r="CN20" s="1759"/>
      <c r="CO20" s="1759"/>
      <c r="CP20" s="1759"/>
      <c r="CQ20" s="1755"/>
      <c r="CR20" s="1774"/>
      <c r="CS20" s="1774"/>
      <c r="CT20" s="1774"/>
      <c r="CU20" s="1774"/>
      <c r="CV20" s="1774"/>
      <c r="CW20" s="1774"/>
      <c r="CX20" s="1774"/>
      <c r="CY20" s="1774"/>
      <c r="CZ20" s="1774"/>
      <c r="DA20" s="1774"/>
      <c r="DB20" s="1774"/>
      <c r="DC20" s="1775"/>
      <c r="DD20" s="1775"/>
      <c r="DE20" s="1775"/>
    </row>
    <row r="21" spans="1:111" ht="17.45" customHeight="1">
      <c r="A21" s="1766" t="s">
        <v>1543</v>
      </c>
      <c r="B21" s="1767" t="s">
        <v>1488</v>
      </c>
      <c r="C21" s="1768" t="s">
        <v>1544</v>
      </c>
      <c r="D21" s="1768" t="s">
        <v>1544</v>
      </c>
      <c r="E21" s="1768" t="s">
        <v>1488</v>
      </c>
      <c r="F21" s="1767" t="s">
        <v>1544</v>
      </c>
      <c r="G21" s="1768" t="s">
        <v>1545</v>
      </c>
      <c r="H21" s="1768" t="s">
        <v>1545</v>
      </c>
      <c r="I21" s="1768" t="s">
        <v>1545</v>
      </c>
      <c r="J21" s="1768" t="s">
        <v>1546</v>
      </c>
      <c r="K21" s="1768" t="s">
        <v>1545</v>
      </c>
      <c r="L21" s="1768" t="s">
        <v>1545</v>
      </c>
      <c r="M21" s="1768" t="s">
        <v>1546</v>
      </c>
      <c r="N21" s="1767" t="s">
        <v>1547</v>
      </c>
      <c r="O21" s="1768" t="s">
        <v>1547</v>
      </c>
      <c r="P21" s="1768" t="s">
        <v>1548</v>
      </c>
      <c r="Q21" s="1767" t="s">
        <v>1549</v>
      </c>
      <c r="R21" s="1768" t="s">
        <v>1549</v>
      </c>
      <c r="S21" s="1768" t="s">
        <v>1549</v>
      </c>
      <c r="T21" s="1769" t="s">
        <v>1550</v>
      </c>
      <c r="U21" s="1769" t="s">
        <v>1550</v>
      </c>
      <c r="V21" s="1769" t="s">
        <v>1551</v>
      </c>
      <c r="W21" s="1769" t="s">
        <v>1550</v>
      </c>
      <c r="X21" s="1769" t="s">
        <v>1552</v>
      </c>
      <c r="Y21" s="1769" t="s">
        <v>1550</v>
      </c>
      <c r="Z21" s="1769" t="s">
        <v>1553</v>
      </c>
      <c r="AA21" s="1769" t="s">
        <v>1554</v>
      </c>
      <c r="AB21" s="1769" t="s">
        <v>1555</v>
      </c>
      <c r="AC21" s="1769" t="s">
        <v>1556</v>
      </c>
      <c r="AD21" s="1769" t="s">
        <v>1557</v>
      </c>
      <c r="AE21" s="1769" t="s">
        <v>1558</v>
      </c>
      <c r="AF21" s="1769" t="s">
        <v>1559</v>
      </c>
      <c r="AG21" s="1769" t="s">
        <v>1560</v>
      </c>
      <c r="AH21" s="1769" t="s">
        <v>1554</v>
      </c>
      <c r="AI21" s="1769" t="s">
        <v>1554</v>
      </c>
      <c r="AJ21" s="1769" t="s">
        <v>1561</v>
      </c>
      <c r="AK21" s="1769" t="s">
        <v>1561</v>
      </c>
      <c r="AL21" s="1769" t="s">
        <v>1562</v>
      </c>
      <c r="AM21" s="1769" t="s">
        <v>1563</v>
      </c>
      <c r="AN21" s="1769" t="s">
        <v>1563</v>
      </c>
      <c r="AO21" s="1769" t="s">
        <v>1563</v>
      </c>
      <c r="AP21" s="1769" t="s">
        <v>1563</v>
      </c>
      <c r="AQ21" s="1769" t="s">
        <v>1563</v>
      </c>
      <c r="AR21" s="1769" t="s">
        <v>1563</v>
      </c>
      <c r="AS21" s="1769" t="s">
        <v>1563</v>
      </c>
      <c r="AT21" s="1769" t="s">
        <v>1564</v>
      </c>
      <c r="AU21" s="1769" t="s">
        <v>1544</v>
      </c>
      <c r="AV21" s="1769" t="s">
        <v>1544</v>
      </c>
      <c r="AW21" s="1769" t="s">
        <v>1544</v>
      </c>
      <c r="AX21" s="1769" t="s">
        <v>1565</v>
      </c>
      <c r="AY21" s="1769" t="s">
        <v>1490</v>
      </c>
      <c r="AZ21" s="1769" t="s">
        <v>1566</v>
      </c>
      <c r="BA21" s="1769" t="s">
        <v>1566</v>
      </c>
      <c r="BB21" s="1769" t="s">
        <v>1566</v>
      </c>
      <c r="BC21" s="1769" t="s">
        <v>1566</v>
      </c>
      <c r="BD21" s="1769" t="s">
        <v>1566</v>
      </c>
      <c r="BE21" s="1769" t="s">
        <v>1567</v>
      </c>
      <c r="BF21" s="1769" t="s">
        <v>1567</v>
      </c>
      <c r="BG21" s="1769" t="s">
        <v>1567</v>
      </c>
      <c r="BH21" s="1769" t="s">
        <v>1567</v>
      </c>
      <c r="BI21" s="1769" t="s">
        <v>1567</v>
      </c>
      <c r="BJ21" s="1769" t="s">
        <v>1568</v>
      </c>
      <c r="BK21" s="1769" t="s">
        <v>1568</v>
      </c>
      <c r="BL21" s="1769" t="s">
        <v>1569</v>
      </c>
      <c r="BM21" s="1769" t="s">
        <v>1570</v>
      </c>
      <c r="BN21" s="1769" t="s">
        <v>1570</v>
      </c>
      <c r="BO21" s="1769" t="s">
        <v>1571</v>
      </c>
      <c r="BP21" s="1769" t="s">
        <v>1570</v>
      </c>
      <c r="BQ21" s="1769" t="s">
        <v>1570</v>
      </c>
      <c r="BR21" s="1769" t="s">
        <v>1570</v>
      </c>
      <c r="BS21" s="1769" t="s">
        <v>1572</v>
      </c>
      <c r="BT21" s="1769" t="s">
        <v>1572</v>
      </c>
      <c r="BU21" s="1769" t="s">
        <v>1573</v>
      </c>
      <c r="BV21" s="1769" t="s">
        <v>1573</v>
      </c>
      <c r="BW21" s="1769" t="s">
        <v>1574</v>
      </c>
      <c r="BX21" s="1769" t="s">
        <v>1575</v>
      </c>
      <c r="BY21" s="1769" t="s">
        <v>1575</v>
      </c>
      <c r="BZ21" s="1770" t="s">
        <v>1575</v>
      </c>
      <c r="CA21" s="1769" t="s">
        <v>1575</v>
      </c>
      <c r="CB21" s="1769" t="s">
        <v>1576</v>
      </c>
      <c r="CC21" s="1769" t="s">
        <v>1577</v>
      </c>
      <c r="CD21" s="1769" t="s">
        <v>1578</v>
      </c>
      <c r="CE21" s="1769" t="s">
        <v>1579</v>
      </c>
      <c r="CF21" s="1769" t="s">
        <v>1580</v>
      </c>
      <c r="CG21" s="1769" t="s">
        <v>1578</v>
      </c>
      <c r="CH21" s="1769" t="s">
        <v>1581</v>
      </c>
      <c r="CI21" s="1769" t="s">
        <v>1581</v>
      </c>
      <c r="CJ21" s="1769" t="s">
        <v>1581</v>
      </c>
      <c r="CK21" s="1769" t="s">
        <v>1582</v>
      </c>
      <c r="CL21" s="1769" t="s">
        <v>1583</v>
      </c>
      <c r="CM21" s="1769" t="s">
        <v>1583</v>
      </c>
      <c r="CN21" s="1769" t="s">
        <v>1583</v>
      </c>
      <c r="CO21" s="1769" t="s">
        <v>1584</v>
      </c>
      <c r="CP21" s="1769" t="s">
        <v>1530</v>
      </c>
      <c r="CQ21" s="1755" t="s">
        <v>1585</v>
      </c>
      <c r="CR21" s="1755" t="s">
        <v>1586</v>
      </c>
      <c r="CS21" s="1755" t="s">
        <v>1587</v>
      </c>
      <c r="CT21" s="1755" t="s">
        <v>1588</v>
      </c>
      <c r="CU21" s="1755" t="s">
        <v>1481</v>
      </c>
      <c r="CV21" s="1755" t="s">
        <v>1481</v>
      </c>
      <c r="CW21" s="1755" t="s">
        <v>1589</v>
      </c>
      <c r="CX21" s="1755" t="s">
        <v>1589</v>
      </c>
      <c r="CY21" s="1755" t="s">
        <v>1590</v>
      </c>
      <c r="CZ21" s="1755" t="s">
        <v>1589</v>
      </c>
      <c r="DA21" s="1755" t="s">
        <v>1589</v>
      </c>
      <c r="DB21" s="1755" t="s">
        <v>1591</v>
      </c>
      <c r="DC21" s="1755" t="s">
        <v>1592</v>
      </c>
      <c r="DD21" s="1755" t="s">
        <v>1591</v>
      </c>
      <c r="DE21" s="1755" t="s">
        <v>1591</v>
      </c>
    </row>
    <row r="22" spans="1:111" ht="17.45" customHeight="1">
      <c r="A22" s="1733" t="s">
        <v>1593</v>
      </c>
      <c r="B22" s="1749" t="s">
        <v>1594</v>
      </c>
      <c r="C22" s="1750" t="s">
        <v>1595</v>
      </c>
      <c r="D22" s="1750" t="s">
        <v>1596</v>
      </c>
      <c r="E22" s="1750" t="s">
        <v>1596</v>
      </c>
      <c r="F22" s="1749" t="s">
        <v>1596</v>
      </c>
      <c r="G22" s="1750" t="s">
        <v>1405</v>
      </c>
      <c r="H22" s="1750" t="s">
        <v>1597</v>
      </c>
      <c r="I22" s="1750" t="s">
        <v>1597</v>
      </c>
      <c r="J22" s="1750" t="s">
        <v>1597</v>
      </c>
      <c r="K22" s="1750" t="s">
        <v>1488</v>
      </c>
      <c r="L22" s="1750" t="s">
        <v>1488</v>
      </c>
      <c r="M22" s="1750" t="s">
        <v>1488</v>
      </c>
      <c r="N22" s="1749" t="s">
        <v>1488</v>
      </c>
      <c r="O22" s="1750" t="s">
        <v>1598</v>
      </c>
      <c r="P22" s="1750" t="s">
        <v>1599</v>
      </c>
      <c r="Q22" s="1749" t="s">
        <v>1495</v>
      </c>
      <c r="R22" s="1750" t="s">
        <v>1492</v>
      </c>
      <c r="S22" s="1750" t="s">
        <v>1497</v>
      </c>
      <c r="T22" s="1751" t="s">
        <v>1492</v>
      </c>
      <c r="U22" s="1751" t="s">
        <v>1600</v>
      </c>
      <c r="V22" s="1751" t="s">
        <v>1495</v>
      </c>
      <c r="W22" s="1751" t="s">
        <v>1601</v>
      </c>
      <c r="X22" s="1751" t="s">
        <v>1602</v>
      </c>
      <c r="Y22" s="1751" t="s">
        <v>1495</v>
      </c>
      <c r="Z22" s="1751" t="s">
        <v>1603</v>
      </c>
      <c r="AA22" s="1751" t="s">
        <v>1499</v>
      </c>
      <c r="AB22" s="1751" t="s">
        <v>1498</v>
      </c>
      <c r="AC22" s="1751" t="s">
        <v>1499</v>
      </c>
      <c r="AD22" s="1751" t="s">
        <v>1501</v>
      </c>
      <c r="AE22" s="1751" t="s">
        <v>1604</v>
      </c>
      <c r="AF22" s="1751" t="s">
        <v>1605</v>
      </c>
      <c r="AG22" s="1751" t="s">
        <v>1606</v>
      </c>
      <c r="AH22" s="1751" t="s">
        <v>1607</v>
      </c>
      <c r="AI22" s="1751" t="s">
        <v>1608</v>
      </c>
      <c r="AJ22" s="1751" t="s">
        <v>1609</v>
      </c>
      <c r="AK22" s="1751" t="s">
        <v>1610</v>
      </c>
      <c r="AL22" s="1751" t="s">
        <v>1611</v>
      </c>
      <c r="AM22" s="1751" t="s">
        <v>1612</v>
      </c>
      <c r="AN22" s="1751" t="s">
        <v>1613</v>
      </c>
      <c r="AO22" s="1751" t="s">
        <v>1614</v>
      </c>
      <c r="AP22" s="1751" t="s">
        <v>1615</v>
      </c>
      <c r="AQ22" s="1751" t="s">
        <v>1594</v>
      </c>
      <c r="AR22" s="1751" t="s">
        <v>1594</v>
      </c>
      <c r="AS22" s="1751" t="s">
        <v>1594</v>
      </c>
      <c r="AT22" s="1751" t="s">
        <v>1594</v>
      </c>
      <c r="AU22" s="1751" t="s">
        <v>1616</v>
      </c>
      <c r="AV22" s="1751" t="s">
        <v>1617</v>
      </c>
      <c r="AW22" s="1751" t="s">
        <v>1617</v>
      </c>
      <c r="AX22" s="1751" t="s">
        <v>1617</v>
      </c>
      <c r="AY22" s="1751" t="s">
        <v>1617</v>
      </c>
      <c r="AZ22" s="1751" t="s">
        <v>1617</v>
      </c>
      <c r="BA22" s="1751" t="s">
        <v>1617</v>
      </c>
      <c r="BB22" s="1751" t="s">
        <v>1617</v>
      </c>
      <c r="BC22" s="1751" t="s">
        <v>1617</v>
      </c>
      <c r="BD22" s="1751" t="s">
        <v>1617</v>
      </c>
      <c r="BE22" s="1751" t="s">
        <v>1617</v>
      </c>
      <c r="BF22" s="1751" t="s">
        <v>1617</v>
      </c>
      <c r="BG22" s="1751" t="s">
        <v>1617</v>
      </c>
      <c r="BH22" s="1751" t="s">
        <v>1617</v>
      </c>
      <c r="BI22" s="1751" t="s">
        <v>1617</v>
      </c>
      <c r="BJ22" s="1751" t="s">
        <v>1617</v>
      </c>
      <c r="BK22" s="1751" t="s">
        <v>1617</v>
      </c>
      <c r="BL22" s="1751" t="s">
        <v>1617</v>
      </c>
      <c r="BM22" s="1751" t="s">
        <v>1618</v>
      </c>
      <c r="BN22" s="1751" t="s">
        <v>1618</v>
      </c>
      <c r="BO22" s="1751" t="s">
        <v>1618</v>
      </c>
      <c r="BP22" s="1751" t="s">
        <v>1618</v>
      </c>
      <c r="BQ22" s="1751" t="s">
        <v>1618</v>
      </c>
      <c r="BR22" s="1751" t="s">
        <v>1618</v>
      </c>
      <c r="BS22" s="1751" t="s">
        <v>1619</v>
      </c>
      <c r="BT22" s="1751" t="s">
        <v>1619</v>
      </c>
      <c r="BU22" s="1751" t="s">
        <v>1620</v>
      </c>
      <c r="BV22" s="1751" t="s">
        <v>1620</v>
      </c>
      <c r="BW22" s="1751" t="s">
        <v>1620</v>
      </c>
      <c r="BX22" s="1751" t="s">
        <v>1621</v>
      </c>
      <c r="BY22" s="1751" t="s">
        <v>1460</v>
      </c>
      <c r="BZ22" s="1752" t="s">
        <v>1460</v>
      </c>
      <c r="CA22" s="1751" t="s">
        <v>1460</v>
      </c>
      <c r="CB22" s="1751" t="s">
        <v>1460</v>
      </c>
      <c r="CC22" s="1751" t="s">
        <v>1622</v>
      </c>
      <c r="CD22" s="1751" t="s">
        <v>1623</v>
      </c>
      <c r="CE22" s="1751" t="s">
        <v>1624</v>
      </c>
      <c r="CF22" s="1751" t="s">
        <v>1625</v>
      </c>
      <c r="CG22" s="1776" t="s">
        <v>1626</v>
      </c>
      <c r="CH22" s="1751" t="s">
        <v>1626</v>
      </c>
      <c r="CI22" s="1751" t="s">
        <v>1627</v>
      </c>
      <c r="CJ22" s="1751" t="s">
        <v>1628</v>
      </c>
      <c r="CK22" s="1751" t="s">
        <v>1629</v>
      </c>
      <c r="CL22" s="1751" t="s">
        <v>1628</v>
      </c>
      <c r="CM22" s="1751" t="s">
        <v>1630</v>
      </c>
      <c r="CN22" s="1751" t="s">
        <v>1630</v>
      </c>
      <c r="CO22" s="1751" t="s">
        <v>1630</v>
      </c>
      <c r="CP22" s="1751" t="s">
        <v>1631</v>
      </c>
      <c r="CQ22" s="1755" t="s">
        <v>1632</v>
      </c>
      <c r="CR22" s="1755" t="s">
        <v>1633</v>
      </c>
      <c r="CS22" s="1755" t="s">
        <v>1634</v>
      </c>
      <c r="CT22" s="1755" t="s">
        <v>1635</v>
      </c>
      <c r="CU22" s="1755" t="s">
        <v>1624</v>
      </c>
      <c r="CV22" s="1755" t="s">
        <v>1636</v>
      </c>
      <c r="CW22" s="1755" t="s">
        <v>1637</v>
      </c>
      <c r="CX22" s="1755" t="s">
        <v>1638</v>
      </c>
      <c r="CY22" s="1755" t="s">
        <v>1638</v>
      </c>
      <c r="CZ22" s="1755" t="s">
        <v>1639</v>
      </c>
      <c r="DA22" s="1755" t="s">
        <v>1640</v>
      </c>
      <c r="DB22" s="1755" t="s">
        <v>1641</v>
      </c>
      <c r="DC22" s="1755" t="s">
        <v>1642</v>
      </c>
      <c r="DD22" s="1755" t="s">
        <v>1636</v>
      </c>
      <c r="DE22" s="1755" t="s">
        <v>1643</v>
      </c>
    </row>
    <row r="23" spans="1:111" ht="17.45" customHeight="1">
      <c r="A23" s="1733" t="s">
        <v>1450</v>
      </c>
      <c r="B23" s="1757"/>
      <c r="C23" s="1758"/>
      <c r="D23" s="1758"/>
      <c r="E23" s="1758"/>
      <c r="F23" s="1757"/>
      <c r="G23" s="1758"/>
      <c r="H23" s="1758"/>
      <c r="I23" s="1758"/>
      <c r="J23" s="1758"/>
      <c r="K23" s="1758"/>
      <c r="L23" s="1758"/>
      <c r="M23" s="1758"/>
      <c r="N23" s="1757"/>
      <c r="O23" s="1758"/>
      <c r="P23" s="1758"/>
      <c r="Q23" s="1757"/>
      <c r="R23" s="1758"/>
      <c r="S23" s="1758"/>
      <c r="T23" s="1759"/>
      <c r="U23" s="1759"/>
      <c r="V23" s="1759"/>
      <c r="W23" s="1759"/>
      <c r="X23" s="1759"/>
      <c r="Y23" s="1759"/>
      <c r="Z23" s="1759"/>
      <c r="AA23" s="1759"/>
      <c r="AB23" s="1759"/>
      <c r="AC23" s="1759"/>
      <c r="AD23" s="1759"/>
      <c r="AE23" s="1759"/>
      <c r="AF23" s="1759"/>
      <c r="AG23" s="1759"/>
      <c r="AH23" s="1759"/>
      <c r="AI23" s="1759"/>
      <c r="AJ23" s="1759"/>
      <c r="AK23" s="1759"/>
      <c r="AL23" s="1759"/>
      <c r="AM23" s="1759"/>
      <c r="AN23" s="1759"/>
      <c r="AO23" s="1759"/>
      <c r="AP23" s="1759"/>
      <c r="AQ23" s="1759"/>
      <c r="AR23" s="1759"/>
      <c r="AS23" s="1759"/>
      <c r="AT23" s="1759"/>
      <c r="AU23" s="1759"/>
      <c r="AV23" s="1759"/>
      <c r="AW23" s="1759"/>
      <c r="AX23" s="1759"/>
      <c r="AY23" s="1759"/>
      <c r="AZ23" s="1759"/>
      <c r="BA23" s="1759"/>
      <c r="BB23" s="1759"/>
      <c r="BC23" s="1759"/>
      <c r="BD23" s="1759"/>
      <c r="BE23" s="1759"/>
      <c r="BF23" s="1759"/>
      <c r="BG23" s="1759"/>
      <c r="BH23" s="1759"/>
      <c r="BI23" s="1759"/>
      <c r="BJ23" s="1759"/>
      <c r="BK23" s="1759"/>
      <c r="BL23" s="1759"/>
      <c r="BM23" s="1759"/>
      <c r="BN23" s="1759"/>
      <c r="BO23" s="1759"/>
      <c r="BP23" s="1759"/>
      <c r="BQ23" s="1759"/>
      <c r="BR23" s="1759"/>
      <c r="BS23" s="1759"/>
      <c r="BT23" s="1759"/>
      <c r="BU23" s="1759"/>
      <c r="BV23" s="1759"/>
      <c r="BW23" s="1759"/>
      <c r="BX23" s="1759"/>
      <c r="BY23" s="1759"/>
      <c r="BZ23" s="1760"/>
      <c r="CA23" s="1759"/>
      <c r="CB23" s="1759"/>
      <c r="CC23" s="1759"/>
      <c r="CD23" s="1759"/>
      <c r="CE23" s="1759"/>
      <c r="CF23" s="1759"/>
      <c r="CG23" s="1759"/>
      <c r="CH23" s="1759"/>
      <c r="CI23" s="1759"/>
      <c r="CJ23" s="1759"/>
      <c r="CK23" s="1759"/>
      <c r="CL23" s="1759"/>
      <c r="CM23" s="1759"/>
      <c r="CN23" s="1759"/>
      <c r="CO23" s="1759"/>
      <c r="CP23" s="1759"/>
      <c r="CQ23" s="1777"/>
      <c r="CR23" s="1774"/>
      <c r="CS23" s="1774"/>
      <c r="CT23" s="1774"/>
      <c r="CU23" s="1774"/>
      <c r="CV23" s="1774"/>
      <c r="CW23" s="1774"/>
      <c r="CX23" s="1774"/>
      <c r="CY23" s="1774"/>
      <c r="CZ23" s="1774"/>
      <c r="DA23" s="1774"/>
      <c r="DB23" s="1774"/>
      <c r="DC23" s="1775"/>
      <c r="DD23" s="1775"/>
      <c r="DE23" s="1775"/>
    </row>
    <row r="24" spans="1:111" ht="17.45" customHeight="1">
      <c r="A24" s="1766" t="s">
        <v>1644</v>
      </c>
      <c r="B24" s="1767" t="s">
        <v>1594</v>
      </c>
      <c r="C24" s="1768" t="s">
        <v>1596</v>
      </c>
      <c r="D24" s="1768" t="s">
        <v>1596</v>
      </c>
      <c r="E24" s="1768" t="s">
        <v>1596</v>
      </c>
      <c r="F24" s="1767" t="s">
        <v>1596</v>
      </c>
      <c r="G24" s="1768" t="s">
        <v>1645</v>
      </c>
      <c r="H24" s="1768" t="s">
        <v>1645</v>
      </c>
      <c r="I24" s="1768" t="s">
        <v>1645</v>
      </c>
      <c r="J24" s="1768" t="s">
        <v>1645</v>
      </c>
      <c r="K24" s="1768" t="s">
        <v>1645</v>
      </c>
      <c r="L24" s="1768" t="s">
        <v>1645</v>
      </c>
      <c r="M24" s="1768" t="s">
        <v>1645</v>
      </c>
      <c r="N24" s="1767" t="s">
        <v>1645</v>
      </c>
      <c r="O24" s="1768" t="s">
        <v>1645</v>
      </c>
      <c r="P24" s="1768" t="s">
        <v>1599</v>
      </c>
      <c r="Q24" s="1767" t="s">
        <v>1495</v>
      </c>
      <c r="R24" s="1768" t="s">
        <v>1495</v>
      </c>
      <c r="S24" s="1768" t="s">
        <v>1495</v>
      </c>
      <c r="T24" s="1769" t="s">
        <v>1492</v>
      </c>
      <c r="U24" s="1769" t="s">
        <v>1506</v>
      </c>
      <c r="V24" s="1769" t="s">
        <v>1646</v>
      </c>
      <c r="W24" s="1769" t="s">
        <v>1645</v>
      </c>
      <c r="X24" s="1769" t="s">
        <v>1645</v>
      </c>
      <c r="Y24" s="1769" t="s">
        <v>1645</v>
      </c>
      <c r="Z24" s="1769" t="s">
        <v>1490</v>
      </c>
      <c r="AA24" s="1769" t="s">
        <v>1499</v>
      </c>
      <c r="AB24" s="1769" t="s">
        <v>1498</v>
      </c>
      <c r="AC24" s="1769" t="s">
        <v>1499</v>
      </c>
      <c r="AD24" s="1769" t="s">
        <v>1501</v>
      </c>
      <c r="AE24" s="1769" t="s">
        <v>1490</v>
      </c>
      <c r="AF24" s="1769" t="s">
        <v>1499</v>
      </c>
      <c r="AG24" s="1769" t="s">
        <v>1606</v>
      </c>
      <c r="AH24" s="1769" t="s">
        <v>1607</v>
      </c>
      <c r="AI24" s="1769" t="s">
        <v>1405</v>
      </c>
      <c r="AJ24" s="1769" t="s">
        <v>1647</v>
      </c>
      <c r="AK24" s="1769" t="s">
        <v>1647</v>
      </c>
      <c r="AL24" s="1769" t="s">
        <v>1648</v>
      </c>
      <c r="AM24" s="1769" t="s">
        <v>1649</v>
      </c>
      <c r="AN24" s="1769" t="s">
        <v>1614</v>
      </c>
      <c r="AO24" s="1769" t="s">
        <v>1404</v>
      </c>
      <c r="AP24" s="1769" t="s">
        <v>1650</v>
      </c>
      <c r="AQ24" s="1769" t="s">
        <v>1650</v>
      </c>
      <c r="AR24" s="1769" t="s">
        <v>1650</v>
      </c>
      <c r="AS24" s="1769" t="s">
        <v>1651</v>
      </c>
      <c r="AT24" s="1769" t="s">
        <v>1651</v>
      </c>
      <c r="AU24" s="1769" t="s">
        <v>1652</v>
      </c>
      <c r="AV24" s="1769" t="s">
        <v>1653</v>
      </c>
      <c r="AW24" s="1769" t="s">
        <v>1653</v>
      </c>
      <c r="AX24" s="1769" t="s">
        <v>1653</v>
      </c>
      <c r="AY24" s="1769" t="s">
        <v>1653</v>
      </c>
      <c r="AZ24" s="1769" t="s">
        <v>1653</v>
      </c>
      <c r="BA24" s="1769" t="s">
        <v>1653</v>
      </c>
      <c r="BB24" s="1769" t="s">
        <v>1653</v>
      </c>
      <c r="BC24" s="1769" t="s">
        <v>1653</v>
      </c>
      <c r="BD24" s="1769" t="s">
        <v>1653</v>
      </c>
      <c r="BE24" s="1769" t="s">
        <v>1653</v>
      </c>
      <c r="BF24" s="1769" t="s">
        <v>1653</v>
      </c>
      <c r="BG24" s="1769" t="s">
        <v>1653</v>
      </c>
      <c r="BH24" s="1769" t="s">
        <v>1653</v>
      </c>
      <c r="BI24" s="1769" t="s">
        <v>1653</v>
      </c>
      <c r="BJ24" s="1769" t="s">
        <v>1653</v>
      </c>
      <c r="BK24" s="1769" t="s">
        <v>1653</v>
      </c>
      <c r="BL24" s="1769" t="s">
        <v>1653</v>
      </c>
      <c r="BM24" s="1769" t="s">
        <v>1654</v>
      </c>
      <c r="BN24" s="1769" t="s">
        <v>1654</v>
      </c>
      <c r="BO24" s="1769" t="s">
        <v>1654</v>
      </c>
      <c r="BP24" s="1769" t="s">
        <v>1654</v>
      </c>
      <c r="BQ24" s="1769" t="s">
        <v>1654</v>
      </c>
      <c r="BR24" s="1769" t="s">
        <v>1654</v>
      </c>
      <c r="BS24" s="1769" t="s">
        <v>1655</v>
      </c>
      <c r="BT24" s="1769" t="s">
        <v>1655</v>
      </c>
      <c r="BU24" s="1769" t="s">
        <v>1656</v>
      </c>
      <c r="BV24" s="1769" t="s">
        <v>1656</v>
      </c>
      <c r="BW24" s="1769" t="s">
        <v>1656</v>
      </c>
      <c r="BX24" s="1769" t="s">
        <v>1657</v>
      </c>
      <c r="BY24" s="1769" t="s">
        <v>1658</v>
      </c>
      <c r="BZ24" s="1770" t="s">
        <v>1658</v>
      </c>
      <c r="CA24" s="1769" t="s">
        <v>1659</v>
      </c>
      <c r="CB24" s="1769" t="s">
        <v>1659</v>
      </c>
      <c r="CC24" s="1769" t="s">
        <v>1660</v>
      </c>
      <c r="CD24" s="1769" t="s">
        <v>1661</v>
      </c>
      <c r="CE24" s="1769" t="s">
        <v>1662</v>
      </c>
      <c r="CF24" s="1769" t="s">
        <v>1663</v>
      </c>
      <c r="CG24" s="1769" t="s">
        <v>1663</v>
      </c>
      <c r="CH24" s="1769" t="s">
        <v>1626</v>
      </c>
      <c r="CI24" s="1769" t="s">
        <v>1626</v>
      </c>
      <c r="CJ24" s="1769" t="s">
        <v>1663</v>
      </c>
      <c r="CK24" s="1769" t="s">
        <v>1663</v>
      </c>
      <c r="CL24" s="1769" t="s">
        <v>1664</v>
      </c>
      <c r="CM24" s="1769" t="s">
        <v>1665</v>
      </c>
      <c r="CN24" s="1769" t="s">
        <v>1666</v>
      </c>
      <c r="CO24" s="1769" t="s">
        <v>1629</v>
      </c>
      <c r="CP24" s="1769" t="s">
        <v>1667</v>
      </c>
      <c r="CQ24" s="1755" t="s">
        <v>1668</v>
      </c>
      <c r="CR24" s="1778" t="s">
        <v>1669</v>
      </c>
      <c r="CS24" s="1778" t="s">
        <v>1670</v>
      </c>
      <c r="CT24" s="1778" t="s">
        <v>1669</v>
      </c>
      <c r="CU24" s="1778" t="s">
        <v>1670</v>
      </c>
      <c r="CV24" s="1778" t="s">
        <v>1671</v>
      </c>
      <c r="CW24" s="1778" t="s">
        <v>1672</v>
      </c>
      <c r="CX24" s="1778" t="s">
        <v>1673</v>
      </c>
      <c r="CY24" s="1778" t="s">
        <v>1674</v>
      </c>
      <c r="CZ24" s="1778" t="s">
        <v>1675</v>
      </c>
      <c r="DA24" s="1778" t="s">
        <v>1676</v>
      </c>
      <c r="DB24" s="1778" t="s">
        <v>1677</v>
      </c>
      <c r="DC24" s="1779" t="s">
        <v>1670</v>
      </c>
      <c r="DD24" s="1779" t="s">
        <v>1678</v>
      </c>
      <c r="DE24" s="1779" t="s">
        <v>1679</v>
      </c>
    </row>
    <row r="25" spans="1:111" ht="17.45" customHeight="1">
      <c r="A25" s="1733" t="s">
        <v>1680</v>
      </c>
      <c r="B25" s="1749" t="s">
        <v>1488</v>
      </c>
      <c r="C25" s="1750" t="s">
        <v>1488</v>
      </c>
      <c r="D25" s="1750" t="s">
        <v>1489</v>
      </c>
      <c r="E25" s="1750" t="s">
        <v>1488</v>
      </c>
      <c r="F25" s="1749" t="s">
        <v>1488</v>
      </c>
      <c r="G25" s="1750" t="s">
        <v>1488</v>
      </c>
      <c r="H25" s="1750" t="s">
        <v>1488</v>
      </c>
      <c r="I25" s="1750" t="s">
        <v>1488</v>
      </c>
      <c r="J25" s="1750" t="s">
        <v>1488</v>
      </c>
      <c r="K25" s="1750" t="s">
        <v>1488</v>
      </c>
      <c r="L25" s="1750" t="s">
        <v>1488</v>
      </c>
      <c r="M25" s="1750" t="s">
        <v>1488</v>
      </c>
      <c r="N25" s="1749" t="s">
        <v>1488</v>
      </c>
      <c r="O25" s="1750" t="s">
        <v>1488</v>
      </c>
      <c r="P25" s="1750" t="s">
        <v>1681</v>
      </c>
      <c r="Q25" s="1749" t="s">
        <v>1681</v>
      </c>
      <c r="R25" s="1750" t="s">
        <v>1681</v>
      </c>
      <c r="S25" s="1750" t="s">
        <v>1681</v>
      </c>
      <c r="T25" s="1751" t="s">
        <v>1682</v>
      </c>
      <c r="U25" s="1751" t="s">
        <v>1681</v>
      </c>
      <c r="V25" s="1751" t="s">
        <v>1683</v>
      </c>
      <c r="W25" s="1751" t="s">
        <v>1681</v>
      </c>
      <c r="X25" s="1751" t="s">
        <v>1684</v>
      </c>
      <c r="Y25" s="1751" t="s">
        <v>1685</v>
      </c>
      <c r="Z25" s="1751" t="s">
        <v>1686</v>
      </c>
      <c r="AA25" s="1751" t="s">
        <v>1687</v>
      </c>
      <c r="AB25" s="1751" t="s">
        <v>1687</v>
      </c>
      <c r="AC25" s="1751" t="s">
        <v>1688</v>
      </c>
      <c r="AD25" s="1751" t="s">
        <v>1689</v>
      </c>
      <c r="AE25" s="1751" t="s">
        <v>1689</v>
      </c>
      <c r="AF25" s="1751" t="s">
        <v>1690</v>
      </c>
      <c r="AG25" s="1751" t="s">
        <v>1691</v>
      </c>
      <c r="AH25" s="1751" t="s">
        <v>1692</v>
      </c>
      <c r="AI25" s="1751" t="s">
        <v>1693</v>
      </c>
      <c r="AJ25" s="1751" t="s">
        <v>1694</v>
      </c>
      <c r="AK25" s="1751" t="s">
        <v>1695</v>
      </c>
      <c r="AL25" s="1751" t="s">
        <v>1695</v>
      </c>
      <c r="AM25" s="1751" t="s">
        <v>1696</v>
      </c>
      <c r="AN25" s="1751" t="s">
        <v>1697</v>
      </c>
      <c r="AO25" s="1751" t="s">
        <v>1697</v>
      </c>
      <c r="AP25" s="1751" t="s">
        <v>1698</v>
      </c>
      <c r="AQ25" s="1751" t="s">
        <v>1546</v>
      </c>
      <c r="AR25" s="1751" t="s">
        <v>1546</v>
      </c>
      <c r="AS25" s="1751" t="s">
        <v>1546</v>
      </c>
      <c r="AT25" s="1751" t="s">
        <v>1699</v>
      </c>
      <c r="AU25" s="1751" t="s">
        <v>1700</v>
      </c>
      <c r="AV25" s="1751" t="s">
        <v>1701</v>
      </c>
      <c r="AW25" s="1751" t="s">
        <v>1701</v>
      </c>
      <c r="AX25" s="1751" t="s">
        <v>1702</v>
      </c>
      <c r="AY25" s="1751" t="s">
        <v>1702</v>
      </c>
      <c r="AZ25" s="1751" t="s">
        <v>1702</v>
      </c>
      <c r="BA25" s="1751" t="s">
        <v>1702</v>
      </c>
      <c r="BB25" s="1751" t="s">
        <v>1702</v>
      </c>
      <c r="BC25" s="1751" t="s">
        <v>1702</v>
      </c>
      <c r="BD25" s="1751" t="s">
        <v>1702</v>
      </c>
      <c r="BE25" s="1751" t="s">
        <v>1703</v>
      </c>
      <c r="BF25" s="1751" t="s">
        <v>1703</v>
      </c>
      <c r="BG25" s="1751" t="s">
        <v>1703</v>
      </c>
      <c r="BH25" s="1751" t="s">
        <v>1704</v>
      </c>
      <c r="BI25" s="1751" t="s">
        <v>1704</v>
      </c>
      <c r="BJ25" s="1751" t="s">
        <v>1705</v>
      </c>
      <c r="BK25" s="1751" t="s">
        <v>1705</v>
      </c>
      <c r="BL25" s="1751" t="s">
        <v>1706</v>
      </c>
      <c r="BM25" s="1751" t="s">
        <v>1707</v>
      </c>
      <c r="BN25" s="1751" t="s">
        <v>1707</v>
      </c>
      <c r="BO25" s="1751" t="s">
        <v>1707</v>
      </c>
      <c r="BP25" s="1751" t="s">
        <v>1707</v>
      </c>
      <c r="BQ25" s="1751" t="s">
        <v>1707</v>
      </c>
      <c r="BR25" s="1751" t="s">
        <v>1707</v>
      </c>
      <c r="BS25" s="1751" t="s">
        <v>1708</v>
      </c>
      <c r="BT25" s="1751" t="s">
        <v>1708</v>
      </c>
      <c r="BU25" s="1751" t="s">
        <v>1708</v>
      </c>
      <c r="BV25" s="1751" t="s">
        <v>1708</v>
      </c>
      <c r="BW25" s="1751" t="s">
        <v>1709</v>
      </c>
      <c r="BX25" s="1751" t="s">
        <v>1709</v>
      </c>
      <c r="BY25" s="1751" t="s">
        <v>1710</v>
      </c>
      <c r="BZ25" s="1752" t="s">
        <v>1710</v>
      </c>
      <c r="CA25" s="1751" t="s">
        <v>1709</v>
      </c>
      <c r="CB25" s="1751" t="s">
        <v>1709</v>
      </c>
      <c r="CC25" s="1751" t="s">
        <v>1711</v>
      </c>
      <c r="CD25" s="1751" t="s">
        <v>1712</v>
      </c>
      <c r="CE25" s="1751" t="s">
        <v>1713</v>
      </c>
      <c r="CF25" s="1751" t="s">
        <v>1714</v>
      </c>
      <c r="CG25" s="1751" t="s">
        <v>1715</v>
      </c>
      <c r="CH25" s="1751" t="s">
        <v>1716</v>
      </c>
      <c r="CI25" s="1751" t="s">
        <v>1717</v>
      </c>
      <c r="CJ25" s="1751" t="s">
        <v>1716</v>
      </c>
      <c r="CK25" s="1751" t="s">
        <v>1715</v>
      </c>
      <c r="CL25" s="1751" t="s">
        <v>1715</v>
      </c>
      <c r="CM25" s="1751" t="s">
        <v>1718</v>
      </c>
      <c r="CN25" s="1751" t="s">
        <v>1719</v>
      </c>
      <c r="CO25" s="1751" t="s">
        <v>1720</v>
      </c>
      <c r="CP25" s="1751" t="s">
        <v>1721</v>
      </c>
      <c r="CQ25" s="1755" t="s">
        <v>1722</v>
      </c>
      <c r="CR25" s="1778" t="s">
        <v>1723</v>
      </c>
      <c r="CS25" s="1778" t="s">
        <v>1724</v>
      </c>
      <c r="CT25" s="1778" t="s">
        <v>1725</v>
      </c>
      <c r="CU25" s="1778" t="s">
        <v>1426</v>
      </c>
      <c r="CV25" s="1778" t="s">
        <v>1726</v>
      </c>
      <c r="CW25" s="1778" t="s">
        <v>1727</v>
      </c>
      <c r="CX25" s="1778" t="s">
        <v>1728</v>
      </c>
      <c r="CY25" s="1778" t="s">
        <v>1729</v>
      </c>
      <c r="CZ25" s="1778" t="s">
        <v>1724</v>
      </c>
      <c r="DA25" s="1778" t="s">
        <v>1730</v>
      </c>
      <c r="DB25" s="1778" t="s">
        <v>1731</v>
      </c>
      <c r="DC25" s="1779" t="s">
        <v>1732</v>
      </c>
      <c r="DD25" s="1779" t="s">
        <v>1733</v>
      </c>
      <c r="DE25" s="1779" t="s">
        <v>1734</v>
      </c>
    </row>
    <row r="26" spans="1:111" ht="17.45" customHeight="1">
      <c r="A26" s="1733" t="s">
        <v>1735</v>
      </c>
      <c r="B26" s="1749" t="s">
        <v>1736</v>
      </c>
      <c r="C26" s="1750" t="s">
        <v>1737</v>
      </c>
      <c r="D26" s="1750" t="s">
        <v>1737</v>
      </c>
      <c r="E26" s="1750" t="s">
        <v>1736</v>
      </c>
      <c r="F26" s="1749" t="s">
        <v>1737</v>
      </c>
      <c r="G26" s="1750" t="s">
        <v>1738</v>
      </c>
      <c r="H26" s="1750" t="s">
        <v>1738</v>
      </c>
      <c r="I26" s="1750" t="s">
        <v>1738</v>
      </c>
      <c r="J26" s="1750" t="s">
        <v>1738</v>
      </c>
      <c r="K26" s="1750" t="s">
        <v>1739</v>
      </c>
      <c r="L26" s="1750" t="s">
        <v>1739</v>
      </c>
      <c r="M26" s="1750" t="s">
        <v>1739</v>
      </c>
      <c r="N26" s="1749" t="s">
        <v>1739</v>
      </c>
      <c r="O26" s="1750" t="s">
        <v>1739</v>
      </c>
      <c r="P26" s="1750" t="s">
        <v>1739</v>
      </c>
      <c r="Q26" s="1749" t="s">
        <v>1739</v>
      </c>
      <c r="R26" s="1750" t="s">
        <v>1738</v>
      </c>
      <c r="S26" s="1750" t="s">
        <v>1740</v>
      </c>
      <c r="T26" s="1751" t="s">
        <v>1741</v>
      </c>
      <c r="U26" s="1751" t="s">
        <v>1740</v>
      </c>
      <c r="V26" s="1751" t="s">
        <v>1740</v>
      </c>
      <c r="W26" s="1751" t="s">
        <v>1740</v>
      </c>
      <c r="X26" s="1751" t="s">
        <v>1742</v>
      </c>
      <c r="Y26" s="1751" t="s">
        <v>1740</v>
      </c>
      <c r="Z26" s="1751" t="s">
        <v>1743</v>
      </c>
      <c r="AA26" s="1751" t="s">
        <v>1744</v>
      </c>
      <c r="AB26" s="1751" t="s">
        <v>1745</v>
      </c>
      <c r="AC26" s="1751" t="s">
        <v>1746</v>
      </c>
      <c r="AD26" s="1751" t="s">
        <v>1745</v>
      </c>
      <c r="AE26" s="1751" t="s">
        <v>1745</v>
      </c>
      <c r="AF26" s="1751" t="s">
        <v>1747</v>
      </c>
      <c r="AG26" s="1751" t="s">
        <v>1746</v>
      </c>
      <c r="AH26" s="1751" t="s">
        <v>1748</v>
      </c>
      <c r="AI26" s="1751" t="s">
        <v>1749</v>
      </c>
      <c r="AJ26" s="1751" t="s">
        <v>1750</v>
      </c>
      <c r="AK26" s="1751" t="s">
        <v>1751</v>
      </c>
      <c r="AL26" s="1751" t="s">
        <v>1752</v>
      </c>
      <c r="AM26" s="1751" t="s">
        <v>1753</v>
      </c>
      <c r="AN26" s="1751" t="s">
        <v>1754</v>
      </c>
      <c r="AO26" s="1751" t="s">
        <v>1754</v>
      </c>
      <c r="AP26" s="1751" t="s">
        <v>1755</v>
      </c>
      <c r="AQ26" s="1751" t="s">
        <v>1756</v>
      </c>
      <c r="AR26" s="1751" t="s">
        <v>1756</v>
      </c>
      <c r="AS26" s="1751" t="s">
        <v>1756</v>
      </c>
      <c r="AT26" s="1751" t="s">
        <v>1756</v>
      </c>
      <c r="AU26" s="1751" t="s">
        <v>1757</v>
      </c>
      <c r="AV26" s="1751" t="s">
        <v>1757</v>
      </c>
      <c r="AW26" s="1751" t="s">
        <v>1757</v>
      </c>
      <c r="AX26" s="1751" t="s">
        <v>1757</v>
      </c>
      <c r="AY26" s="1751" t="s">
        <v>1757</v>
      </c>
      <c r="AZ26" s="1751" t="s">
        <v>1758</v>
      </c>
      <c r="BA26" s="1751" t="s">
        <v>1758</v>
      </c>
      <c r="BB26" s="1751" t="s">
        <v>1758</v>
      </c>
      <c r="BC26" s="1751" t="s">
        <v>1758</v>
      </c>
      <c r="BD26" s="1751" t="s">
        <v>1758</v>
      </c>
      <c r="BE26" s="1751" t="s">
        <v>1758</v>
      </c>
      <c r="BF26" s="1751" t="s">
        <v>1758</v>
      </c>
      <c r="BG26" s="1751" t="s">
        <v>1758</v>
      </c>
      <c r="BH26" s="1751" t="s">
        <v>1758</v>
      </c>
      <c r="BI26" s="1751" t="s">
        <v>1758</v>
      </c>
      <c r="BJ26" s="1751" t="s">
        <v>1758</v>
      </c>
      <c r="BK26" s="1751" t="s">
        <v>1758</v>
      </c>
      <c r="BL26" s="1751" t="s">
        <v>1758</v>
      </c>
      <c r="BM26" s="1751" t="s">
        <v>1759</v>
      </c>
      <c r="BN26" s="1751" t="s">
        <v>1759</v>
      </c>
      <c r="BO26" s="1751" t="s">
        <v>1759</v>
      </c>
      <c r="BP26" s="1751" t="s">
        <v>1759</v>
      </c>
      <c r="BQ26" s="1751" t="s">
        <v>1759</v>
      </c>
      <c r="BR26" s="1751" t="s">
        <v>1759</v>
      </c>
      <c r="BS26" s="1751" t="s">
        <v>1759</v>
      </c>
      <c r="BT26" s="1751" t="s">
        <v>1759</v>
      </c>
      <c r="BU26" s="1751" t="s">
        <v>1759</v>
      </c>
      <c r="BV26" s="1751" t="s">
        <v>1759</v>
      </c>
      <c r="BW26" s="1751" t="s">
        <v>1759</v>
      </c>
      <c r="BX26" s="1751" t="s">
        <v>1759</v>
      </c>
      <c r="BY26" s="1751" t="s">
        <v>1760</v>
      </c>
      <c r="BZ26" s="1752" t="s">
        <v>1761</v>
      </c>
      <c r="CA26" s="1751" t="s">
        <v>1762</v>
      </c>
      <c r="CB26" s="1751" t="s">
        <v>1762</v>
      </c>
      <c r="CC26" s="1751" t="s">
        <v>1763</v>
      </c>
      <c r="CD26" s="1751" t="s">
        <v>1760</v>
      </c>
      <c r="CE26" s="1751" t="s">
        <v>1760</v>
      </c>
      <c r="CF26" s="1751" t="s">
        <v>1760</v>
      </c>
      <c r="CG26" s="1751" t="s">
        <v>1760</v>
      </c>
      <c r="CH26" s="1751" t="s">
        <v>1760</v>
      </c>
      <c r="CI26" s="1751" t="s">
        <v>1763</v>
      </c>
      <c r="CJ26" s="1751" t="s">
        <v>1763</v>
      </c>
      <c r="CK26" s="1751" t="s">
        <v>1760</v>
      </c>
      <c r="CL26" s="1751" t="s">
        <v>1760</v>
      </c>
      <c r="CM26" s="1751" t="s">
        <v>1760</v>
      </c>
      <c r="CN26" s="1751" t="s">
        <v>1763</v>
      </c>
      <c r="CO26" s="1751" t="s">
        <v>1764</v>
      </c>
      <c r="CP26" s="1751" t="s">
        <v>1764</v>
      </c>
      <c r="CQ26" s="1755" t="s">
        <v>1764</v>
      </c>
      <c r="CR26" s="1778" t="s">
        <v>1764</v>
      </c>
      <c r="CS26" s="1778" t="s">
        <v>1764</v>
      </c>
      <c r="CT26" s="1778" t="s">
        <v>1764</v>
      </c>
      <c r="CU26" s="1778" t="s">
        <v>1764</v>
      </c>
      <c r="CV26" s="1778" t="s">
        <v>1764</v>
      </c>
      <c r="CW26" s="1778" t="s">
        <v>1765</v>
      </c>
      <c r="CX26" s="1778" t="s">
        <v>1760</v>
      </c>
      <c r="CY26" s="1778" t="s">
        <v>1766</v>
      </c>
      <c r="CZ26" s="1778" t="s">
        <v>1760</v>
      </c>
      <c r="DA26" s="1778" t="s">
        <v>1760</v>
      </c>
      <c r="DB26" s="1778" t="s">
        <v>1760</v>
      </c>
      <c r="DC26" s="1779" t="s">
        <v>1760</v>
      </c>
      <c r="DD26" s="1779" t="s">
        <v>1760</v>
      </c>
      <c r="DE26" s="1779" t="s">
        <v>1760</v>
      </c>
    </row>
    <row r="27" spans="1:111" ht="17.45" customHeight="1">
      <c r="A27" s="1733" t="s">
        <v>1450</v>
      </c>
      <c r="B27" s="1757"/>
      <c r="C27" s="1758"/>
      <c r="D27" s="1758"/>
      <c r="E27" s="1758"/>
      <c r="F27" s="1757"/>
      <c r="G27" s="1758"/>
      <c r="H27" s="1758"/>
      <c r="I27" s="1758"/>
      <c r="J27" s="1758"/>
      <c r="K27" s="1758"/>
      <c r="L27" s="1758"/>
      <c r="M27" s="1758"/>
      <c r="N27" s="1757"/>
      <c r="O27" s="1758"/>
      <c r="P27" s="1758"/>
      <c r="Q27" s="1757"/>
      <c r="R27" s="1758"/>
      <c r="S27" s="1758"/>
      <c r="T27" s="1759"/>
      <c r="U27" s="1759"/>
      <c r="V27" s="1759"/>
      <c r="W27" s="1759"/>
      <c r="X27" s="1759"/>
      <c r="Y27" s="1759"/>
      <c r="Z27" s="1759"/>
      <c r="AA27" s="1759"/>
      <c r="AB27" s="1759"/>
      <c r="AC27" s="1759"/>
      <c r="AD27" s="1759"/>
      <c r="AE27" s="1759"/>
      <c r="AF27" s="1759"/>
      <c r="AG27" s="1759"/>
      <c r="AH27" s="1759"/>
      <c r="AI27" s="1759"/>
      <c r="AJ27" s="1759"/>
      <c r="AK27" s="1759"/>
      <c r="AL27" s="1759"/>
      <c r="AM27" s="1759"/>
      <c r="AN27" s="1759"/>
      <c r="AO27" s="1759"/>
      <c r="AP27" s="1759"/>
      <c r="AQ27" s="1759"/>
      <c r="AR27" s="1759"/>
      <c r="AS27" s="1759"/>
      <c r="AT27" s="1759"/>
      <c r="AU27" s="1759"/>
      <c r="AV27" s="1759"/>
      <c r="AW27" s="1759"/>
      <c r="AX27" s="1759"/>
      <c r="AY27" s="1759"/>
      <c r="AZ27" s="1759"/>
      <c r="BA27" s="1759"/>
      <c r="BB27" s="1759"/>
      <c r="BC27" s="1759"/>
      <c r="BD27" s="1759"/>
      <c r="BE27" s="1759"/>
      <c r="BF27" s="1759"/>
      <c r="BG27" s="1759"/>
      <c r="BH27" s="1759"/>
      <c r="BI27" s="1759"/>
      <c r="BJ27" s="1759"/>
      <c r="BK27" s="1759"/>
      <c r="BL27" s="1759"/>
      <c r="BM27" s="1759"/>
      <c r="BN27" s="1759"/>
      <c r="BO27" s="1759"/>
      <c r="BP27" s="1759"/>
      <c r="BQ27" s="1759"/>
      <c r="BR27" s="1759"/>
      <c r="BS27" s="1759"/>
      <c r="BT27" s="1759"/>
      <c r="BU27" s="1759"/>
      <c r="BV27" s="1759"/>
      <c r="BW27" s="1759"/>
      <c r="BX27" s="1759"/>
      <c r="BY27" s="1759"/>
      <c r="BZ27" s="1760"/>
      <c r="CA27" s="1759"/>
      <c r="CB27" s="1759"/>
      <c r="CC27" s="1759"/>
      <c r="CD27" s="1759"/>
      <c r="CE27" s="1759"/>
      <c r="CF27" s="1759"/>
      <c r="CG27" s="1759"/>
      <c r="CH27" s="1759"/>
      <c r="CI27" s="1759"/>
      <c r="CJ27" s="1759"/>
      <c r="CK27" s="1759"/>
      <c r="CL27" s="1759"/>
      <c r="CM27" s="1759"/>
      <c r="CN27" s="1759"/>
      <c r="CO27" s="1759"/>
      <c r="CP27" s="1759"/>
      <c r="CQ27" s="1755"/>
      <c r="CR27" s="1774"/>
      <c r="CS27" s="1774"/>
      <c r="CT27" s="1774"/>
      <c r="CU27" s="1774"/>
      <c r="CV27" s="1774"/>
      <c r="CW27" s="1774"/>
      <c r="CX27" s="1774"/>
      <c r="CY27" s="1774"/>
      <c r="CZ27" s="1774"/>
      <c r="DA27" s="1774"/>
      <c r="DB27" s="1774"/>
      <c r="DC27" s="1775"/>
      <c r="DD27" s="1775"/>
      <c r="DE27" s="1775"/>
    </row>
    <row r="28" spans="1:111" ht="17.45" customHeight="1">
      <c r="A28" s="1766" t="s">
        <v>1767</v>
      </c>
      <c r="B28" s="1767" t="s">
        <v>1768</v>
      </c>
      <c r="C28" s="1768" t="s">
        <v>1769</v>
      </c>
      <c r="D28" s="1768" t="s">
        <v>1770</v>
      </c>
      <c r="E28" s="1768" t="s">
        <v>1770</v>
      </c>
      <c r="F28" s="1767" t="s">
        <v>1770</v>
      </c>
      <c r="G28" s="1768" t="s">
        <v>1770</v>
      </c>
      <c r="H28" s="1768" t="s">
        <v>1770</v>
      </c>
      <c r="I28" s="1768" t="s">
        <v>1770</v>
      </c>
      <c r="J28" s="1768" t="s">
        <v>1768</v>
      </c>
      <c r="K28" s="1768" t="s">
        <v>1770</v>
      </c>
      <c r="L28" s="1768" t="s">
        <v>1488</v>
      </c>
      <c r="M28" s="1768" t="s">
        <v>1488</v>
      </c>
      <c r="N28" s="1767" t="s">
        <v>1488</v>
      </c>
      <c r="O28" s="1768" t="s">
        <v>1488</v>
      </c>
      <c r="P28" s="1768" t="s">
        <v>1488</v>
      </c>
      <c r="Q28" s="1767" t="s">
        <v>1488</v>
      </c>
      <c r="R28" s="1768" t="s">
        <v>1488</v>
      </c>
      <c r="S28" s="1768" t="s">
        <v>1488</v>
      </c>
      <c r="T28" s="1769" t="s">
        <v>1769</v>
      </c>
      <c r="U28" s="1769" t="s">
        <v>1769</v>
      </c>
      <c r="V28" s="1769" t="s">
        <v>1769</v>
      </c>
      <c r="W28" s="1769" t="s">
        <v>1769</v>
      </c>
      <c r="X28" s="1769" t="s">
        <v>1769</v>
      </c>
      <c r="Y28" s="1769" t="s">
        <v>1769</v>
      </c>
      <c r="Z28" s="1769" t="s">
        <v>1769</v>
      </c>
      <c r="AA28" s="1769" t="s">
        <v>1771</v>
      </c>
      <c r="AB28" s="1769" t="s">
        <v>1772</v>
      </c>
      <c r="AC28" s="1769" t="s">
        <v>1772</v>
      </c>
      <c r="AD28" s="1769" t="s">
        <v>1772</v>
      </c>
      <c r="AE28" s="1769" t="s">
        <v>1772</v>
      </c>
      <c r="AF28" s="1769" t="s">
        <v>1772</v>
      </c>
      <c r="AG28" s="1769" t="s">
        <v>1773</v>
      </c>
      <c r="AH28" s="1769" t="s">
        <v>1774</v>
      </c>
      <c r="AI28" s="1769" t="s">
        <v>1775</v>
      </c>
      <c r="AJ28" s="1769" t="s">
        <v>1776</v>
      </c>
      <c r="AK28" s="1769" t="s">
        <v>1776</v>
      </c>
      <c r="AL28" s="1769" t="s">
        <v>1776</v>
      </c>
      <c r="AM28" s="1769" t="s">
        <v>1775</v>
      </c>
      <c r="AN28" s="1769" t="s">
        <v>1775</v>
      </c>
      <c r="AO28" s="1769" t="s">
        <v>1775</v>
      </c>
      <c r="AP28" s="1769" t="s">
        <v>1777</v>
      </c>
      <c r="AQ28" s="1769" t="s">
        <v>1778</v>
      </c>
      <c r="AR28" s="1769" t="s">
        <v>1779</v>
      </c>
      <c r="AS28" s="1769" t="s">
        <v>1779</v>
      </c>
      <c r="AT28" s="1769" t="s">
        <v>1779</v>
      </c>
      <c r="AU28" s="1769" t="s">
        <v>1780</v>
      </c>
      <c r="AV28" s="1769" t="s">
        <v>1780</v>
      </c>
      <c r="AW28" s="1769" t="s">
        <v>1780</v>
      </c>
      <c r="AX28" s="1769" t="s">
        <v>1780</v>
      </c>
      <c r="AY28" s="1769" t="s">
        <v>1780</v>
      </c>
      <c r="AZ28" s="1769" t="s">
        <v>1780</v>
      </c>
      <c r="BA28" s="1769" t="s">
        <v>1780</v>
      </c>
      <c r="BB28" s="1769" t="s">
        <v>1780</v>
      </c>
      <c r="BC28" s="1769" t="s">
        <v>1780</v>
      </c>
      <c r="BD28" s="1769" t="s">
        <v>1780</v>
      </c>
      <c r="BE28" s="1769" t="s">
        <v>1780</v>
      </c>
      <c r="BF28" s="1769" t="s">
        <v>1780</v>
      </c>
      <c r="BG28" s="1769" t="s">
        <v>1780</v>
      </c>
      <c r="BH28" s="1769" t="s">
        <v>1780</v>
      </c>
      <c r="BI28" s="1769" t="s">
        <v>1780</v>
      </c>
      <c r="BJ28" s="1769" t="s">
        <v>1780</v>
      </c>
      <c r="BK28" s="1769" t="s">
        <v>1780</v>
      </c>
      <c r="BL28" s="1769" t="s">
        <v>1780</v>
      </c>
      <c r="BM28" s="1769" t="s">
        <v>1781</v>
      </c>
      <c r="BN28" s="1769" t="s">
        <v>1782</v>
      </c>
      <c r="BO28" s="1769" t="s">
        <v>1782</v>
      </c>
      <c r="BP28" s="1769" t="s">
        <v>1782</v>
      </c>
      <c r="BQ28" s="1769" t="s">
        <v>1782</v>
      </c>
      <c r="BR28" s="1769" t="s">
        <v>1782</v>
      </c>
      <c r="BS28" s="1769" t="s">
        <v>1782</v>
      </c>
      <c r="BT28" s="1769" t="s">
        <v>1782</v>
      </c>
      <c r="BU28" s="1769" t="s">
        <v>1782</v>
      </c>
      <c r="BV28" s="1769" t="s">
        <v>1782</v>
      </c>
      <c r="BW28" s="1769" t="s">
        <v>1782</v>
      </c>
      <c r="BX28" s="1769" t="s">
        <v>1782</v>
      </c>
      <c r="BY28" s="1769" t="s">
        <v>1782</v>
      </c>
      <c r="BZ28" s="1770" t="s">
        <v>1782</v>
      </c>
      <c r="CA28" s="1769" t="s">
        <v>1783</v>
      </c>
      <c r="CB28" s="1769" t="s">
        <v>1783</v>
      </c>
      <c r="CC28" s="1769" t="s">
        <v>1783</v>
      </c>
      <c r="CD28" s="1769" t="s">
        <v>1782</v>
      </c>
      <c r="CE28" s="1769" t="s">
        <v>1782</v>
      </c>
      <c r="CF28" s="1769" t="s">
        <v>1782</v>
      </c>
      <c r="CG28" s="1769" t="s">
        <v>1784</v>
      </c>
      <c r="CH28" s="1769" t="s">
        <v>1785</v>
      </c>
      <c r="CI28" s="1769" t="s">
        <v>1785</v>
      </c>
      <c r="CJ28" s="1769" t="s">
        <v>1785</v>
      </c>
      <c r="CK28" s="1769" t="s">
        <v>1786</v>
      </c>
      <c r="CL28" s="1769" t="s">
        <v>1786</v>
      </c>
      <c r="CM28" s="1769" t="s">
        <v>1786</v>
      </c>
      <c r="CN28" s="1769" t="s">
        <v>1787</v>
      </c>
      <c r="CO28" s="1769" t="s">
        <v>1787</v>
      </c>
      <c r="CP28" s="1769" t="s">
        <v>1788</v>
      </c>
      <c r="CQ28" s="1755" t="s">
        <v>1787</v>
      </c>
      <c r="CR28" s="1778" t="s">
        <v>1789</v>
      </c>
      <c r="CS28" s="1778" t="s">
        <v>1790</v>
      </c>
      <c r="CT28" s="1778" t="s">
        <v>1790</v>
      </c>
      <c r="CU28" s="1778" t="s">
        <v>1790</v>
      </c>
      <c r="CV28" s="1778" t="s">
        <v>1790</v>
      </c>
      <c r="CW28" s="1778" t="s">
        <v>1790</v>
      </c>
      <c r="CX28" s="1778" t="s">
        <v>1790</v>
      </c>
      <c r="CY28" s="1778" t="s">
        <v>1790</v>
      </c>
      <c r="CZ28" s="1778" t="s">
        <v>1790</v>
      </c>
      <c r="DA28" s="1778" t="s">
        <v>1790</v>
      </c>
      <c r="DB28" s="1778" t="s">
        <v>1790</v>
      </c>
      <c r="DC28" s="1779" t="s">
        <v>1790</v>
      </c>
      <c r="DD28" s="1779" t="s">
        <v>1791</v>
      </c>
      <c r="DE28" s="1779" t="s">
        <v>1791</v>
      </c>
    </row>
    <row r="29" spans="1:111" ht="17.45" customHeight="1">
      <c r="A29" s="1733" t="s">
        <v>1792</v>
      </c>
      <c r="B29" s="1749" t="s">
        <v>1486</v>
      </c>
      <c r="C29" s="1750" t="s">
        <v>1793</v>
      </c>
      <c r="D29" s="1750" t="s">
        <v>1793</v>
      </c>
      <c r="E29" s="1750" t="s">
        <v>1793</v>
      </c>
      <c r="F29" s="1749" t="s">
        <v>1793</v>
      </c>
      <c r="G29" s="1750" t="s">
        <v>1794</v>
      </c>
      <c r="H29" s="1750" t="s">
        <v>1794</v>
      </c>
      <c r="I29" s="1750" t="s">
        <v>1794</v>
      </c>
      <c r="J29" s="1750" t="s">
        <v>1794</v>
      </c>
      <c r="K29" s="1750" t="s">
        <v>1794</v>
      </c>
      <c r="L29" s="1750" t="s">
        <v>1795</v>
      </c>
      <c r="M29" s="1750" t="s">
        <v>1794</v>
      </c>
      <c r="N29" s="1749" t="s">
        <v>1796</v>
      </c>
      <c r="O29" s="1750" t="s">
        <v>1796</v>
      </c>
      <c r="P29" s="1750" t="s">
        <v>1797</v>
      </c>
      <c r="Q29" s="1749" t="s">
        <v>1797</v>
      </c>
      <c r="R29" s="1750" t="s">
        <v>1797</v>
      </c>
      <c r="S29" s="1750" t="s">
        <v>1797</v>
      </c>
      <c r="T29" s="1751" t="s">
        <v>1797</v>
      </c>
      <c r="U29" s="1751" t="s">
        <v>1798</v>
      </c>
      <c r="V29" s="1751" t="s">
        <v>1798</v>
      </c>
      <c r="W29" s="1751" t="s">
        <v>1798</v>
      </c>
      <c r="X29" s="1751" t="s">
        <v>1799</v>
      </c>
      <c r="Y29" s="1751" t="s">
        <v>1684</v>
      </c>
      <c r="Z29" s="1751" t="s">
        <v>1800</v>
      </c>
      <c r="AA29" s="1751" t="s">
        <v>1801</v>
      </c>
      <c r="AB29" s="1751" t="s">
        <v>1802</v>
      </c>
      <c r="AC29" s="1751" t="s">
        <v>1803</v>
      </c>
      <c r="AD29" s="1751" t="s">
        <v>1804</v>
      </c>
      <c r="AE29" s="1751" t="s">
        <v>1804</v>
      </c>
      <c r="AF29" s="1751" t="s">
        <v>1804</v>
      </c>
      <c r="AG29" s="1751" t="s">
        <v>1805</v>
      </c>
      <c r="AH29" s="1751" t="s">
        <v>1806</v>
      </c>
      <c r="AI29" s="1751" t="s">
        <v>1807</v>
      </c>
      <c r="AJ29" s="1751" t="s">
        <v>1808</v>
      </c>
      <c r="AK29" s="1751" t="s">
        <v>1808</v>
      </c>
      <c r="AL29" s="1751" t="s">
        <v>1809</v>
      </c>
      <c r="AM29" s="1751" t="s">
        <v>1806</v>
      </c>
      <c r="AN29" s="1751" t="s">
        <v>1806</v>
      </c>
      <c r="AO29" s="1751" t="s">
        <v>1546</v>
      </c>
      <c r="AP29" s="1751" t="s">
        <v>1546</v>
      </c>
      <c r="AQ29" s="1751" t="s">
        <v>1810</v>
      </c>
      <c r="AR29" s="1751" t="s">
        <v>1810</v>
      </c>
      <c r="AS29" s="1751" t="s">
        <v>1565</v>
      </c>
      <c r="AT29" s="1751" t="s">
        <v>1701</v>
      </c>
      <c r="AU29" s="1751" t="s">
        <v>1811</v>
      </c>
      <c r="AV29" s="1751" t="s">
        <v>1811</v>
      </c>
      <c r="AW29" s="1751" t="s">
        <v>1812</v>
      </c>
      <c r="AX29" s="1751" t="s">
        <v>1711</v>
      </c>
      <c r="AY29" s="1751" t="s">
        <v>1711</v>
      </c>
      <c r="AZ29" s="1751" t="s">
        <v>1813</v>
      </c>
      <c r="BA29" s="1751" t="s">
        <v>1814</v>
      </c>
      <c r="BB29" s="1751" t="s">
        <v>1814</v>
      </c>
      <c r="BC29" s="1751" t="s">
        <v>1814</v>
      </c>
      <c r="BD29" s="1751" t="s">
        <v>1815</v>
      </c>
      <c r="BE29" s="1751" t="s">
        <v>1815</v>
      </c>
      <c r="BF29" s="1751" t="s">
        <v>1815</v>
      </c>
      <c r="BG29" s="1751" t="s">
        <v>1815</v>
      </c>
      <c r="BH29" s="1751" t="s">
        <v>1816</v>
      </c>
      <c r="BI29" s="1751" t="s">
        <v>1816</v>
      </c>
      <c r="BJ29" s="1751" t="s">
        <v>1816</v>
      </c>
      <c r="BK29" s="1751" t="s">
        <v>1816</v>
      </c>
      <c r="BL29" s="1751" t="s">
        <v>1816</v>
      </c>
      <c r="BM29" s="1751" t="s">
        <v>1817</v>
      </c>
      <c r="BN29" s="1751" t="s">
        <v>1817</v>
      </c>
      <c r="BO29" s="1751" t="s">
        <v>1817</v>
      </c>
      <c r="BP29" s="1751" t="s">
        <v>1817</v>
      </c>
      <c r="BQ29" s="1751" t="s">
        <v>1817</v>
      </c>
      <c r="BR29" s="1751" t="s">
        <v>1817</v>
      </c>
      <c r="BS29" s="1751" t="s">
        <v>1710</v>
      </c>
      <c r="BT29" s="1751" t="s">
        <v>1710</v>
      </c>
      <c r="BU29" s="1751" t="s">
        <v>1818</v>
      </c>
      <c r="BV29" s="1751" t="s">
        <v>1818</v>
      </c>
      <c r="BW29" s="1751" t="s">
        <v>1818</v>
      </c>
      <c r="BX29" s="1751" t="s">
        <v>1818</v>
      </c>
      <c r="BY29" s="1751" t="s">
        <v>1819</v>
      </c>
      <c r="BZ29" s="1752" t="s">
        <v>1820</v>
      </c>
      <c r="CA29" s="1751" t="s">
        <v>1820</v>
      </c>
      <c r="CB29" s="1751" t="s">
        <v>1821</v>
      </c>
      <c r="CC29" s="1751" t="s">
        <v>1821</v>
      </c>
      <c r="CD29" s="1751" t="s">
        <v>1822</v>
      </c>
      <c r="CE29" s="1751" t="s">
        <v>1822</v>
      </c>
      <c r="CF29" s="1751" t="s">
        <v>1823</v>
      </c>
      <c r="CG29" s="1751" t="s">
        <v>1823</v>
      </c>
      <c r="CH29" s="1751" t="s">
        <v>1823</v>
      </c>
      <c r="CI29" s="1751" t="s">
        <v>1823</v>
      </c>
      <c r="CJ29" s="1751" t="s">
        <v>1823</v>
      </c>
      <c r="CK29" s="1751" t="s">
        <v>1824</v>
      </c>
      <c r="CL29" s="1751" t="s">
        <v>1825</v>
      </c>
      <c r="CM29" s="1751" t="s">
        <v>1826</v>
      </c>
      <c r="CN29" s="1751" t="s">
        <v>1826</v>
      </c>
      <c r="CO29" s="1751" t="s">
        <v>1827</v>
      </c>
      <c r="CP29" s="1751" t="s">
        <v>1828</v>
      </c>
      <c r="CQ29" s="1755" t="s">
        <v>1829</v>
      </c>
      <c r="CR29" s="1778" t="s">
        <v>1830</v>
      </c>
      <c r="CS29" s="1778" t="s">
        <v>1831</v>
      </c>
      <c r="CT29" s="1778" t="s">
        <v>1832</v>
      </c>
      <c r="CU29" s="1778" t="s">
        <v>1833</v>
      </c>
      <c r="CV29" s="1778" t="s">
        <v>1834</v>
      </c>
      <c r="CW29" s="1778" t="s">
        <v>1835</v>
      </c>
      <c r="CX29" s="1778" t="s">
        <v>1836</v>
      </c>
      <c r="CY29" s="1778" t="s">
        <v>1831</v>
      </c>
      <c r="CZ29" s="1778" t="s">
        <v>1837</v>
      </c>
      <c r="DA29" s="1778" t="s">
        <v>1838</v>
      </c>
      <c r="DB29" s="1778" t="s">
        <v>1839</v>
      </c>
      <c r="DC29" s="1779" t="s">
        <v>1840</v>
      </c>
      <c r="DD29" s="1779" t="s">
        <v>1841</v>
      </c>
      <c r="DE29" s="1779" t="s">
        <v>1842</v>
      </c>
    </row>
    <row r="30" spans="1:111" ht="17.45" customHeight="1">
      <c r="A30" s="1733" t="s">
        <v>1843</v>
      </c>
      <c r="B30" s="1749" t="s">
        <v>1488</v>
      </c>
      <c r="C30" s="1750" t="s">
        <v>1488</v>
      </c>
      <c r="D30" s="1750" t="s">
        <v>1488</v>
      </c>
      <c r="E30" s="1750" t="s">
        <v>1844</v>
      </c>
      <c r="F30" s="1749" t="s">
        <v>1488</v>
      </c>
      <c r="G30" s="1750" t="s">
        <v>1490</v>
      </c>
      <c r="H30" s="1750" t="s">
        <v>1845</v>
      </c>
      <c r="I30" s="1750" t="s">
        <v>1845</v>
      </c>
      <c r="J30" s="1750" t="s">
        <v>1845</v>
      </c>
      <c r="K30" s="1750" t="s">
        <v>1845</v>
      </c>
      <c r="L30" s="1750" t="s">
        <v>1845</v>
      </c>
      <c r="M30" s="1750" t="s">
        <v>1845</v>
      </c>
      <c r="N30" s="1749" t="s">
        <v>1846</v>
      </c>
      <c r="O30" s="1750" t="s">
        <v>1847</v>
      </c>
      <c r="P30" s="1750" t="s">
        <v>1848</v>
      </c>
      <c r="Q30" s="1749" t="s">
        <v>1563</v>
      </c>
      <c r="R30" s="1750" t="s">
        <v>1849</v>
      </c>
      <c r="S30" s="1750" t="s">
        <v>1850</v>
      </c>
      <c r="T30" s="1751" t="s">
        <v>1851</v>
      </c>
      <c r="U30" s="1751" t="s">
        <v>1851</v>
      </c>
      <c r="V30" s="1751" t="s">
        <v>1851</v>
      </c>
      <c r="W30" s="1751" t="s">
        <v>1851</v>
      </c>
      <c r="X30" s="1751" t="s">
        <v>1852</v>
      </c>
      <c r="Y30" s="1751" t="s">
        <v>1853</v>
      </c>
      <c r="Z30" s="1751" t="s">
        <v>1854</v>
      </c>
      <c r="AA30" s="1751" t="s">
        <v>1692</v>
      </c>
      <c r="AB30" s="1751" t="s">
        <v>1692</v>
      </c>
      <c r="AC30" s="1751" t="s">
        <v>1855</v>
      </c>
      <c r="AD30" s="1751" t="s">
        <v>1691</v>
      </c>
      <c r="AE30" s="1751" t="s">
        <v>1851</v>
      </c>
      <c r="AF30" s="1751" t="s">
        <v>1856</v>
      </c>
      <c r="AG30" s="1751" t="s">
        <v>1855</v>
      </c>
      <c r="AH30" s="1751" t="s">
        <v>1857</v>
      </c>
      <c r="AI30" s="1751" t="s">
        <v>1858</v>
      </c>
      <c r="AJ30" s="1751" t="s">
        <v>1859</v>
      </c>
      <c r="AK30" s="1751" t="s">
        <v>1860</v>
      </c>
      <c r="AL30" s="1751" t="s">
        <v>1861</v>
      </c>
      <c r="AM30" s="1751" t="s">
        <v>1862</v>
      </c>
      <c r="AN30" s="1751" t="s">
        <v>1862</v>
      </c>
      <c r="AO30" s="1751" t="s">
        <v>1862</v>
      </c>
      <c r="AP30" s="1751" t="s">
        <v>1863</v>
      </c>
      <c r="AQ30" s="1751" t="s">
        <v>1864</v>
      </c>
      <c r="AR30" s="1751" t="s">
        <v>1864</v>
      </c>
      <c r="AS30" s="1751" t="s">
        <v>1865</v>
      </c>
      <c r="AT30" s="1751" t="s">
        <v>1866</v>
      </c>
      <c r="AU30" s="1751" t="s">
        <v>1701</v>
      </c>
      <c r="AV30" s="1751" t="s">
        <v>1701</v>
      </c>
      <c r="AW30" s="1751" t="s">
        <v>1701</v>
      </c>
      <c r="AX30" s="1751" t="s">
        <v>1701</v>
      </c>
      <c r="AY30" s="1751" t="s">
        <v>1701</v>
      </c>
      <c r="AZ30" s="1751" t="s">
        <v>1701</v>
      </c>
      <c r="BA30" s="1751" t="s">
        <v>1701</v>
      </c>
      <c r="BB30" s="1751" t="s">
        <v>1701</v>
      </c>
      <c r="BC30" s="1751" t="s">
        <v>1701</v>
      </c>
      <c r="BD30" s="1751" t="s">
        <v>1701</v>
      </c>
      <c r="BE30" s="1751" t="s">
        <v>1701</v>
      </c>
      <c r="BF30" s="1751" t="s">
        <v>1701</v>
      </c>
      <c r="BG30" s="1751" t="s">
        <v>1701</v>
      </c>
      <c r="BH30" s="1751" t="s">
        <v>1701</v>
      </c>
      <c r="BI30" s="1751" t="s">
        <v>1701</v>
      </c>
      <c r="BJ30" s="1751" t="s">
        <v>1701</v>
      </c>
      <c r="BK30" s="1751" t="s">
        <v>1701</v>
      </c>
      <c r="BL30" s="1751" t="s">
        <v>1701</v>
      </c>
      <c r="BM30" s="1751" t="s">
        <v>1867</v>
      </c>
      <c r="BN30" s="1751" t="s">
        <v>1867</v>
      </c>
      <c r="BO30" s="1751" t="s">
        <v>1867</v>
      </c>
      <c r="BP30" s="1751" t="s">
        <v>1867</v>
      </c>
      <c r="BQ30" s="1751" t="s">
        <v>1867</v>
      </c>
      <c r="BR30" s="1751" t="s">
        <v>1867</v>
      </c>
      <c r="BS30" s="1751" t="s">
        <v>1868</v>
      </c>
      <c r="BT30" s="1751" t="s">
        <v>1868</v>
      </c>
      <c r="BU30" s="1751" t="s">
        <v>1868</v>
      </c>
      <c r="BV30" s="1751" t="s">
        <v>1868</v>
      </c>
      <c r="BW30" s="1751" t="s">
        <v>1769</v>
      </c>
      <c r="BX30" s="1751" t="s">
        <v>1769</v>
      </c>
      <c r="BY30" s="1751" t="s">
        <v>1869</v>
      </c>
      <c r="BZ30" s="1752" t="s">
        <v>1870</v>
      </c>
      <c r="CA30" s="1751" t="s">
        <v>1871</v>
      </c>
      <c r="CB30" s="1751" t="s">
        <v>1872</v>
      </c>
      <c r="CC30" s="1751" t="s">
        <v>1873</v>
      </c>
      <c r="CD30" s="1751" t="s">
        <v>1720</v>
      </c>
      <c r="CE30" s="1751" t="s">
        <v>1874</v>
      </c>
      <c r="CF30" s="1751" t="s">
        <v>1716</v>
      </c>
      <c r="CG30" s="1751" t="s">
        <v>1717</v>
      </c>
      <c r="CH30" s="1751" t="s">
        <v>1875</v>
      </c>
      <c r="CI30" s="1751" t="s">
        <v>1717</v>
      </c>
      <c r="CJ30" s="1751" t="s">
        <v>1717</v>
      </c>
      <c r="CK30" s="1751" t="s">
        <v>1716</v>
      </c>
      <c r="CL30" s="1751" t="s">
        <v>1716</v>
      </c>
      <c r="CM30" s="1751" t="s">
        <v>1876</v>
      </c>
      <c r="CN30" s="1751" t="s">
        <v>1718</v>
      </c>
      <c r="CO30" s="1751" t="s">
        <v>1877</v>
      </c>
      <c r="CP30" s="1751" t="s">
        <v>1878</v>
      </c>
      <c r="CQ30" s="1755" t="s">
        <v>1879</v>
      </c>
      <c r="CR30" s="1778" t="s">
        <v>1880</v>
      </c>
      <c r="CS30" s="1778" t="s">
        <v>1881</v>
      </c>
      <c r="CT30" s="1778" t="s">
        <v>1882</v>
      </c>
      <c r="CU30" s="1778" t="s">
        <v>1883</v>
      </c>
      <c r="CV30" s="1778" t="s">
        <v>1884</v>
      </c>
      <c r="CW30" s="1778" t="s">
        <v>1885</v>
      </c>
      <c r="CX30" s="1778" t="s">
        <v>1886</v>
      </c>
      <c r="CY30" s="1778" t="s">
        <v>1883</v>
      </c>
      <c r="CZ30" s="1778" t="s">
        <v>1886</v>
      </c>
      <c r="DA30" s="1778" t="s">
        <v>1887</v>
      </c>
      <c r="DB30" s="1778" t="s">
        <v>1888</v>
      </c>
      <c r="DC30" s="1779" t="s">
        <v>1889</v>
      </c>
      <c r="DD30" s="1779" t="s">
        <v>1890</v>
      </c>
      <c r="DE30" s="1779" t="s">
        <v>1891</v>
      </c>
    </row>
    <row r="31" spans="1:111" ht="17.45" customHeight="1">
      <c r="A31" s="1733" t="s">
        <v>1892</v>
      </c>
      <c r="B31" s="1749" t="s">
        <v>1404</v>
      </c>
      <c r="C31" s="1750" t="s">
        <v>1404</v>
      </c>
      <c r="D31" s="1750" t="s">
        <v>1404</v>
      </c>
      <c r="E31" s="1750" t="s">
        <v>1404</v>
      </c>
      <c r="F31" s="1749" t="s">
        <v>1404</v>
      </c>
      <c r="G31" s="1750" t="s">
        <v>1404</v>
      </c>
      <c r="H31" s="1750" t="s">
        <v>1404</v>
      </c>
      <c r="I31" s="1750" t="s">
        <v>1404</v>
      </c>
      <c r="J31" s="1750" t="s">
        <v>1404</v>
      </c>
      <c r="K31" s="1750" t="s">
        <v>1404</v>
      </c>
      <c r="L31" s="1750" t="s">
        <v>1404</v>
      </c>
      <c r="M31" s="1750" t="s">
        <v>1404</v>
      </c>
      <c r="N31" s="1749" t="s">
        <v>1404</v>
      </c>
      <c r="O31" s="1750" t="s">
        <v>1404</v>
      </c>
      <c r="P31" s="1750" t="s">
        <v>1893</v>
      </c>
      <c r="Q31" s="1749" t="s">
        <v>1894</v>
      </c>
      <c r="R31" s="1750" t="s">
        <v>1895</v>
      </c>
      <c r="S31" s="1750" t="s">
        <v>1404</v>
      </c>
      <c r="T31" s="1751" t="s">
        <v>1404</v>
      </c>
      <c r="U31" s="1751" t="s">
        <v>1404</v>
      </c>
      <c r="V31" s="1751" t="s">
        <v>1404</v>
      </c>
      <c r="W31" s="1751" t="s">
        <v>1896</v>
      </c>
      <c r="X31" s="1751" t="s">
        <v>1404</v>
      </c>
      <c r="Y31" s="1751" t="s">
        <v>1897</v>
      </c>
      <c r="Z31" s="1751" t="s">
        <v>1897</v>
      </c>
      <c r="AA31" s="1751" t="s">
        <v>1404</v>
      </c>
      <c r="AB31" s="1751" t="s">
        <v>1897</v>
      </c>
      <c r="AC31" s="1751" t="s">
        <v>1499</v>
      </c>
      <c r="AD31" s="1751" t="s">
        <v>1499</v>
      </c>
      <c r="AE31" s="1751" t="s">
        <v>1495</v>
      </c>
      <c r="AF31" s="1751" t="s">
        <v>1898</v>
      </c>
      <c r="AG31" s="1751" t="s">
        <v>1899</v>
      </c>
      <c r="AH31" s="1751" t="s">
        <v>1900</v>
      </c>
      <c r="AI31" s="1751" t="s">
        <v>1901</v>
      </c>
      <c r="AJ31" s="1751" t="s">
        <v>1902</v>
      </c>
      <c r="AK31" s="1751" t="s">
        <v>1610</v>
      </c>
      <c r="AL31" s="1751" t="s">
        <v>1903</v>
      </c>
      <c r="AM31" s="1751" t="s">
        <v>1904</v>
      </c>
      <c r="AN31" s="1751" t="s">
        <v>1905</v>
      </c>
      <c r="AO31" s="1751" t="s">
        <v>1486</v>
      </c>
      <c r="AP31" s="1751" t="s">
        <v>1906</v>
      </c>
      <c r="AQ31" s="1751" t="s">
        <v>1907</v>
      </c>
      <c r="AR31" s="1751" t="s">
        <v>1907</v>
      </c>
      <c r="AS31" s="1751" t="s">
        <v>1907</v>
      </c>
      <c r="AT31" s="1751" t="s">
        <v>1908</v>
      </c>
      <c r="AU31" s="1751" t="s">
        <v>1701</v>
      </c>
      <c r="AV31" s="1751" t="s">
        <v>1701</v>
      </c>
      <c r="AW31" s="1751" t="s">
        <v>1701</v>
      </c>
      <c r="AX31" s="1751" t="s">
        <v>1701</v>
      </c>
      <c r="AY31" s="1751" t="s">
        <v>1701</v>
      </c>
      <c r="AZ31" s="1751" t="s">
        <v>1701</v>
      </c>
      <c r="BA31" s="1751" t="s">
        <v>1701</v>
      </c>
      <c r="BB31" s="1751" t="s">
        <v>1701</v>
      </c>
      <c r="BC31" s="1751" t="s">
        <v>1701</v>
      </c>
      <c r="BD31" s="1751" t="s">
        <v>1701</v>
      </c>
      <c r="BE31" s="1751" t="s">
        <v>1701</v>
      </c>
      <c r="BF31" s="1751" t="s">
        <v>1701</v>
      </c>
      <c r="BG31" s="1751" t="s">
        <v>1701</v>
      </c>
      <c r="BH31" s="1751" t="s">
        <v>1701</v>
      </c>
      <c r="BI31" s="1751" t="s">
        <v>1769</v>
      </c>
      <c r="BJ31" s="1751" t="s">
        <v>1769</v>
      </c>
      <c r="BK31" s="1751" t="s">
        <v>1769</v>
      </c>
      <c r="BL31" s="1751" t="s">
        <v>1769</v>
      </c>
      <c r="BM31" s="1751" t="s">
        <v>1867</v>
      </c>
      <c r="BN31" s="1751" t="s">
        <v>1867</v>
      </c>
      <c r="BO31" s="1751" t="s">
        <v>1867</v>
      </c>
      <c r="BP31" s="1751" t="s">
        <v>1867</v>
      </c>
      <c r="BQ31" s="1751" t="s">
        <v>1867</v>
      </c>
      <c r="BR31" s="1751" t="s">
        <v>1867</v>
      </c>
      <c r="BS31" s="1751" t="s">
        <v>1868</v>
      </c>
      <c r="BT31" s="1751" t="s">
        <v>1868</v>
      </c>
      <c r="BU31" s="1751" t="s">
        <v>1909</v>
      </c>
      <c r="BV31" s="1751" t="s">
        <v>1909</v>
      </c>
      <c r="BW31" s="1751" t="s">
        <v>1518</v>
      </c>
      <c r="BX31" s="1751" t="s">
        <v>1910</v>
      </c>
      <c r="BY31" s="1751" t="s">
        <v>1910</v>
      </c>
      <c r="BZ31" s="1752" t="s">
        <v>1621</v>
      </c>
      <c r="CA31" s="1751" t="s">
        <v>1911</v>
      </c>
      <c r="CB31" s="1751" t="s">
        <v>1911</v>
      </c>
      <c r="CC31" s="1751" t="s">
        <v>1912</v>
      </c>
      <c r="CD31" s="1751" t="s">
        <v>1913</v>
      </c>
      <c r="CE31" s="1751" t="s">
        <v>1841</v>
      </c>
      <c r="CF31" s="1751" t="s">
        <v>1914</v>
      </c>
      <c r="CG31" s="1751" t="s">
        <v>1915</v>
      </c>
      <c r="CH31" s="1751" t="s">
        <v>1841</v>
      </c>
      <c r="CI31" s="1751" t="s">
        <v>1916</v>
      </c>
      <c r="CJ31" s="1751" t="s">
        <v>1916</v>
      </c>
      <c r="CK31" s="1751" t="s">
        <v>1917</v>
      </c>
      <c r="CL31" s="1751" t="s">
        <v>1917</v>
      </c>
      <c r="CM31" s="1751" t="s">
        <v>1918</v>
      </c>
      <c r="CN31" s="1751" t="s">
        <v>1919</v>
      </c>
      <c r="CO31" s="1751" t="s">
        <v>1920</v>
      </c>
      <c r="CP31" s="1751" t="s">
        <v>1920</v>
      </c>
      <c r="CQ31" s="1755" t="s">
        <v>1921</v>
      </c>
      <c r="CR31" s="1778" t="s">
        <v>1530</v>
      </c>
      <c r="CS31" s="1778" t="s">
        <v>1592</v>
      </c>
      <c r="CT31" s="1778" t="s">
        <v>1922</v>
      </c>
      <c r="CU31" s="1778" t="s">
        <v>1923</v>
      </c>
      <c r="CV31" s="1778" t="s">
        <v>1924</v>
      </c>
      <c r="CW31" s="1778" t="s">
        <v>1925</v>
      </c>
      <c r="CX31" s="1778" t="s">
        <v>1926</v>
      </c>
      <c r="CY31" s="1778" t="s">
        <v>1927</v>
      </c>
      <c r="CZ31" s="1778" t="s">
        <v>1928</v>
      </c>
      <c r="DA31" s="1778" t="s">
        <v>1929</v>
      </c>
      <c r="DB31" s="1778" t="s">
        <v>1930</v>
      </c>
      <c r="DC31" s="1779" t="s">
        <v>1931</v>
      </c>
      <c r="DD31" s="1779" t="s">
        <v>1932</v>
      </c>
      <c r="DE31" s="1779" t="s">
        <v>1933</v>
      </c>
    </row>
    <row r="32" spans="1:111" ht="17.45" customHeight="1">
      <c r="A32" s="1733" t="s">
        <v>1934</v>
      </c>
      <c r="B32" s="1749" t="s">
        <v>1709</v>
      </c>
      <c r="C32" s="1750" t="s">
        <v>1935</v>
      </c>
      <c r="D32" s="1750" t="s">
        <v>1936</v>
      </c>
      <c r="E32" s="1750" t="s">
        <v>1937</v>
      </c>
      <c r="F32" s="1749" t="s">
        <v>1454</v>
      </c>
      <c r="G32" s="1750" t="s">
        <v>1844</v>
      </c>
      <c r="H32" s="1750" t="s">
        <v>1868</v>
      </c>
      <c r="I32" s="1750" t="s">
        <v>1868</v>
      </c>
      <c r="J32" s="1750" t="s">
        <v>1868</v>
      </c>
      <c r="K32" s="1750" t="s">
        <v>1868</v>
      </c>
      <c r="L32" s="1750" t="s">
        <v>1868</v>
      </c>
      <c r="M32" s="1750" t="s">
        <v>1868</v>
      </c>
      <c r="N32" s="1749" t="s">
        <v>1938</v>
      </c>
      <c r="O32" s="1750" t="s">
        <v>1939</v>
      </c>
      <c r="P32" s="1750" t="s">
        <v>1939</v>
      </c>
      <c r="Q32" s="1749" t="s">
        <v>1939</v>
      </c>
      <c r="R32" s="1750" t="s">
        <v>1939</v>
      </c>
      <c r="S32" s="1750" t="s">
        <v>1939</v>
      </c>
      <c r="T32" s="1751" t="s">
        <v>1940</v>
      </c>
      <c r="U32" s="1751" t="s">
        <v>1939</v>
      </c>
      <c r="V32" s="1751" t="s">
        <v>1939</v>
      </c>
      <c r="W32" s="1751" t="s">
        <v>1939</v>
      </c>
      <c r="X32" s="1751" t="s">
        <v>1939</v>
      </c>
      <c r="Y32" s="1751" t="s">
        <v>1941</v>
      </c>
      <c r="Z32" s="1751" t="s">
        <v>1846</v>
      </c>
      <c r="AA32" s="1751" t="s">
        <v>1846</v>
      </c>
      <c r="AB32" s="1751" t="s">
        <v>1846</v>
      </c>
      <c r="AC32" s="1751" t="s">
        <v>1942</v>
      </c>
      <c r="AD32" s="1751" t="s">
        <v>1942</v>
      </c>
      <c r="AE32" s="1751" t="s">
        <v>1942</v>
      </c>
      <c r="AF32" s="1751" t="s">
        <v>1942</v>
      </c>
      <c r="AG32" s="1751" t="s">
        <v>1943</v>
      </c>
      <c r="AH32" s="1751" t="s">
        <v>1943</v>
      </c>
      <c r="AI32" s="1751" t="s">
        <v>1944</v>
      </c>
      <c r="AJ32" s="1751" t="s">
        <v>1945</v>
      </c>
      <c r="AK32" s="1751" t="s">
        <v>1945</v>
      </c>
      <c r="AL32" s="1751" t="s">
        <v>1946</v>
      </c>
      <c r="AM32" s="1751" t="s">
        <v>1947</v>
      </c>
      <c r="AN32" s="1751" t="s">
        <v>1948</v>
      </c>
      <c r="AO32" s="1751" t="s">
        <v>1948</v>
      </c>
      <c r="AP32" s="1751" t="s">
        <v>1949</v>
      </c>
      <c r="AQ32" s="1751" t="s">
        <v>1950</v>
      </c>
      <c r="AR32" s="1751" t="s">
        <v>1950</v>
      </c>
      <c r="AS32" s="1751" t="s">
        <v>1950</v>
      </c>
      <c r="AT32" s="1751" t="s">
        <v>1703</v>
      </c>
      <c r="AU32" s="1751" t="s">
        <v>1703</v>
      </c>
      <c r="AV32" s="1751" t="s">
        <v>1703</v>
      </c>
      <c r="AW32" s="1751" t="s">
        <v>1703</v>
      </c>
      <c r="AX32" s="1751" t="s">
        <v>1703</v>
      </c>
      <c r="AY32" s="1751" t="s">
        <v>1703</v>
      </c>
      <c r="AZ32" s="1751" t="s">
        <v>1703</v>
      </c>
      <c r="BA32" s="1751" t="s">
        <v>1703</v>
      </c>
      <c r="BB32" s="1751" t="s">
        <v>1703</v>
      </c>
      <c r="BC32" s="1751" t="s">
        <v>1703</v>
      </c>
      <c r="BD32" s="1751" t="s">
        <v>1703</v>
      </c>
      <c r="BE32" s="1751" t="s">
        <v>1703</v>
      </c>
      <c r="BF32" s="1751" t="s">
        <v>1703</v>
      </c>
      <c r="BG32" s="1751" t="s">
        <v>1703</v>
      </c>
      <c r="BH32" s="1751" t="s">
        <v>1703</v>
      </c>
      <c r="BI32" s="1751" t="s">
        <v>1703</v>
      </c>
      <c r="BJ32" s="1751" t="s">
        <v>1819</v>
      </c>
      <c r="BK32" s="1751" t="s">
        <v>1819</v>
      </c>
      <c r="BL32" s="1751" t="s">
        <v>1819</v>
      </c>
      <c r="BM32" s="1751" t="s">
        <v>1951</v>
      </c>
      <c r="BN32" s="1751" t="s">
        <v>1819</v>
      </c>
      <c r="BO32" s="1751" t="s">
        <v>1819</v>
      </c>
      <c r="BP32" s="1751" t="s">
        <v>1709</v>
      </c>
      <c r="BQ32" s="1751" t="s">
        <v>1709</v>
      </c>
      <c r="BR32" s="1751" t="s">
        <v>1709</v>
      </c>
      <c r="BS32" s="1751" t="s">
        <v>1710</v>
      </c>
      <c r="BT32" s="1751" t="s">
        <v>1710</v>
      </c>
      <c r="BU32" s="1751" t="s">
        <v>1819</v>
      </c>
      <c r="BV32" s="1751" t="s">
        <v>1819</v>
      </c>
      <c r="BW32" s="1751" t="s">
        <v>1460</v>
      </c>
      <c r="BX32" s="1751" t="s">
        <v>1418</v>
      </c>
      <c r="BY32" s="1751" t="s">
        <v>1418</v>
      </c>
      <c r="BZ32" s="1752" t="s">
        <v>1418</v>
      </c>
      <c r="CA32" s="1751" t="s">
        <v>1418</v>
      </c>
      <c r="CB32" s="1751" t="s">
        <v>1418</v>
      </c>
      <c r="CC32" s="1751" t="s">
        <v>1418</v>
      </c>
      <c r="CD32" s="1751" t="s">
        <v>1952</v>
      </c>
      <c r="CE32" s="1751" t="s">
        <v>1952</v>
      </c>
      <c r="CF32" s="1751" t="s">
        <v>1953</v>
      </c>
      <c r="CG32" s="1751" t="s">
        <v>1953</v>
      </c>
      <c r="CH32" s="1751" t="s">
        <v>1953</v>
      </c>
      <c r="CI32" s="1751" t="s">
        <v>1953</v>
      </c>
      <c r="CJ32" s="1751" t="s">
        <v>1954</v>
      </c>
      <c r="CK32" s="1751" t="s">
        <v>1955</v>
      </c>
      <c r="CL32" s="1751" t="s">
        <v>1956</v>
      </c>
      <c r="CM32" s="1751" t="s">
        <v>1956</v>
      </c>
      <c r="CN32" s="1751" t="s">
        <v>1956</v>
      </c>
      <c r="CO32" s="1751" t="s">
        <v>1956</v>
      </c>
      <c r="CP32" s="1751" t="s">
        <v>1957</v>
      </c>
      <c r="CQ32" s="1755" t="s">
        <v>1957</v>
      </c>
      <c r="CR32" s="1778" t="s">
        <v>1958</v>
      </c>
      <c r="CS32" s="1778" t="s">
        <v>1959</v>
      </c>
      <c r="CT32" s="1778" t="s">
        <v>1960</v>
      </c>
      <c r="CU32" s="1778" t="s">
        <v>1961</v>
      </c>
      <c r="CV32" s="1778" t="s">
        <v>1961</v>
      </c>
      <c r="CW32" s="1778" t="s">
        <v>1962</v>
      </c>
      <c r="CX32" s="1778" t="s">
        <v>1963</v>
      </c>
      <c r="CY32" s="1778" t="s">
        <v>1964</v>
      </c>
      <c r="CZ32" s="1778" t="s">
        <v>1678</v>
      </c>
      <c r="DA32" s="1778" t="s">
        <v>1965</v>
      </c>
      <c r="DB32" s="1778" t="s">
        <v>1959</v>
      </c>
      <c r="DC32" s="1779" t="s">
        <v>1966</v>
      </c>
      <c r="DD32" s="1779" t="s">
        <v>1966</v>
      </c>
      <c r="DE32" s="1779" t="s">
        <v>1967</v>
      </c>
    </row>
    <row r="33" spans="1:109" ht="17.45" customHeight="1">
      <c r="A33" s="1733" t="s">
        <v>1968</v>
      </c>
      <c r="B33" s="1749">
        <v>11.75</v>
      </c>
      <c r="C33" s="1750">
        <v>12.25</v>
      </c>
      <c r="D33" s="1750">
        <v>12.25</v>
      </c>
      <c r="E33" s="1750">
        <v>12.25</v>
      </c>
      <c r="F33" s="1749" t="s">
        <v>1969</v>
      </c>
      <c r="G33" s="1750">
        <v>13.25</v>
      </c>
      <c r="H33" s="1750">
        <v>13.25</v>
      </c>
      <c r="I33" s="1750">
        <v>13.25</v>
      </c>
      <c r="J33" s="1750">
        <v>13.25</v>
      </c>
      <c r="K33" s="1750">
        <v>13.25</v>
      </c>
      <c r="L33" s="1750" t="s">
        <v>1970</v>
      </c>
      <c r="M33" s="1750" t="s">
        <v>1970</v>
      </c>
      <c r="N33" s="1749" t="s">
        <v>1971</v>
      </c>
      <c r="O33" s="1750" t="s">
        <v>1971</v>
      </c>
      <c r="P33" s="1750" t="s">
        <v>1972</v>
      </c>
      <c r="Q33" s="1749" t="s">
        <v>1972</v>
      </c>
      <c r="R33" s="1750" t="s">
        <v>1554</v>
      </c>
      <c r="S33" s="1750" t="s">
        <v>1554</v>
      </c>
      <c r="T33" s="1751" t="s">
        <v>1973</v>
      </c>
      <c r="U33" s="1751" t="s">
        <v>1554</v>
      </c>
      <c r="V33" s="1751" t="s">
        <v>1973</v>
      </c>
      <c r="W33" s="1751" t="s">
        <v>1973</v>
      </c>
      <c r="X33" s="1751" t="s">
        <v>1554</v>
      </c>
      <c r="Y33" s="1751" t="s">
        <v>1973</v>
      </c>
      <c r="Z33" s="1751" t="s">
        <v>1974</v>
      </c>
      <c r="AA33" s="1751" t="s">
        <v>1975</v>
      </c>
      <c r="AB33" s="1751" t="s">
        <v>1976</v>
      </c>
      <c r="AC33" s="1751" t="s">
        <v>1976</v>
      </c>
      <c r="AD33" s="1751" t="s">
        <v>1976</v>
      </c>
      <c r="AE33" s="1751" t="s">
        <v>1559</v>
      </c>
      <c r="AF33" s="1751" t="s">
        <v>1559</v>
      </c>
      <c r="AG33" s="1751" t="s">
        <v>1556</v>
      </c>
      <c r="AH33" s="1751" t="s">
        <v>1554</v>
      </c>
      <c r="AI33" s="1751" t="s">
        <v>1554</v>
      </c>
      <c r="AJ33" s="1751" t="s">
        <v>1561</v>
      </c>
      <c r="AK33" s="1751" t="s">
        <v>1977</v>
      </c>
      <c r="AL33" s="1751" t="s">
        <v>1978</v>
      </c>
      <c r="AM33" s="1751" t="s">
        <v>1979</v>
      </c>
      <c r="AN33" s="1751" t="s">
        <v>1979</v>
      </c>
      <c r="AO33" s="1751" t="s">
        <v>1980</v>
      </c>
      <c r="AP33" s="1751" t="s">
        <v>1981</v>
      </c>
      <c r="AQ33" s="1751" t="s">
        <v>1982</v>
      </c>
      <c r="AR33" s="1751" t="s">
        <v>1982</v>
      </c>
      <c r="AS33" s="1751" t="s">
        <v>1982</v>
      </c>
      <c r="AT33" s="1751" t="s">
        <v>1706</v>
      </c>
      <c r="AU33" s="1751" t="s">
        <v>1983</v>
      </c>
      <c r="AV33" s="1751" t="s">
        <v>1984</v>
      </c>
      <c r="AW33" s="1751" t="s">
        <v>1984</v>
      </c>
      <c r="AX33" s="1751" t="s">
        <v>1984</v>
      </c>
      <c r="AY33" s="1751" t="s">
        <v>1985</v>
      </c>
      <c r="AZ33" s="1751" t="s">
        <v>1985</v>
      </c>
      <c r="BA33" s="1751" t="s">
        <v>1985</v>
      </c>
      <c r="BB33" s="1751" t="s">
        <v>1985</v>
      </c>
      <c r="BC33" s="1751" t="s">
        <v>1985</v>
      </c>
      <c r="BD33" s="1751" t="s">
        <v>1984</v>
      </c>
      <c r="BE33" s="1751" t="s">
        <v>1984</v>
      </c>
      <c r="BF33" s="1751" t="s">
        <v>1984</v>
      </c>
      <c r="BG33" s="1751" t="s">
        <v>1984</v>
      </c>
      <c r="BH33" s="1751" t="s">
        <v>1984</v>
      </c>
      <c r="BI33" s="1751" t="s">
        <v>1984</v>
      </c>
      <c r="BJ33" s="1751" t="s">
        <v>1984</v>
      </c>
      <c r="BK33" s="1751" t="s">
        <v>1984</v>
      </c>
      <c r="BL33" s="1751" t="s">
        <v>1984</v>
      </c>
      <c r="BM33" s="1751" t="s">
        <v>1986</v>
      </c>
      <c r="BN33" s="1751" t="s">
        <v>1987</v>
      </c>
      <c r="BO33" s="1751" t="s">
        <v>1988</v>
      </c>
      <c r="BP33" s="1751" t="s">
        <v>1988</v>
      </c>
      <c r="BQ33" s="1751" t="s">
        <v>1988</v>
      </c>
      <c r="BR33" s="1751" t="s">
        <v>1988</v>
      </c>
      <c r="BS33" s="1751" t="s">
        <v>1989</v>
      </c>
      <c r="BT33" s="1751" t="s">
        <v>1989</v>
      </c>
      <c r="BU33" s="1751" t="s">
        <v>1990</v>
      </c>
      <c r="BV33" s="1751" t="s">
        <v>1990</v>
      </c>
      <c r="BW33" s="1751" t="s">
        <v>1573</v>
      </c>
      <c r="BX33" s="1751" t="s">
        <v>1573</v>
      </c>
      <c r="BY33" s="1751" t="s">
        <v>1991</v>
      </c>
      <c r="BZ33" s="1752" t="s">
        <v>1573</v>
      </c>
      <c r="CA33" s="1751" t="s">
        <v>1992</v>
      </c>
      <c r="CB33" s="1751" t="s">
        <v>1992</v>
      </c>
      <c r="CC33" s="1751" t="s">
        <v>1993</v>
      </c>
      <c r="CD33" s="1751" t="s">
        <v>1994</v>
      </c>
      <c r="CE33" s="1751" t="s">
        <v>1994</v>
      </c>
      <c r="CF33" s="1751" t="s">
        <v>1994</v>
      </c>
      <c r="CG33" s="1751" t="s">
        <v>1994</v>
      </c>
      <c r="CH33" s="1751" t="s">
        <v>1994</v>
      </c>
      <c r="CI33" s="1751" t="s">
        <v>1994</v>
      </c>
      <c r="CJ33" s="1751" t="s">
        <v>1994</v>
      </c>
      <c r="CK33" s="1751" t="s">
        <v>1994</v>
      </c>
      <c r="CL33" s="1751" t="s">
        <v>1995</v>
      </c>
      <c r="CM33" s="1751" t="s">
        <v>1994</v>
      </c>
      <c r="CN33" s="1751" t="s">
        <v>1582</v>
      </c>
      <c r="CO33" s="1751" t="s">
        <v>1995</v>
      </c>
      <c r="CP33" s="1751" t="s">
        <v>1996</v>
      </c>
      <c r="CQ33" s="1755" t="s">
        <v>1997</v>
      </c>
      <c r="CR33" s="1778" t="s">
        <v>1994</v>
      </c>
      <c r="CS33" s="1778" t="s">
        <v>1998</v>
      </c>
      <c r="CT33" s="1778" t="s">
        <v>1999</v>
      </c>
      <c r="CU33" s="1778" t="s">
        <v>2000</v>
      </c>
      <c r="CV33" s="1778" t="s">
        <v>2001</v>
      </c>
      <c r="CW33" s="1778" t="s">
        <v>1998</v>
      </c>
      <c r="CX33" s="1778" t="s">
        <v>1998</v>
      </c>
      <c r="CY33" s="1778" t="s">
        <v>2002</v>
      </c>
      <c r="CZ33" s="1778" t="s">
        <v>2000</v>
      </c>
      <c r="DA33" s="1778" t="s">
        <v>2003</v>
      </c>
      <c r="DB33" s="1778" t="s">
        <v>1998</v>
      </c>
      <c r="DC33" s="1779" t="s">
        <v>2003</v>
      </c>
      <c r="DD33" s="1779" t="s">
        <v>2000</v>
      </c>
      <c r="DE33" s="1779" t="s">
        <v>2004</v>
      </c>
    </row>
    <row r="34" spans="1:109" ht="17.45" customHeight="1">
      <c r="A34" s="1733" t="s">
        <v>2005</v>
      </c>
      <c r="B34" s="1749" t="s">
        <v>2006</v>
      </c>
      <c r="C34" s="1750" t="s">
        <v>2007</v>
      </c>
      <c r="D34" s="1750" t="s">
        <v>2008</v>
      </c>
      <c r="E34" s="1750" t="s">
        <v>2008</v>
      </c>
      <c r="F34" s="1749" t="s">
        <v>2008</v>
      </c>
      <c r="G34" s="1750" t="s">
        <v>1942</v>
      </c>
      <c r="H34" s="1750" t="s">
        <v>2009</v>
      </c>
      <c r="I34" s="1750" t="s">
        <v>1846</v>
      </c>
      <c r="J34" s="1750" t="s">
        <v>1942</v>
      </c>
      <c r="K34" s="1750" t="s">
        <v>1846</v>
      </c>
      <c r="L34" s="1750" t="s">
        <v>2010</v>
      </c>
      <c r="M34" s="1750" t="s">
        <v>2011</v>
      </c>
      <c r="N34" s="1749" t="s">
        <v>2012</v>
      </c>
      <c r="O34" s="1750" t="s">
        <v>2011</v>
      </c>
      <c r="P34" s="1750" t="s">
        <v>2013</v>
      </c>
      <c r="Q34" s="1749" t="s">
        <v>2014</v>
      </c>
      <c r="R34" s="1750" t="s">
        <v>2014</v>
      </c>
      <c r="S34" s="1750" t="s">
        <v>2013</v>
      </c>
      <c r="T34" s="1751" t="s">
        <v>2013</v>
      </c>
      <c r="U34" s="1751" t="s">
        <v>2013</v>
      </c>
      <c r="V34" s="1751" t="s">
        <v>2014</v>
      </c>
      <c r="W34" s="1751" t="s">
        <v>2014</v>
      </c>
      <c r="X34" s="1751" t="s">
        <v>2014</v>
      </c>
      <c r="Y34" s="1751" t="s">
        <v>2014</v>
      </c>
      <c r="Z34" s="1751" t="s">
        <v>2014</v>
      </c>
      <c r="AA34" s="1751" t="s">
        <v>2014</v>
      </c>
      <c r="AB34" s="1751" t="s">
        <v>2014</v>
      </c>
      <c r="AC34" s="1751" t="s">
        <v>2014</v>
      </c>
      <c r="AD34" s="1751" t="s">
        <v>2013</v>
      </c>
      <c r="AE34" s="1751" t="s">
        <v>2013</v>
      </c>
      <c r="AF34" s="1751" t="s">
        <v>2013</v>
      </c>
      <c r="AG34" s="1751" t="s">
        <v>2015</v>
      </c>
      <c r="AH34" s="1751" t="s">
        <v>1554</v>
      </c>
      <c r="AI34" s="1751" t="s">
        <v>2016</v>
      </c>
      <c r="AJ34" s="1751" t="s">
        <v>2017</v>
      </c>
      <c r="AK34" s="1751" t="s">
        <v>2017</v>
      </c>
      <c r="AL34" s="1751">
        <v>14.25</v>
      </c>
      <c r="AM34" s="1751" t="s">
        <v>1979</v>
      </c>
      <c r="AN34" s="1751" t="s">
        <v>2018</v>
      </c>
      <c r="AO34" s="1751" t="s">
        <v>2018</v>
      </c>
      <c r="AP34" s="1751" t="s">
        <v>2019</v>
      </c>
      <c r="AQ34" s="1751" t="s">
        <v>2020</v>
      </c>
      <c r="AR34" s="1751" t="s">
        <v>2020</v>
      </c>
      <c r="AS34" s="1751" t="s">
        <v>2020</v>
      </c>
      <c r="AT34" s="1751" t="s">
        <v>2021</v>
      </c>
      <c r="AU34" s="1751">
        <v>11.88</v>
      </c>
      <c r="AV34" s="1751">
        <v>11.88</v>
      </c>
      <c r="AW34" s="1751" t="s">
        <v>1985</v>
      </c>
      <c r="AX34" s="1751" t="s">
        <v>1985</v>
      </c>
      <c r="AY34" s="1751" t="s">
        <v>1985</v>
      </c>
      <c r="AZ34" s="1751" t="s">
        <v>2022</v>
      </c>
      <c r="BA34" s="1751">
        <v>11.88</v>
      </c>
      <c r="BB34" s="1751">
        <v>11.88</v>
      </c>
      <c r="BC34" s="1751">
        <v>11.88</v>
      </c>
      <c r="BD34" s="1751" t="s">
        <v>1985</v>
      </c>
      <c r="BE34" s="1751">
        <v>11.88</v>
      </c>
      <c r="BF34" s="1751">
        <v>11.88</v>
      </c>
      <c r="BG34" s="1751" t="s">
        <v>2023</v>
      </c>
      <c r="BH34" s="1751" t="s">
        <v>2023</v>
      </c>
      <c r="BI34" s="1751" t="s">
        <v>2023</v>
      </c>
      <c r="BJ34" s="1751">
        <v>11.88</v>
      </c>
      <c r="BK34" s="1751">
        <v>11.88</v>
      </c>
      <c r="BL34" s="1751" t="s">
        <v>1985</v>
      </c>
      <c r="BM34" s="1780">
        <v>0</v>
      </c>
      <c r="BN34" s="1780">
        <v>0</v>
      </c>
      <c r="BO34" s="1781">
        <v>11</v>
      </c>
      <c r="BP34" s="1781">
        <v>11</v>
      </c>
      <c r="BQ34" s="1781">
        <v>11</v>
      </c>
      <c r="BR34" s="1781">
        <v>11</v>
      </c>
      <c r="BS34" s="1781">
        <v>11.5</v>
      </c>
      <c r="BT34" s="1781">
        <v>11.5</v>
      </c>
      <c r="BU34" s="1751" t="s">
        <v>2024</v>
      </c>
      <c r="BV34" s="1751">
        <v>11.75</v>
      </c>
      <c r="BW34" s="1751" t="s">
        <v>2025</v>
      </c>
      <c r="BX34" s="1751" t="s">
        <v>2025</v>
      </c>
      <c r="BY34" s="1751" t="s">
        <v>2025</v>
      </c>
      <c r="BZ34" s="1752" t="s">
        <v>2025</v>
      </c>
      <c r="CA34" s="1751">
        <v>11.75</v>
      </c>
      <c r="CB34" s="1751">
        <v>11.65</v>
      </c>
      <c r="CC34" s="1751">
        <v>11.65</v>
      </c>
      <c r="CD34" s="1751">
        <v>11.15</v>
      </c>
      <c r="CE34" s="1751">
        <v>11.15</v>
      </c>
      <c r="CF34" s="1751" t="s">
        <v>2026</v>
      </c>
      <c r="CG34" s="1751" t="s">
        <v>2026</v>
      </c>
      <c r="CH34" s="1751" t="s">
        <v>2026</v>
      </c>
      <c r="CI34" s="1751" t="s">
        <v>2026</v>
      </c>
      <c r="CJ34" s="1751" t="s">
        <v>2026</v>
      </c>
      <c r="CK34" s="1751" t="s">
        <v>2026</v>
      </c>
      <c r="CL34" s="1751" t="s">
        <v>2026</v>
      </c>
      <c r="CM34" s="1751" t="s">
        <v>2026</v>
      </c>
      <c r="CN34" s="1751" t="s">
        <v>2027</v>
      </c>
      <c r="CO34" s="1751" t="s">
        <v>2026</v>
      </c>
      <c r="CP34" s="1751" t="s">
        <v>2026</v>
      </c>
      <c r="CQ34" s="1755" t="s">
        <v>2026</v>
      </c>
      <c r="CR34" s="1778" t="s">
        <v>2026</v>
      </c>
      <c r="CS34" s="1778" t="s">
        <v>2028</v>
      </c>
      <c r="CT34" s="1778" t="s">
        <v>2028</v>
      </c>
      <c r="CU34" s="1778" t="s">
        <v>2028</v>
      </c>
      <c r="CV34" s="1778" t="s">
        <v>2028</v>
      </c>
      <c r="CW34" s="1778" t="s">
        <v>2028</v>
      </c>
      <c r="CX34" s="1778" t="s">
        <v>2028</v>
      </c>
      <c r="CY34" s="1778" t="s">
        <v>2029</v>
      </c>
      <c r="CZ34" s="1778" t="s">
        <v>2030</v>
      </c>
      <c r="DA34" s="1778" t="s">
        <v>2028</v>
      </c>
      <c r="DB34" s="1778" t="s">
        <v>2028</v>
      </c>
      <c r="DC34" s="1779" t="s">
        <v>2028</v>
      </c>
      <c r="DD34" s="1779" t="s">
        <v>2028</v>
      </c>
      <c r="DE34" s="1779" t="s">
        <v>2031</v>
      </c>
    </row>
    <row r="35" spans="1:109" ht="17.45" customHeight="1">
      <c r="A35" s="1733" t="s">
        <v>2032</v>
      </c>
      <c r="B35" s="1749" t="s">
        <v>1405</v>
      </c>
      <c r="C35" s="1750" t="s">
        <v>1405</v>
      </c>
      <c r="D35" s="1750" t="s">
        <v>1405</v>
      </c>
      <c r="E35" s="1750" t="s">
        <v>1405</v>
      </c>
      <c r="F35" s="1749" t="s">
        <v>2033</v>
      </c>
      <c r="G35" s="1750" t="s">
        <v>1405</v>
      </c>
      <c r="H35" s="1750" t="s">
        <v>2034</v>
      </c>
      <c r="I35" s="1750" t="s">
        <v>2035</v>
      </c>
      <c r="J35" s="1750" t="s">
        <v>1490</v>
      </c>
      <c r="K35" s="1750" t="s">
        <v>1490</v>
      </c>
      <c r="L35" s="1750" t="s">
        <v>2036</v>
      </c>
      <c r="M35" s="1750" t="s">
        <v>1490</v>
      </c>
      <c r="N35" s="1749" t="s">
        <v>1490</v>
      </c>
      <c r="O35" s="1750" t="s">
        <v>1490</v>
      </c>
      <c r="P35" s="1750" t="s">
        <v>1490</v>
      </c>
      <c r="Q35" s="1749" t="s">
        <v>1490</v>
      </c>
      <c r="R35" s="1750" t="s">
        <v>1563</v>
      </c>
      <c r="S35" s="1750" t="s">
        <v>1490</v>
      </c>
      <c r="T35" s="1751" t="s">
        <v>1563</v>
      </c>
      <c r="U35" s="1751" t="s">
        <v>1563</v>
      </c>
      <c r="V35" s="1751" t="s">
        <v>1563</v>
      </c>
      <c r="W35" s="1751" t="s">
        <v>1563</v>
      </c>
      <c r="X35" s="1751" t="s">
        <v>1563</v>
      </c>
      <c r="Y35" s="1751" t="s">
        <v>1563</v>
      </c>
      <c r="Z35" s="1751" t="s">
        <v>1851</v>
      </c>
      <c r="AA35" s="1751" t="s">
        <v>1851</v>
      </c>
      <c r="AB35" s="1751" t="s">
        <v>1851</v>
      </c>
      <c r="AC35" s="1751" t="s">
        <v>1554</v>
      </c>
      <c r="AD35" s="1751" t="s">
        <v>2037</v>
      </c>
      <c r="AE35" s="1751" t="s">
        <v>1554</v>
      </c>
      <c r="AF35" s="1751" t="s">
        <v>1554</v>
      </c>
      <c r="AG35" s="1751" t="s">
        <v>2038</v>
      </c>
      <c r="AH35" s="1751" t="s">
        <v>2038</v>
      </c>
      <c r="AI35" s="1751" t="s">
        <v>1561</v>
      </c>
      <c r="AJ35" s="1751" t="s">
        <v>2039</v>
      </c>
      <c r="AK35" s="1751" t="s">
        <v>2039</v>
      </c>
      <c r="AL35" s="1751" t="s">
        <v>1846</v>
      </c>
      <c r="AM35" s="1751" t="s">
        <v>1846</v>
      </c>
      <c r="AN35" s="1751" t="s">
        <v>1561</v>
      </c>
      <c r="AO35" s="1751" t="s">
        <v>1561</v>
      </c>
      <c r="AP35" s="1751" t="s">
        <v>2040</v>
      </c>
      <c r="AQ35" s="1751" t="s">
        <v>2041</v>
      </c>
      <c r="AR35" s="1751" t="s">
        <v>2012</v>
      </c>
      <c r="AS35" s="1751" t="s">
        <v>2012</v>
      </c>
      <c r="AT35" s="1751" t="s">
        <v>1701</v>
      </c>
      <c r="AU35" s="1751" t="s">
        <v>2042</v>
      </c>
      <c r="AV35" s="1751" t="s">
        <v>2042</v>
      </c>
      <c r="AW35" s="1751" t="s">
        <v>2042</v>
      </c>
      <c r="AX35" s="1751" t="s">
        <v>2042</v>
      </c>
      <c r="AY35" s="1751">
        <v>11.88</v>
      </c>
      <c r="AZ35" s="1751" t="s">
        <v>2043</v>
      </c>
      <c r="BA35" s="1751" t="s">
        <v>2043</v>
      </c>
      <c r="BB35" s="1751" t="s">
        <v>2043</v>
      </c>
      <c r="BC35" s="1751" t="s">
        <v>2043</v>
      </c>
      <c r="BD35" s="1751" t="s">
        <v>2043</v>
      </c>
      <c r="BE35" s="1751" t="s">
        <v>2043</v>
      </c>
      <c r="BF35" s="1751" t="s">
        <v>2043</v>
      </c>
      <c r="BG35" s="1751" t="s">
        <v>2043</v>
      </c>
      <c r="BH35" s="1751" t="s">
        <v>2043</v>
      </c>
      <c r="BI35" s="1751" t="s">
        <v>2044</v>
      </c>
      <c r="BJ35" s="1751" t="s">
        <v>2044</v>
      </c>
      <c r="BK35" s="1751" t="s">
        <v>2044</v>
      </c>
      <c r="BL35" s="1751" t="s">
        <v>2044</v>
      </c>
      <c r="BM35" s="1751" t="s">
        <v>2045</v>
      </c>
      <c r="BN35" s="1751" t="s">
        <v>2046</v>
      </c>
      <c r="BO35" s="1751" t="s">
        <v>2045</v>
      </c>
      <c r="BP35" s="1751" t="s">
        <v>2045</v>
      </c>
      <c r="BQ35" s="1751" t="s">
        <v>2045</v>
      </c>
      <c r="BR35" s="1751" t="s">
        <v>2045</v>
      </c>
      <c r="BS35" s="1751" t="s">
        <v>2047</v>
      </c>
      <c r="BT35" s="1751" t="s">
        <v>2047</v>
      </c>
      <c r="BU35" s="1751" t="s">
        <v>1990</v>
      </c>
      <c r="BV35" s="1751" t="s">
        <v>1990</v>
      </c>
      <c r="BW35" s="1751" t="s">
        <v>2048</v>
      </c>
      <c r="BX35" s="1751" t="s">
        <v>1990</v>
      </c>
      <c r="BY35" s="1751" t="s">
        <v>2049</v>
      </c>
      <c r="BZ35" s="1752" t="s">
        <v>1990</v>
      </c>
      <c r="CA35" s="1751" t="s">
        <v>1990</v>
      </c>
      <c r="CB35" s="1751" t="s">
        <v>2050</v>
      </c>
      <c r="CC35" s="1751" t="s">
        <v>2051</v>
      </c>
      <c r="CD35" s="1751" t="s">
        <v>2052</v>
      </c>
      <c r="CE35" s="1751" t="s">
        <v>2053</v>
      </c>
      <c r="CF35" s="1751" t="s">
        <v>2053</v>
      </c>
      <c r="CG35" s="1751" t="s">
        <v>2054</v>
      </c>
      <c r="CH35" s="1751" t="s">
        <v>2055</v>
      </c>
      <c r="CI35" s="1751" t="s">
        <v>2055</v>
      </c>
      <c r="CJ35" s="1751" t="s">
        <v>2054</v>
      </c>
      <c r="CK35" s="1751" t="s">
        <v>2056</v>
      </c>
      <c r="CL35" s="1751" t="s">
        <v>2056</v>
      </c>
      <c r="CM35" s="1751" t="s">
        <v>2057</v>
      </c>
      <c r="CN35" s="1751" t="s">
        <v>2058</v>
      </c>
      <c r="CO35" s="1751" t="s">
        <v>2057</v>
      </c>
      <c r="CP35" s="1751" t="s">
        <v>2057</v>
      </c>
      <c r="CQ35" s="1755" t="s">
        <v>2059</v>
      </c>
      <c r="CR35" s="1778" t="s">
        <v>2060</v>
      </c>
      <c r="CS35" s="1778" t="s">
        <v>2061</v>
      </c>
      <c r="CT35" s="1778" t="s">
        <v>2062</v>
      </c>
      <c r="CU35" s="1778" t="s">
        <v>2063</v>
      </c>
      <c r="CV35" s="1778" t="s">
        <v>2062</v>
      </c>
      <c r="CW35" s="1778" t="s">
        <v>2062</v>
      </c>
      <c r="CX35" s="1778" t="s">
        <v>2064</v>
      </c>
      <c r="CY35" s="1778" t="s">
        <v>2064</v>
      </c>
      <c r="CZ35" s="1778" t="s">
        <v>2064</v>
      </c>
      <c r="DA35" s="1778" t="s">
        <v>2065</v>
      </c>
      <c r="DB35" s="1778" t="s">
        <v>2065</v>
      </c>
      <c r="DC35" s="1779" t="s">
        <v>2066</v>
      </c>
      <c r="DD35" s="1779" t="s">
        <v>2067</v>
      </c>
      <c r="DE35" s="1779" t="s">
        <v>2068</v>
      </c>
    </row>
    <row r="36" spans="1:109" ht="17.45" customHeight="1">
      <c r="A36" s="1733" t="s">
        <v>2069</v>
      </c>
      <c r="B36" s="1749" t="s">
        <v>1454</v>
      </c>
      <c r="C36" s="1750" t="s">
        <v>1454</v>
      </c>
      <c r="D36" s="1750" t="s">
        <v>1991</v>
      </c>
      <c r="E36" s="1750" t="s">
        <v>1991</v>
      </c>
      <c r="F36" s="1749" t="s">
        <v>1991</v>
      </c>
      <c r="G36" s="1750" t="s">
        <v>2070</v>
      </c>
      <c r="H36" s="1750" t="s">
        <v>2070</v>
      </c>
      <c r="I36" s="1750" t="s">
        <v>2070</v>
      </c>
      <c r="J36" s="1750" t="s">
        <v>2070</v>
      </c>
      <c r="K36" s="1750" t="s">
        <v>2070</v>
      </c>
      <c r="L36" s="1750" t="s">
        <v>2070</v>
      </c>
      <c r="M36" s="1750" t="s">
        <v>2070</v>
      </c>
      <c r="N36" s="1749" t="s">
        <v>2071</v>
      </c>
      <c r="O36" s="1750" t="s">
        <v>2072</v>
      </c>
      <c r="P36" s="1750" t="s">
        <v>2073</v>
      </c>
      <c r="Q36" s="1749" t="s">
        <v>2073</v>
      </c>
      <c r="R36" s="1750" t="s">
        <v>2073</v>
      </c>
      <c r="S36" s="1750" t="s">
        <v>2073</v>
      </c>
      <c r="T36" s="1751" t="s">
        <v>2073</v>
      </c>
      <c r="U36" s="1751" t="s">
        <v>2074</v>
      </c>
      <c r="V36" s="1751" t="s">
        <v>2075</v>
      </c>
      <c r="W36" s="1751" t="s">
        <v>2075</v>
      </c>
      <c r="X36" s="1751" t="s">
        <v>2075</v>
      </c>
      <c r="Y36" s="1751" t="s">
        <v>2076</v>
      </c>
      <c r="Z36" s="1751" t="s">
        <v>2077</v>
      </c>
      <c r="AA36" s="1751" t="s">
        <v>2078</v>
      </c>
      <c r="AB36" s="1751" t="s">
        <v>2079</v>
      </c>
      <c r="AC36" s="1751" t="s">
        <v>1845</v>
      </c>
      <c r="AD36" s="1751" t="s">
        <v>1845</v>
      </c>
      <c r="AE36" s="1751" t="s">
        <v>1845</v>
      </c>
      <c r="AF36" s="1751" t="s">
        <v>2080</v>
      </c>
      <c r="AG36" s="1751" t="s">
        <v>2081</v>
      </c>
      <c r="AH36" s="1751" t="s">
        <v>2082</v>
      </c>
      <c r="AI36" s="1751" t="s">
        <v>2083</v>
      </c>
      <c r="AJ36" s="1751" t="s">
        <v>1405</v>
      </c>
      <c r="AK36" s="1751" t="s">
        <v>2084</v>
      </c>
      <c r="AL36" s="1751" t="s">
        <v>2084</v>
      </c>
      <c r="AM36" s="1751" t="s">
        <v>2085</v>
      </c>
      <c r="AN36" s="1751" t="s">
        <v>2085</v>
      </c>
      <c r="AO36" s="1751" t="s">
        <v>2085</v>
      </c>
      <c r="AP36" s="1751" t="s">
        <v>2086</v>
      </c>
      <c r="AQ36" s="1751" t="s">
        <v>1581</v>
      </c>
      <c r="AR36" s="1751" t="s">
        <v>1581</v>
      </c>
      <c r="AS36" s="1751" t="s">
        <v>1581</v>
      </c>
      <c r="AT36" s="1751" t="s">
        <v>1581</v>
      </c>
      <c r="AU36" s="1751" t="s">
        <v>2087</v>
      </c>
      <c r="AV36" s="1751" t="s">
        <v>2087</v>
      </c>
      <c r="AW36" s="1751" t="s">
        <v>2087</v>
      </c>
      <c r="AX36" s="1751" t="s">
        <v>2087</v>
      </c>
      <c r="AY36" s="1751" t="s">
        <v>2087</v>
      </c>
      <c r="AZ36" s="1751" t="s">
        <v>2087</v>
      </c>
      <c r="BA36" s="1751" t="s">
        <v>2087</v>
      </c>
      <c r="BB36" s="1751" t="s">
        <v>2087</v>
      </c>
      <c r="BC36" s="1751" t="s">
        <v>2087</v>
      </c>
      <c r="BD36" s="1751" t="s">
        <v>2088</v>
      </c>
      <c r="BE36" s="1751" t="s">
        <v>2088</v>
      </c>
      <c r="BF36" s="1751" t="s">
        <v>2088</v>
      </c>
      <c r="BG36" s="1751" t="s">
        <v>2088</v>
      </c>
      <c r="BH36" s="1751" t="s">
        <v>2088</v>
      </c>
      <c r="BI36" s="1751" t="s">
        <v>2088</v>
      </c>
      <c r="BJ36" s="1751" t="s">
        <v>2088</v>
      </c>
      <c r="BK36" s="1751" t="s">
        <v>2088</v>
      </c>
      <c r="BL36" s="1751" t="s">
        <v>2088</v>
      </c>
      <c r="BM36" s="1751" t="s">
        <v>2089</v>
      </c>
      <c r="BN36" s="1751" t="s">
        <v>2089</v>
      </c>
      <c r="BO36" s="1751" t="s">
        <v>2089</v>
      </c>
      <c r="BP36" s="1751" t="s">
        <v>2089</v>
      </c>
      <c r="BQ36" s="1751" t="s">
        <v>2089</v>
      </c>
      <c r="BR36" s="1751" t="s">
        <v>2089</v>
      </c>
      <c r="BS36" s="1751" t="s">
        <v>2090</v>
      </c>
      <c r="BT36" s="1751" t="s">
        <v>2090</v>
      </c>
      <c r="BU36" s="1751" t="s">
        <v>1990</v>
      </c>
      <c r="BV36" s="1751" t="s">
        <v>1990</v>
      </c>
      <c r="BW36" s="1751" t="s">
        <v>2091</v>
      </c>
      <c r="BX36" s="1751" t="s">
        <v>2092</v>
      </c>
      <c r="BY36" s="1751" t="s">
        <v>2093</v>
      </c>
      <c r="BZ36" s="1752" t="s">
        <v>1573</v>
      </c>
      <c r="CA36" s="1751" t="s">
        <v>1573</v>
      </c>
      <c r="CB36" s="1751" t="s">
        <v>2094</v>
      </c>
      <c r="CC36" s="1751" t="s">
        <v>2094</v>
      </c>
      <c r="CD36" s="1751" t="s">
        <v>1583</v>
      </c>
      <c r="CE36" s="1751" t="s">
        <v>1583</v>
      </c>
      <c r="CF36" s="1751" t="s">
        <v>1583</v>
      </c>
      <c r="CG36" s="1751" t="s">
        <v>2095</v>
      </c>
      <c r="CH36" s="1751" t="s">
        <v>1582</v>
      </c>
      <c r="CI36" s="1751" t="s">
        <v>2056</v>
      </c>
      <c r="CJ36" s="1751" t="s">
        <v>2056</v>
      </c>
      <c r="CK36" s="1751" t="s">
        <v>2056</v>
      </c>
      <c r="CL36" s="1751" t="s">
        <v>2056</v>
      </c>
      <c r="CM36" s="1751" t="s">
        <v>2096</v>
      </c>
      <c r="CN36" s="1751" t="s">
        <v>2097</v>
      </c>
      <c r="CO36" s="1751" t="s">
        <v>2098</v>
      </c>
      <c r="CP36" s="1751" t="s">
        <v>2056</v>
      </c>
      <c r="CQ36" s="1755" t="s">
        <v>2056</v>
      </c>
      <c r="CR36" s="1778" t="s">
        <v>2099</v>
      </c>
      <c r="CS36" s="1778" t="s">
        <v>2100</v>
      </c>
      <c r="CT36" s="1778" t="s">
        <v>2101</v>
      </c>
      <c r="CU36" s="1778" t="s">
        <v>2102</v>
      </c>
      <c r="CV36" s="1778" t="s">
        <v>1960</v>
      </c>
      <c r="CW36" s="1778" t="s">
        <v>2103</v>
      </c>
      <c r="CX36" s="1778" t="s">
        <v>2103</v>
      </c>
      <c r="CY36" s="1778" t="s">
        <v>2104</v>
      </c>
      <c r="CZ36" s="1778" t="s">
        <v>2001</v>
      </c>
      <c r="DA36" s="1778" t="s">
        <v>2000</v>
      </c>
      <c r="DB36" s="1778" t="s">
        <v>2105</v>
      </c>
      <c r="DC36" s="1779" t="s">
        <v>2003</v>
      </c>
      <c r="DD36" s="1779" t="s">
        <v>2106</v>
      </c>
      <c r="DE36" s="1779" t="s">
        <v>2107</v>
      </c>
    </row>
    <row r="37" spans="1:109" ht="17.45" customHeight="1">
      <c r="A37" s="1733" t="s">
        <v>2108</v>
      </c>
      <c r="B37" s="1749" t="s">
        <v>1544</v>
      </c>
      <c r="C37" s="1750" t="s">
        <v>1845</v>
      </c>
      <c r="D37" s="1750" t="s">
        <v>1845</v>
      </c>
      <c r="E37" s="1750" t="s">
        <v>2109</v>
      </c>
      <c r="F37" s="1749" t="s">
        <v>1845</v>
      </c>
      <c r="G37" s="1750" t="s">
        <v>2039</v>
      </c>
      <c r="H37" s="1750" t="s">
        <v>2039</v>
      </c>
      <c r="I37" s="1750" t="s">
        <v>1846</v>
      </c>
      <c r="J37" s="1750" t="s">
        <v>1846</v>
      </c>
      <c r="K37" s="1750" t="s">
        <v>2110</v>
      </c>
      <c r="L37" s="1750" t="s">
        <v>1846</v>
      </c>
      <c r="M37" s="1750" t="s">
        <v>1846</v>
      </c>
      <c r="N37" s="1749" t="s">
        <v>1563</v>
      </c>
      <c r="O37" s="1750" t="s">
        <v>1563</v>
      </c>
      <c r="P37" s="1750" t="s">
        <v>2039</v>
      </c>
      <c r="Q37" s="1749" t="s">
        <v>2039</v>
      </c>
      <c r="R37" s="1750" t="s">
        <v>2039</v>
      </c>
      <c r="S37" s="1750" t="s">
        <v>2039</v>
      </c>
      <c r="T37" s="1751" t="s">
        <v>2039</v>
      </c>
      <c r="U37" s="1751" t="s">
        <v>2039</v>
      </c>
      <c r="V37" s="1751" t="s">
        <v>2039</v>
      </c>
      <c r="W37" s="1751" t="s">
        <v>2111</v>
      </c>
      <c r="X37" s="1751" t="s">
        <v>2111</v>
      </c>
      <c r="Y37" s="1751" t="s">
        <v>2039</v>
      </c>
      <c r="Z37" s="1751" t="s">
        <v>2112</v>
      </c>
      <c r="AA37" s="1751" t="s">
        <v>2113</v>
      </c>
      <c r="AB37" s="1751" t="s">
        <v>2114</v>
      </c>
      <c r="AC37" s="1751" t="s">
        <v>2115</v>
      </c>
      <c r="AD37" s="1751" t="s">
        <v>1553</v>
      </c>
      <c r="AE37" s="1751" t="s">
        <v>2116</v>
      </c>
      <c r="AF37" s="1751" t="s">
        <v>2117</v>
      </c>
      <c r="AG37" s="1751" t="s">
        <v>2118</v>
      </c>
      <c r="AH37" s="1751" t="s">
        <v>2119</v>
      </c>
      <c r="AI37" s="1751" t="s">
        <v>2120</v>
      </c>
      <c r="AJ37" s="1751" t="s">
        <v>2121</v>
      </c>
      <c r="AK37" s="1751" t="s">
        <v>2122</v>
      </c>
      <c r="AL37" s="1751" t="s">
        <v>2122</v>
      </c>
      <c r="AM37" s="1751" t="s">
        <v>2123</v>
      </c>
      <c r="AN37" s="1751" t="s">
        <v>2124</v>
      </c>
      <c r="AO37" s="1751" t="s">
        <v>2124</v>
      </c>
      <c r="AP37" s="1751" t="s">
        <v>2125</v>
      </c>
      <c r="AQ37" s="1751" t="s">
        <v>2126</v>
      </c>
      <c r="AR37" s="1751" t="s">
        <v>2127</v>
      </c>
      <c r="AS37" s="1751" t="s">
        <v>2128</v>
      </c>
      <c r="AT37" s="1751" t="s">
        <v>2128</v>
      </c>
      <c r="AU37" s="1751" t="s">
        <v>2129</v>
      </c>
      <c r="AV37" s="1751" t="s">
        <v>2129</v>
      </c>
      <c r="AW37" s="1751" t="s">
        <v>2130</v>
      </c>
      <c r="AX37" s="1751" t="s">
        <v>1564</v>
      </c>
      <c r="AY37" s="1751" t="s">
        <v>1846</v>
      </c>
      <c r="AZ37" s="1751" t="s">
        <v>1553</v>
      </c>
      <c r="BA37" s="1751" t="s">
        <v>2131</v>
      </c>
      <c r="BB37" s="1751" t="s">
        <v>2131</v>
      </c>
      <c r="BC37" s="1751" t="s">
        <v>2131</v>
      </c>
      <c r="BD37" s="1751" t="s">
        <v>2132</v>
      </c>
      <c r="BE37" s="1751" t="s">
        <v>2132</v>
      </c>
      <c r="BF37" s="1751" t="s">
        <v>2132</v>
      </c>
      <c r="BG37" s="1751" t="s">
        <v>2132</v>
      </c>
      <c r="BH37" s="1751" t="s">
        <v>2132</v>
      </c>
      <c r="BI37" s="1751" t="s">
        <v>2132</v>
      </c>
      <c r="BJ37" s="1751" t="s">
        <v>2133</v>
      </c>
      <c r="BK37" s="1751" t="s">
        <v>2133</v>
      </c>
      <c r="BL37" s="1751" t="s">
        <v>2134</v>
      </c>
      <c r="BM37" s="1751" t="s">
        <v>2135</v>
      </c>
      <c r="BN37" s="1751" t="s">
        <v>2136</v>
      </c>
      <c r="BO37" s="1751" t="s">
        <v>2137</v>
      </c>
      <c r="BP37" s="1751" t="s">
        <v>2137</v>
      </c>
      <c r="BQ37" s="1751" t="s">
        <v>2137</v>
      </c>
      <c r="BR37" s="1751" t="s">
        <v>2137</v>
      </c>
      <c r="BS37" s="1751" t="s">
        <v>2138</v>
      </c>
      <c r="BT37" s="1751" t="s">
        <v>2138</v>
      </c>
      <c r="BU37" s="1751" t="s">
        <v>2139</v>
      </c>
      <c r="BV37" s="1751" t="s">
        <v>2139</v>
      </c>
      <c r="BW37" s="1751" t="s">
        <v>2140</v>
      </c>
      <c r="BX37" s="1751" t="s">
        <v>2141</v>
      </c>
      <c r="BY37" s="1751" t="s">
        <v>2141</v>
      </c>
      <c r="BZ37" s="1752" t="s">
        <v>2141</v>
      </c>
      <c r="CA37" s="1751" t="s">
        <v>2142</v>
      </c>
      <c r="CB37" s="1751" t="s">
        <v>2141</v>
      </c>
      <c r="CC37" s="1751" t="s">
        <v>2141</v>
      </c>
      <c r="CD37" s="1751" t="s">
        <v>2143</v>
      </c>
      <c r="CE37" s="1751" t="s">
        <v>2144</v>
      </c>
      <c r="CF37" s="1751" t="s">
        <v>2145</v>
      </c>
      <c r="CG37" s="1751" t="s">
        <v>2146</v>
      </c>
      <c r="CH37" s="1751" t="s">
        <v>2146</v>
      </c>
      <c r="CI37" s="1751" t="s">
        <v>2146</v>
      </c>
      <c r="CJ37" s="1751" t="s">
        <v>2146</v>
      </c>
      <c r="CK37" s="1751" t="s">
        <v>2146</v>
      </c>
      <c r="CL37" s="1751" t="s">
        <v>2146</v>
      </c>
      <c r="CM37" s="1751" t="s">
        <v>2146</v>
      </c>
      <c r="CN37" s="1751" t="s">
        <v>2147</v>
      </c>
      <c r="CO37" s="1751" t="s">
        <v>2147</v>
      </c>
      <c r="CP37" s="1751" t="s">
        <v>2147</v>
      </c>
      <c r="CQ37" s="1755" t="s">
        <v>2148</v>
      </c>
      <c r="CR37" s="1778" t="s">
        <v>2148</v>
      </c>
      <c r="CS37" s="1778" t="s">
        <v>1578</v>
      </c>
      <c r="CT37" s="1778" t="s">
        <v>1578</v>
      </c>
      <c r="CU37" s="1778" t="s">
        <v>2149</v>
      </c>
      <c r="CV37" s="1778" t="s">
        <v>1578</v>
      </c>
      <c r="CW37" s="1778" t="s">
        <v>1578</v>
      </c>
      <c r="CX37" s="1778" t="s">
        <v>1578</v>
      </c>
      <c r="CY37" s="1778" t="s">
        <v>2150</v>
      </c>
      <c r="CZ37" s="1778" t="s">
        <v>2150</v>
      </c>
      <c r="DA37" s="1778" t="s">
        <v>1583</v>
      </c>
      <c r="DB37" s="1778" t="s">
        <v>2151</v>
      </c>
      <c r="DC37" s="1779" t="s">
        <v>2152</v>
      </c>
      <c r="DD37" s="1779" t="s">
        <v>2153</v>
      </c>
      <c r="DE37" s="1779" t="s">
        <v>2154</v>
      </c>
    </row>
    <row r="38" spans="1:109" ht="17.45" customHeight="1">
      <c r="A38" s="1733" t="s">
        <v>2155</v>
      </c>
      <c r="B38" s="1749">
        <v>9.5</v>
      </c>
      <c r="C38" s="1750">
        <v>10</v>
      </c>
      <c r="D38" s="1750">
        <v>10</v>
      </c>
      <c r="E38" s="1750">
        <v>10</v>
      </c>
      <c r="F38" s="1749">
        <v>10</v>
      </c>
      <c r="G38" s="1750"/>
      <c r="H38" s="1750">
        <v>11</v>
      </c>
      <c r="I38" s="1750"/>
      <c r="J38" s="1750"/>
      <c r="K38" s="1750"/>
      <c r="L38" s="1750"/>
      <c r="M38" s="1750"/>
      <c r="N38" s="1749"/>
      <c r="O38" s="1750">
        <v>17</v>
      </c>
      <c r="P38" s="1750" t="s">
        <v>2156</v>
      </c>
      <c r="Q38" s="1749">
        <v>18</v>
      </c>
      <c r="R38" s="1750">
        <v>18</v>
      </c>
      <c r="S38" s="1750">
        <v>18</v>
      </c>
      <c r="T38" s="1751" t="s">
        <v>2156</v>
      </c>
      <c r="U38" s="1751">
        <v>18</v>
      </c>
      <c r="V38" s="1751" t="s">
        <v>2156</v>
      </c>
      <c r="W38" s="1782">
        <v>18</v>
      </c>
      <c r="X38" s="1751" t="s">
        <v>2156</v>
      </c>
      <c r="Y38" s="1751">
        <v>18</v>
      </c>
      <c r="Z38" s="1751" t="s">
        <v>2157</v>
      </c>
      <c r="AA38" s="1751" t="s">
        <v>2157</v>
      </c>
      <c r="AB38" s="1751">
        <v>18.25</v>
      </c>
      <c r="AC38" s="1751" t="s">
        <v>2158</v>
      </c>
      <c r="AD38" s="1751">
        <v>18.75</v>
      </c>
      <c r="AE38" s="1751" t="s">
        <v>2159</v>
      </c>
      <c r="AF38" s="1751">
        <v>18.75</v>
      </c>
      <c r="AG38" s="1751">
        <v>18.5</v>
      </c>
      <c r="AH38" s="1751">
        <v>12</v>
      </c>
      <c r="AI38" s="1751">
        <v>11.5</v>
      </c>
      <c r="AJ38" s="1751">
        <v>10.75</v>
      </c>
      <c r="AK38" s="1751" t="s">
        <v>2160</v>
      </c>
      <c r="AL38" s="1751" t="s">
        <v>2161</v>
      </c>
      <c r="AM38" s="1751" t="s">
        <v>2162</v>
      </c>
      <c r="AN38" s="1751" t="s">
        <v>2162</v>
      </c>
      <c r="AO38" s="1751" t="s">
        <v>2163</v>
      </c>
      <c r="AP38" s="1751" t="s">
        <v>2164</v>
      </c>
      <c r="AQ38" s="1751">
        <v>10.65</v>
      </c>
      <c r="AR38" s="1751">
        <v>10.65</v>
      </c>
      <c r="AS38" s="1751">
        <v>9.65</v>
      </c>
      <c r="AT38" s="1751">
        <v>9.65</v>
      </c>
      <c r="AU38" s="1751">
        <v>9.65</v>
      </c>
      <c r="AV38" s="1783">
        <v>0</v>
      </c>
      <c r="AW38" s="1783">
        <v>0</v>
      </c>
      <c r="AX38" s="1784">
        <v>9.65</v>
      </c>
      <c r="AY38" s="1751" t="s">
        <v>2165</v>
      </c>
      <c r="AZ38" s="1780">
        <v>0</v>
      </c>
      <c r="BA38" s="1780">
        <v>0</v>
      </c>
      <c r="BB38" s="1780">
        <v>0</v>
      </c>
      <c r="BC38" s="1781">
        <v>9.75</v>
      </c>
      <c r="BD38" s="1781">
        <v>0</v>
      </c>
      <c r="BE38" s="1781">
        <v>0</v>
      </c>
      <c r="BF38" s="1781">
        <v>0</v>
      </c>
      <c r="BG38" s="1781">
        <v>9.75</v>
      </c>
      <c r="BH38" s="1781">
        <v>0</v>
      </c>
      <c r="BI38" s="1781">
        <v>0</v>
      </c>
      <c r="BJ38" s="1781">
        <v>0</v>
      </c>
      <c r="BK38" s="1781">
        <v>9.75</v>
      </c>
      <c r="BL38" s="1781">
        <v>9.75</v>
      </c>
      <c r="BM38" s="1781">
        <v>8.85</v>
      </c>
      <c r="BN38" s="1781">
        <v>8.85</v>
      </c>
      <c r="BO38" s="1781">
        <v>8.85</v>
      </c>
      <c r="BP38" s="1781">
        <v>8.85</v>
      </c>
      <c r="BQ38" s="1781">
        <v>8.85</v>
      </c>
      <c r="BR38" s="1781">
        <v>8.85</v>
      </c>
      <c r="BS38" s="1781">
        <v>9.25</v>
      </c>
      <c r="BT38" s="1781">
        <v>9.25</v>
      </c>
      <c r="BU38" s="1751" t="s">
        <v>2166</v>
      </c>
      <c r="BV38" s="1751">
        <v>9.5</v>
      </c>
      <c r="BW38" s="1751" t="s">
        <v>2167</v>
      </c>
      <c r="BX38" s="1751" t="s">
        <v>2167</v>
      </c>
      <c r="BY38" s="1751" t="s">
        <v>2167</v>
      </c>
      <c r="BZ38" s="1752" t="s">
        <v>2167</v>
      </c>
      <c r="CA38" s="1751" t="s">
        <v>2167</v>
      </c>
      <c r="CB38" s="1751" t="s">
        <v>2168</v>
      </c>
      <c r="CC38" s="1751" t="s">
        <v>2168</v>
      </c>
      <c r="CD38" s="1751" t="s">
        <v>2169</v>
      </c>
      <c r="CE38" s="1751" t="s">
        <v>2170</v>
      </c>
      <c r="CF38" s="1751" t="s">
        <v>2171</v>
      </c>
      <c r="CG38" s="1751" t="s">
        <v>2172</v>
      </c>
      <c r="CH38" s="1751" t="s">
        <v>2173</v>
      </c>
      <c r="CI38" s="1751" t="s">
        <v>2173</v>
      </c>
      <c r="CJ38" s="1751" t="s">
        <v>2173</v>
      </c>
      <c r="CK38" s="1751" t="s">
        <v>2173</v>
      </c>
      <c r="CL38" s="1751" t="s">
        <v>2173</v>
      </c>
      <c r="CM38" s="1751" t="s">
        <v>2173</v>
      </c>
      <c r="CN38" s="1751" t="s">
        <v>2173</v>
      </c>
      <c r="CO38" s="1751" t="s">
        <v>2173</v>
      </c>
      <c r="CP38" s="1751" t="s">
        <v>2173</v>
      </c>
      <c r="CQ38" s="1755" t="s">
        <v>2173</v>
      </c>
      <c r="CR38" s="1778" t="s">
        <v>2173</v>
      </c>
      <c r="CS38" s="1778" t="s">
        <v>2173</v>
      </c>
      <c r="CT38" s="1778" t="s">
        <v>2174</v>
      </c>
      <c r="CU38" s="1778" t="s">
        <v>2175</v>
      </c>
      <c r="CV38" s="1778" t="s">
        <v>2175</v>
      </c>
      <c r="CW38" s="1778" t="s">
        <v>2175</v>
      </c>
      <c r="CX38" s="1778" t="s">
        <v>2175</v>
      </c>
      <c r="CY38" s="1778" t="s">
        <v>2175</v>
      </c>
      <c r="CZ38" s="1778" t="s">
        <v>2175</v>
      </c>
      <c r="DA38" s="1778" t="s">
        <v>2175</v>
      </c>
      <c r="DB38" s="1778" t="s">
        <v>2175</v>
      </c>
      <c r="DC38" s="1779" t="s">
        <v>2175</v>
      </c>
      <c r="DD38" s="1779" t="s">
        <v>2175</v>
      </c>
      <c r="DE38" s="1779" t="s">
        <v>2176</v>
      </c>
    </row>
    <row r="39" spans="1:109" ht="17.45" customHeight="1">
      <c r="A39" s="1733" t="s">
        <v>2177</v>
      </c>
      <c r="B39" s="1749" t="s">
        <v>1868</v>
      </c>
      <c r="C39" s="1750" t="s">
        <v>1868</v>
      </c>
      <c r="D39" s="1750" t="s">
        <v>1844</v>
      </c>
      <c r="E39" s="1750" t="s">
        <v>1844</v>
      </c>
      <c r="F39" s="1749" t="s">
        <v>1844</v>
      </c>
      <c r="G39" s="1750" t="s">
        <v>1844</v>
      </c>
      <c r="H39" s="1750" t="s">
        <v>1844</v>
      </c>
      <c r="I39" s="1750" t="s">
        <v>1844</v>
      </c>
      <c r="J39" s="1750" t="s">
        <v>1488</v>
      </c>
      <c r="K39" s="1750" t="s">
        <v>1488</v>
      </c>
      <c r="L39" s="1750" t="s">
        <v>1488</v>
      </c>
      <c r="M39" s="1750" t="s">
        <v>1681</v>
      </c>
      <c r="N39" s="1749" t="s">
        <v>1488</v>
      </c>
      <c r="O39" s="1750" t="s">
        <v>1488</v>
      </c>
      <c r="P39" s="1750" t="s">
        <v>1488</v>
      </c>
      <c r="Q39" s="1749" t="s">
        <v>1488</v>
      </c>
      <c r="R39" s="1750" t="s">
        <v>1488</v>
      </c>
      <c r="S39" s="1750" t="s">
        <v>1488</v>
      </c>
      <c r="T39" s="1751" t="s">
        <v>1488</v>
      </c>
      <c r="U39" s="1751" t="s">
        <v>1488</v>
      </c>
      <c r="V39" s="1751" t="s">
        <v>1488</v>
      </c>
      <c r="W39" s="1751" t="s">
        <v>1488</v>
      </c>
      <c r="X39" s="1751" t="s">
        <v>1488</v>
      </c>
      <c r="Y39" s="1751" t="s">
        <v>1488</v>
      </c>
      <c r="Z39" s="1751" t="s">
        <v>1488</v>
      </c>
      <c r="AA39" s="1751" t="s">
        <v>1488</v>
      </c>
      <c r="AB39" s="1751" t="s">
        <v>1488</v>
      </c>
      <c r="AC39" s="1751" t="s">
        <v>1488</v>
      </c>
      <c r="AD39" s="1751" t="s">
        <v>1488</v>
      </c>
      <c r="AE39" s="1751" t="s">
        <v>1488</v>
      </c>
      <c r="AF39" s="1751" t="s">
        <v>1488</v>
      </c>
      <c r="AG39" s="1751" t="s">
        <v>1844</v>
      </c>
      <c r="AH39" s="1751" t="s">
        <v>2178</v>
      </c>
      <c r="AI39" s="1751" t="s">
        <v>2179</v>
      </c>
      <c r="AJ39" s="1751" t="s">
        <v>2180</v>
      </c>
      <c r="AK39" s="1751" t="s">
        <v>2181</v>
      </c>
      <c r="AL39" s="1751" t="s">
        <v>2182</v>
      </c>
      <c r="AM39" s="1751" t="s">
        <v>2183</v>
      </c>
      <c r="AN39" s="1751" t="s">
        <v>2184</v>
      </c>
      <c r="AO39" s="1751" t="s">
        <v>2183</v>
      </c>
      <c r="AP39" s="1751" t="s">
        <v>2185</v>
      </c>
      <c r="AQ39" s="1751" t="s">
        <v>2186</v>
      </c>
      <c r="AR39" s="1751" t="s">
        <v>2186</v>
      </c>
      <c r="AS39" s="1751" t="s">
        <v>2186</v>
      </c>
      <c r="AT39" s="1751" t="s">
        <v>2187</v>
      </c>
      <c r="AU39" s="1751" t="s">
        <v>2188</v>
      </c>
      <c r="AV39" s="1751" t="s">
        <v>2189</v>
      </c>
      <c r="AW39" s="1751" t="s">
        <v>2190</v>
      </c>
      <c r="AX39" s="1751" t="s">
        <v>2190</v>
      </c>
      <c r="AY39" s="1751" t="s">
        <v>2191</v>
      </c>
      <c r="AZ39" s="1751" t="s">
        <v>2192</v>
      </c>
      <c r="BA39" s="1751" t="s">
        <v>2192</v>
      </c>
      <c r="BB39" s="1751" t="s">
        <v>2192</v>
      </c>
      <c r="BC39" s="1751" t="s">
        <v>2192</v>
      </c>
      <c r="BD39" s="1751" t="s">
        <v>2192</v>
      </c>
      <c r="BE39" s="1751" t="s">
        <v>1787</v>
      </c>
      <c r="BF39" s="1751" t="s">
        <v>1787</v>
      </c>
      <c r="BG39" s="1751" t="s">
        <v>1787</v>
      </c>
      <c r="BH39" s="1751" t="s">
        <v>1787</v>
      </c>
      <c r="BI39" s="1751" t="s">
        <v>1787</v>
      </c>
      <c r="BJ39" s="1751" t="s">
        <v>1787</v>
      </c>
      <c r="BK39" s="1751" t="s">
        <v>1787</v>
      </c>
      <c r="BL39" s="1751" t="s">
        <v>1787</v>
      </c>
      <c r="BM39" s="1751" t="s">
        <v>1787</v>
      </c>
      <c r="BN39" s="1751" t="s">
        <v>1787</v>
      </c>
      <c r="BO39" s="1751" t="s">
        <v>2193</v>
      </c>
      <c r="BP39" s="1751" t="s">
        <v>2193</v>
      </c>
      <c r="BQ39" s="1751" t="s">
        <v>2193</v>
      </c>
      <c r="BR39" s="1751" t="s">
        <v>2193</v>
      </c>
      <c r="BS39" s="1751" t="s">
        <v>2194</v>
      </c>
      <c r="BT39" s="1751" t="s">
        <v>2194</v>
      </c>
      <c r="BU39" s="1751" t="s">
        <v>2195</v>
      </c>
      <c r="BV39" s="1751" t="s">
        <v>2195</v>
      </c>
      <c r="BW39" s="1751" t="s">
        <v>2195</v>
      </c>
      <c r="BX39" s="1751" t="s">
        <v>2196</v>
      </c>
      <c r="BY39" s="1751" t="s">
        <v>2196</v>
      </c>
      <c r="BZ39" s="1752" t="s">
        <v>2196</v>
      </c>
      <c r="CA39" s="1751" t="s">
        <v>2196</v>
      </c>
      <c r="CB39" s="1751" t="s">
        <v>2197</v>
      </c>
      <c r="CC39" s="1751" t="s">
        <v>2197</v>
      </c>
      <c r="CD39" s="1751" t="s">
        <v>2198</v>
      </c>
      <c r="CE39" s="1751" t="s">
        <v>2199</v>
      </c>
      <c r="CF39" s="1751" t="s">
        <v>2199</v>
      </c>
      <c r="CG39" s="1751" t="s">
        <v>2199</v>
      </c>
      <c r="CH39" s="1751" t="s">
        <v>2200</v>
      </c>
      <c r="CI39" s="1751" t="s">
        <v>2200</v>
      </c>
      <c r="CJ39" s="1751" t="s">
        <v>2200</v>
      </c>
      <c r="CK39" s="1751" t="s">
        <v>2200</v>
      </c>
      <c r="CL39" s="1751" t="s">
        <v>2200</v>
      </c>
      <c r="CM39" s="1751" t="s">
        <v>2200</v>
      </c>
      <c r="CN39" s="1751" t="s">
        <v>2200</v>
      </c>
      <c r="CO39" s="1751" t="s">
        <v>1758</v>
      </c>
      <c r="CP39" s="1751" t="s">
        <v>2201</v>
      </c>
      <c r="CQ39" s="1755" t="s">
        <v>1763</v>
      </c>
      <c r="CR39" s="1778" t="s">
        <v>2202</v>
      </c>
      <c r="CS39" s="1778" t="s">
        <v>2203</v>
      </c>
      <c r="CT39" s="1778" t="s">
        <v>2204</v>
      </c>
      <c r="CU39" s="1778" t="s">
        <v>2205</v>
      </c>
      <c r="CV39" s="1778" t="s">
        <v>1760</v>
      </c>
      <c r="CW39" s="1778" t="s">
        <v>2206</v>
      </c>
      <c r="CX39" s="1778" t="s">
        <v>2207</v>
      </c>
      <c r="CY39" s="1778" t="s">
        <v>2208</v>
      </c>
      <c r="CZ39" s="1778" t="s">
        <v>2209</v>
      </c>
      <c r="DA39" s="1778" t="s">
        <v>2210</v>
      </c>
      <c r="DB39" s="1778" t="s">
        <v>2211</v>
      </c>
      <c r="DC39" s="1779" t="s">
        <v>2212</v>
      </c>
      <c r="DD39" s="1779" t="s">
        <v>2213</v>
      </c>
      <c r="DE39" s="1779" t="s">
        <v>2201</v>
      </c>
    </row>
    <row r="40" spans="1:109" ht="17.45" customHeight="1">
      <c r="A40" s="1733" t="s">
        <v>2214</v>
      </c>
      <c r="B40" s="1749" t="s">
        <v>1488</v>
      </c>
      <c r="C40" s="1750" t="s">
        <v>1488</v>
      </c>
      <c r="D40" s="1750" t="s">
        <v>1488</v>
      </c>
      <c r="E40" s="1750" t="s">
        <v>1488</v>
      </c>
      <c r="F40" s="1749" t="s">
        <v>1488</v>
      </c>
      <c r="G40" s="1750" t="s">
        <v>1681</v>
      </c>
      <c r="H40" s="1750" t="s">
        <v>1488</v>
      </c>
      <c r="I40" s="1750" t="s">
        <v>1488</v>
      </c>
      <c r="J40" s="1750" t="s">
        <v>1488</v>
      </c>
      <c r="K40" s="1750" t="s">
        <v>1488</v>
      </c>
      <c r="L40" s="1750" t="s">
        <v>1488</v>
      </c>
      <c r="M40" s="1750" t="s">
        <v>1488</v>
      </c>
      <c r="N40" s="1749" t="s">
        <v>1488</v>
      </c>
      <c r="O40" s="1750" t="s">
        <v>1488</v>
      </c>
      <c r="P40" s="1750" t="s">
        <v>1488</v>
      </c>
      <c r="Q40" s="1749" t="s">
        <v>1488</v>
      </c>
      <c r="R40" s="1750" t="s">
        <v>1488</v>
      </c>
      <c r="S40" s="1750" t="s">
        <v>1488</v>
      </c>
      <c r="T40" s="1751" t="s">
        <v>1488</v>
      </c>
      <c r="U40" s="1751" t="s">
        <v>1488</v>
      </c>
      <c r="V40" s="1751" t="s">
        <v>1488</v>
      </c>
      <c r="W40" s="1751" t="s">
        <v>1488</v>
      </c>
      <c r="X40" s="1751" t="s">
        <v>1488</v>
      </c>
      <c r="Y40" s="1751" t="s">
        <v>1488</v>
      </c>
      <c r="Z40" s="1751" t="s">
        <v>1488</v>
      </c>
      <c r="AA40" s="1751" t="s">
        <v>1488</v>
      </c>
      <c r="AB40" s="1751" t="s">
        <v>1488</v>
      </c>
      <c r="AC40" s="1751" t="s">
        <v>1488</v>
      </c>
      <c r="AD40" s="1751" t="s">
        <v>1488</v>
      </c>
      <c r="AE40" s="1751" t="s">
        <v>1488</v>
      </c>
      <c r="AF40" s="1751" t="s">
        <v>1488</v>
      </c>
      <c r="AG40" s="1751" t="s">
        <v>2215</v>
      </c>
      <c r="AH40" s="1751" t="s">
        <v>1844</v>
      </c>
      <c r="AI40" s="1751" t="s">
        <v>1486</v>
      </c>
      <c r="AJ40" s="1751" t="s">
        <v>2216</v>
      </c>
      <c r="AK40" s="1751" t="s">
        <v>2180</v>
      </c>
      <c r="AL40" s="1751" t="s">
        <v>2217</v>
      </c>
      <c r="AM40" s="1751" t="s">
        <v>2218</v>
      </c>
      <c r="AN40" s="1751" t="s">
        <v>2218</v>
      </c>
      <c r="AO40" s="1751" t="s">
        <v>2218</v>
      </c>
      <c r="AP40" s="1751" t="s">
        <v>2219</v>
      </c>
      <c r="AQ40" s="1751" t="s">
        <v>2220</v>
      </c>
      <c r="AR40" s="1751" t="s">
        <v>2220</v>
      </c>
      <c r="AS40" s="1751" t="s">
        <v>2220</v>
      </c>
      <c r="AT40" s="1751" t="s">
        <v>2221</v>
      </c>
      <c r="AU40" s="1751" t="s">
        <v>2222</v>
      </c>
      <c r="AV40" s="1751" t="s">
        <v>2222</v>
      </c>
      <c r="AW40" s="1751" t="s">
        <v>2222</v>
      </c>
      <c r="AX40" s="1751" t="s">
        <v>2223</v>
      </c>
      <c r="AY40" s="1751" t="s">
        <v>2223</v>
      </c>
      <c r="AZ40" s="1751" t="s">
        <v>2223</v>
      </c>
      <c r="BA40" s="1751" t="s">
        <v>2223</v>
      </c>
      <c r="BB40" s="1751" t="s">
        <v>2223</v>
      </c>
      <c r="BC40" s="1751" t="s">
        <v>2223</v>
      </c>
      <c r="BD40" s="1751" t="s">
        <v>2223</v>
      </c>
      <c r="BE40" s="1751" t="s">
        <v>2223</v>
      </c>
      <c r="BF40" s="1751" t="s">
        <v>2223</v>
      </c>
      <c r="BG40" s="1751" t="s">
        <v>2223</v>
      </c>
      <c r="BH40" s="1751" t="s">
        <v>2223</v>
      </c>
      <c r="BI40" s="1751" t="s">
        <v>2223</v>
      </c>
      <c r="BJ40" s="1751" t="s">
        <v>2223</v>
      </c>
      <c r="BK40" s="1751" t="s">
        <v>2223</v>
      </c>
      <c r="BL40" s="1751" t="s">
        <v>2224</v>
      </c>
      <c r="BM40" s="1751" t="s">
        <v>2225</v>
      </c>
      <c r="BN40" s="1751" t="s">
        <v>2226</v>
      </c>
      <c r="BO40" s="1751" t="s">
        <v>2227</v>
      </c>
      <c r="BP40" s="1751" t="s">
        <v>2226</v>
      </c>
      <c r="BQ40" s="1751" t="s">
        <v>2226</v>
      </c>
      <c r="BR40" s="1751" t="s">
        <v>2226</v>
      </c>
      <c r="BS40" s="1751" t="s">
        <v>2228</v>
      </c>
      <c r="BT40" s="1751" t="s">
        <v>2228</v>
      </c>
      <c r="BU40" s="1751" t="s">
        <v>2229</v>
      </c>
      <c r="BV40" s="1751" t="s">
        <v>2229</v>
      </c>
      <c r="BW40" s="1751" t="s">
        <v>2230</v>
      </c>
      <c r="BX40" s="1751" t="s">
        <v>2231</v>
      </c>
      <c r="BY40" s="1751" t="s">
        <v>2232</v>
      </c>
      <c r="BZ40" s="1752" t="s">
        <v>2233</v>
      </c>
      <c r="CA40" s="1751" t="s">
        <v>2233</v>
      </c>
      <c r="CB40" s="1751" t="s">
        <v>2234</v>
      </c>
      <c r="CC40" s="1751" t="s">
        <v>2234</v>
      </c>
      <c r="CD40" s="1751" t="s">
        <v>2235</v>
      </c>
      <c r="CE40" s="1751" t="s">
        <v>2235</v>
      </c>
      <c r="CF40" s="1751" t="s">
        <v>2236</v>
      </c>
      <c r="CG40" s="1751" t="s">
        <v>1995</v>
      </c>
      <c r="CH40" s="1751" t="s">
        <v>1995</v>
      </c>
      <c r="CI40" s="1751" t="s">
        <v>2237</v>
      </c>
      <c r="CJ40" s="1751" t="s">
        <v>2238</v>
      </c>
      <c r="CK40" s="1751" t="s">
        <v>2238</v>
      </c>
      <c r="CL40" s="1751" t="s">
        <v>2239</v>
      </c>
      <c r="CM40" s="1751" t="s">
        <v>2240</v>
      </c>
      <c r="CN40" s="1751" t="s">
        <v>2241</v>
      </c>
      <c r="CO40" s="1751" t="s">
        <v>2242</v>
      </c>
      <c r="CP40" s="1751" t="s">
        <v>2243</v>
      </c>
      <c r="CQ40" s="1755" t="s">
        <v>2244</v>
      </c>
      <c r="CR40" s="1778" t="s">
        <v>2245</v>
      </c>
      <c r="CS40" s="1778" t="s">
        <v>2246</v>
      </c>
      <c r="CT40" s="1778" t="s">
        <v>2247</v>
      </c>
      <c r="CU40" s="1778" t="s">
        <v>2248</v>
      </c>
      <c r="CV40" s="1778" t="s">
        <v>1511</v>
      </c>
      <c r="CW40" s="1778" t="s">
        <v>2249</v>
      </c>
      <c r="CX40" s="1778" t="s">
        <v>1647</v>
      </c>
      <c r="CY40" s="1778" t="s">
        <v>2250</v>
      </c>
      <c r="CZ40" s="1778" t="s">
        <v>1647</v>
      </c>
      <c r="DA40" s="1778" t="s">
        <v>1886</v>
      </c>
      <c r="DB40" s="1778" t="s">
        <v>2251</v>
      </c>
      <c r="DC40" s="1779" t="s">
        <v>2252</v>
      </c>
      <c r="DD40" s="1779" t="s">
        <v>2253</v>
      </c>
      <c r="DE40" s="1779" t="s">
        <v>2254</v>
      </c>
    </row>
    <row r="41" spans="1:109" ht="17.45" customHeight="1">
      <c r="A41" s="1733" t="s">
        <v>2255</v>
      </c>
      <c r="B41" s="1749" t="s">
        <v>2256</v>
      </c>
      <c r="C41" s="1750" t="s">
        <v>2257</v>
      </c>
      <c r="D41" s="1750" t="s">
        <v>2257</v>
      </c>
      <c r="E41" s="1750" t="s">
        <v>2257</v>
      </c>
      <c r="F41" s="1749" t="s">
        <v>2257</v>
      </c>
      <c r="G41" s="1750" t="s">
        <v>2258</v>
      </c>
      <c r="H41" s="1750" t="s">
        <v>2258</v>
      </c>
      <c r="I41" s="1750"/>
      <c r="J41" s="1750"/>
      <c r="K41" s="1750"/>
      <c r="L41" s="1750"/>
      <c r="M41" s="1750"/>
      <c r="N41" s="1749"/>
      <c r="O41" s="1750"/>
      <c r="P41" s="1750"/>
      <c r="Q41" s="1749"/>
      <c r="R41" s="1750"/>
      <c r="S41" s="1750"/>
      <c r="T41" s="1751"/>
      <c r="U41" s="1751"/>
      <c r="V41" s="1751"/>
      <c r="W41" s="1751"/>
      <c r="X41" s="1751"/>
      <c r="Y41" s="1751"/>
      <c r="Z41" s="1751"/>
      <c r="AA41" s="1751"/>
      <c r="AB41" s="1751"/>
      <c r="AC41" s="1751"/>
      <c r="AD41" s="1751"/>
      <c r="AE41" s="1751"/>
      <c r="AF41" s="1751"/>
      <c r="AG41" s="1751">
        <v>20.399999999999999</v>
      </c>
      <c r="AH41" s="1751">
        <v>19.5</v>
      </c>
      <c r="AI41" s="1751">
        <v>19.5</v>
      </c>
      <c r="AJ41" s="1751">
        <v>19.5</v>
      </c>
      <c r="AK41" s="1751">
        <v>19.5</v>
      </c>
      <c r="AL41" s="1751">
        <v>19.5</v>
      </c>
      <c r="AM41" s="1751">
        <v>19.5</v>
      </c>
      <c r="AN41" s="1751">
        <v>19.5</v>
      </c>
      <c r="AO41" s="1751">
        <v>19.5</v>
      </c>
      <c r="AP41" s="1751">
        <v>19.5</v>
      </c>
      <c r="AQ41" s="1751">
        <v>19.5</v>
      </c>
      <c r="AR41" s="1751">
        <v>19.5</v>
      </c>
      <c r="AS41" s="1751">
        <v>19.5</v>
      </c>
      <c r="AT41" s="1751">
        <v>13.6</v>
      </c>
      <c r="AU41" s="1751" t="s">
        <v>2259</v>
      </c>
      <c r="AV41" s="1751" t="s">
        <v>2260</v>
      </c>
      <c r="AW41" s="1751" t="s">
        <v>2261</v>
      </c>
      <c r="AX41" s="1751" t="s">
        <v>2260</v>
      </c>
      <c r="AY41" s="1751" t="s">
        <v>2260</v>
      </c>
      <c r="AZ41" s="1751" t="s">
        <v>2260</v>
      </c>
      <c r="BA41" s="1751" t="s">
        <v>2260</v>
      </c>
      <c r="BB41" s="1751" t="s">
        <v>2260</v>
      </c>
      <c r="BC41" s="1751" t="s">
        <v>2260</v>
      </c>
      <c r="BD41" s="1751" t="s">
        <v>2262</v>
      </c>
      <c r="BE41" s="1751" t="s">
        <v>2262</v>
      </c>
      <c r="BF41" s="1751" t="s">
        <v>2262</v>
      </c>
      <c r="BG41" s="1751" t="s">
        <v>2262</v>
      </c>
      <c r="BH41" s="1751" t="s">
        <v>2263</v>
      </c>
      <c r="BI41" s="1751" t="s">
        <v>2263</v>
      </c>
      <c r="BJ41" s="1751" t="s">
        <v>2263</v>
      </c>
      <c r="BK41" s="1751" t="s">
        <v>2263</v>
      </c>
      <c r="BL41" s="1751" t="s">
        <v>2264</v>
      </c>
      <c r="BM41" s="1751" t="s">
        <v>2265</v>
      </c>
      <c r="BN41" s="1751" t="s">
        <v>2266</v>
      </c>
      <c r="BO41" s="1751" t="s">
        <v>2266</v>
      </c>
      <c r="BP41" s="1751" t="s">
        <v>2267</v>
      </c>
      <c r="BQ41" s="1751" t="s">
        <v>2266</v>
      </c>
      <c r="BR41" s="1751" t="s">
        <v>2267</v>
      </c>
      <c r="BS41" s="1751" t="s">
        <v>2268</v>
      </c>
      <c r="BT41" s="1751" t="s">
        <v>2268</v>
      </c>
      <c r="BU41" s="1751" t="s">
        <v>2269</v>
      </c>
      <c r="BV41" s="1751">
        <v>12.29</v>
      </c>
      <c r="BW41" s="1751" t="s">
        <v>2270</v>
      </c>
      <c r="BX41" s="1751">
        <v>12.2</v>
      </c>
      <c r="BY41" s="1751">
        <v>16.84</v>
      </c>
      <c r="BZ41" s="1752">
        <v>17.11</v>
      </c>
      <c r="CA41" s="1751">
        <v>17.12</v>
      </c>
      <c r="CB41" s="1751">
        <v>17.12</v>
      </c>
      <c r="CC41" s="1751" t="s">
        <v>2271</v>
      </c>
      <c r="CD41" s="1751" t="s">
        <v>2272</v>
      </c>
      <c r="CE41" s="1751" t="s">
        <v>1954</v>
      </c>
      <c r="CF41" s="1751" t="s">
        <v>1956</v>
      </c>
      <c r="CG41" s="1751" t="s">
        <v>1956</v>
      </c>
      <c r="CH41" s="1751" t="s">
        <v>2273</v>
      </c>
      <c r="CI41" s="1751" t="s">
        <v>2274</v>
      </c>
      <c r="CJ41" s="1751" t="s">
        <v>2274</v>
      </c>
      <c r="CK41" s="1751" t="s">
        <v>2274</v>
      </c>
      <c r="CL41" s="1751" t="s">
        <v>2274</v>
      </c>
      <c r="CM41" s="1751" t="s">
        <v>2274</v>
      </c>
      <c r="CN41" s="1751" t="s">
        <v>2274</v>
      </c>
      <c r="CO41" s="1751" t="s">
        <v>2274</v>
      </c>
      <c r="CP41" s="1751" t="s">
        <v>2274</v>
      </c>
      <c r="CQ41" s="1755" t="s">
        <v>2274</v>
      </c>
      <c r="CR41" s="1778" t="s">
        <v>2274</v>
      </c>
      <c r="CS41" s="1778" t="s">
        <v>1956</v>
      </c>
      <c r="CT41" s="1778" t="s">
        <v>1956</v>
      </c>
      <c r="CU41" s="1778" t="s">
        <v>1956</v>
      </c>
      <c r="CV41" s="1778" t="s">
        <v>1956</v>
      </c>
      <c r="CW41" s="1778" t="s">
        <v>1956</v>
      </c>
      <c r="CX41" s="1778" t="s">
        <v>1956</v>
      </c>
      <c r="CY41" s="1778" t="s">
        <v>1712</v>
      </c>
      <c r="CZ41" s="1778" t="s">
        <v>1712</v>
      </c>
      <c r="DA41" s="1778" t="s">
        <v>1712</v>
      </c>
      <c r="DB41" s="1778" t="s">
        <v>1712</v>
      </c>
      <c r="DC41" s="1779" t="s">
        <v>1712</v>
      </c>
      <c r="DD41" s="1779" t="s">
        <v>1712</v>
      </c>
      <c r="DE41" s="1779" t="s">
        <v>2275</v>
      </c>
    </row>
    <row r="42" spans="1:109" ht="17.45" customHeight="1">
      <c r="A42" s="1733" t="s">
        <v>2276</v>
      </c>
      <c r="B42" s="1749" t="s">
        <v>1818</v>
      </c>
      <c r="C42" s="1750" t="s">
        <v>2277</v>
      </c>
      <c r="D42" s="1750" t="s">
        <v>1544</v>
      </c>
      <c r="E42" s="1750" t="s">
        <v>2277</v>
      </c>
      <c r="F42" s="1749" t="s">
        <v>1544</v>
      </c>
      <c r="G42" s="1750" t="s">
        <v>1564</v>
      </c>
      <c r="H42" s="1750" t="s">
        <v>1564</v>
      </c>
      <c r="I42" s="1750" t="s">
        <v>1564</v>
      </c>
      <c r="J42" s="1750" t="s">
        <v>2278</v>
      </c>
      <c r="K42" s="1750" t="s">
        <v>1564</v>
      </c>
      <c r="L42" s="1750" t="s">
        <v>2279</v>
      </c>
      <c r="M42" s="1750" t="s">
        <v>2280</v>
      </c>
      <c r="N42" s="1749" t="s">
        <v>2280</v>
      </c>
      <c r="O42" s="1750" t="s">
        <v>2281</v>
      </c>
      <c r="P42" s="1750" t="s">
        <v>2282</v>
      </c>
      <c r="Q42" s="1749" t="s">
        <v>2283</v>
      </c>
      <c r="R42" s="1750" t="s">
        <v>2284</v>
      </c>
      <c r="S42" s="1750" t="s">
        <v>2284</v>
      </c>
      <c r="T42" s="1751" t="s">
        <v>2285</v>
      </c>
      <c r="U42" s="1751" t="s">
        <v>2284</v>
      </c>
      <c r="V42" s="1751" t="s">
        <v>2284</v>
      </c>
      <c r="W42" s="1751" t="s">
        <v>2283</v>
      </c>
      <c r="X42" s="1751" t="s">
        <v>2283</v>
      </c>
      <c r="Y42" s="1751" t="s">
        <v>2284</v>
      </c>
      <c r="Z42" s="1751" t="s">
        <v>1845</v>
      </c>
      <c r="AA42" s="1751" t="s">
        <v>1845</v>
      </c>
      <c r="AB42" s="1751" t="s">
        <v>2286</v>
      </c>
      <c r="AC42" s="1751" t="s">
        <v>2287</v>
      </c>
      <c r="AD42" s="1751" t="s">
        <v>2286</v>
      </c>
      <c r="AE42" s="1751" t="s">
        <v>2286</v>
      </c>
      <c r="AF42" s="1751" t="s">
        <v>2286</v>
      </c>
      <c r="AG42" s="1751" t="s">
        <v>2286</v>
      </c>
      <c r="AH42" s="1751" t="s">
        <v>2286</v>
      </c>
      <c r="AI42" s="1751" t="s">
        <v>2286</v>
      </c>
      <c r="AJ42" s="1751" t="s">
        <v>2286</v>
      </c>
      <c r="AK42" s="1751" t="s">
        <v>2286</v>
      </c>
      <c r="AL42" s="1751" t="s">
        <v>2286</v>
      </c>
      <c r="AM42" s="1751" t="s">
        <v>2286</v>
      </c>
      <c r="AN42" s="1751" t="s">
        <v>2286</v>
      </c>
      <c r="AO42" s="1751" t="s">
        <v>2286</v>
      </c>
      <c r="AP42" s="1751" t="s">
        <v>2286</v>
      </c>
      <c r="AQ42" s="1751" t="s">
        <v>2286</v>
      </c>
      <c r="AR42" s="1751" t="s">
        <v>2286</v>
      </c>
      <c r="AS42" s="1751" t="s">
        <v>2286</v>
      </c>
      <c r="AT42" s="1751" t="s">
        <v>2286</v>
      </c>
      <c r="AU42" s="1751" t="s">
        <v>2288</v>
      </c>
      <c r="AV42" s="1751" t="s">
        <v>1815</v>
      </c>
      <c r="AW42" s="1751" t="s">
        <v>1815</v>
      </c>
      <c r="AX42" s="1751" t="s">
        <v>1815</v>
      </c>
      <c r="AY42" s="1751" t="s">
        <v>1815</v>
      </c>
      <c r="AZ42" s="1751" t="s">
        <v>1815</v>
      </c>
      <c r="BA42" s="1751" t="s">
        <v>1815</v>
      </c>
      <c r="BB42" s="1751" t="s">
        <v>1815</v>
      </c>
      <c r="BC42" s="1751" t="s">
        <v>1815</v>
      </c>
      <c r="BD42" s="1751" t="s">
        <v>1815</v>
      </c>
      <c r="BE42" s="1751" t="s">
        <v>1815</v>
      </c>
      <c r="BF42" s="1751" t="s">
        <v>1815</v>
      </c>
      <c r="BG42" s="1751" t="s">
        <v>1815</v>
      </c>
      <c r="BH42" s="1751" t="s">
        <v>1815</v>
      </c>
      <c r="BI42" s="1751" t="s">
        <v>1815</v>
      </c>
      <c r="BJ42" s="1751" t="s">
        <v>1815</v>
      </c>
      <c r="BK42" s="1751" t="s">
        <v>1815</v>
      </c>
      <c r="BL42" s="1751" t="s">
        <v>1815</v>
      </c>
      <c r="BM42" s="1751" t="s">
        <v>1813</v>
      </c>
      <c r="BN42" s="1751" t="s">
        <v>2289</v>
      </c>
      <c r="BO42" s="1751" t="s">
        <v>2289</v>
      </c>
      <c r="BP42" s="1751" t="s">
        <v>2289</v>
      </c>
      <c r="BQ42" s="1751" t="s">
        <v>2289</v>
      </c>
      <c r="BR42" s="1751" t="s">
        <v>2289</v>
      </c>
      <c r="BS42" s="1751" t="s">
        <v>2290</v>
      </c>
      <c r="BT42" s="1751" t="s">
        <v>2290</v>
      </c>
      <c r="BU42" s="1751" t="s">
        <v>2290</v>
      </c>
      <c r="BV42" s="1751" t="s">
        <v>2290</v>
      </c>
      <c r="BW42" s="1751" t="s">
        <v>2291</v>
      </c>
      <c r="BX42" s="1751" t="s">
        <v>2292</v>
      </c>
      <c r="BY42" s="1751" t="s">
        <v>2292</v>
      </c>
      <c r="BZ42" s="1752" t="s">
        <v>2293</v>
      </c>
      <c r="CA42" s="1751" t="s">
        <v>1453</v>
      </c>
      <c r="CB42" s="1751" t="s">
        <v>2294</v>
      </c>
      <c r="CC42" s="1751" t="s">
        <v>2295</v>
      </c>
      <c r="CD42" s="1751" t="s">
        <v>2296</v>
      </c>
      <c r="CE42" s="1751" t="s">
        <v>2296</v>
      </c>
      <c r="CF42" s="1751" t="s">
        <v>2296</v>
      </c>
      <c r="CG42" s="1751" t="s">
        <v>2296</v>
      </c>
      <c r="CH42" s="1751" t="s">
        <v>2296</v>
      </c>
      <c r="CI42" s="1751" t="s">
        <v>2296</v>
      </c>
      <c r="CJ42" s="1751" t="s">
        <v>2296</v>
      </c>
      <c r="CK42" s="1751" t="s">
        <v>2296</v>
      </c>
      <c r="CL42" s="1751" t="s">
        <v>2296</v>
      </c>
      <c r="CM42" s="1751" t="s">
        <v>2296</v>
      </c>
      <c r="CN42" s="1751" t="s">
        <v>2296</v>
      </c>
      <c r="CO42" s="1751" t="s">
        <v>2296</v>
      </c>
      <c r="CP42" s="1751" t="s">
        <v>2296</v>
      </c>
      <c r="CQ42" s="1755" t="s">
        <v>2297</v>
      </c>
      <c r="CR42" s="1778" t="s">
        <v>2298</v>
      </c>
      <c r="CS42" s="1778" t="s">
        <v>2299</v>
      </c>
      <c r="CT42" s="1778" t="s">
        <v>2300</v>
      </c>
      <c r="CU42" s="1778" t="s">
        <v>2300</v>
      </c>
      <c r="CV42" s="1778" t="s">
        <v>2301</v>
      </c>
      <c r="CW42" s="1778" t="s">
        <v>1920</v>
      </c>
      <c r="CX42" s="1778" t="s">
        <v>2302</v>
      </c>
      <c r="CY42" s="1778" t="s">
        <v>2303</v>
      </c>
      <c r="CZ42" s="1778" t="s">
        <v>2304</v>
      </c>
      <c r="DA42" s="1778" t="s">
        <v>1915</v>
      </c>
      <c r="DB42" s="1778" t="s">
        <v>2305</v>
      </c>
      <c r="DC42" s="1779" t="s">
        <v>2306</v>
      </c>
      <c r="DD42" s="1779" t="s">
        <v>2307</v>
      </c>
      <c r="DE42" s="1779" t="s">
        <v>2304</v>
      </c>
    </row>
    <row r="43" spans="1:109" ht="17.45" customHeight="1">
      <c r="A43" s="1733" t="s">
        <v>2308</v>
      </c>
      <c r="B43" s="1749" t="s">
        <v>1404</v>
      </c>
      <c r="C43" s="1750" t="s">
        <v>2309</v>
      </c>
      <c r="D43" s="1750" t="s">
        <v>1404</v>
      </c>
      <c r="E43" s="1750" t="s">
        <v>1404</v>
      </c>
      <c r="F43" s="1749" t="s">
        <v>1404</v>
      </c>
      <c r="G43" s="1750" t="s">
        <v>1404</v>
      </c>
      <c r="H43" s="1750" t="s">
        <v>1404</v>
      </c>
      <c r="I43" s="1750" t="s">
        <v>1404</v>
      </c>
      <c r="J43" s="1750" t="s">
        <v>1404</v>
      </c>
      <c r="K43" s="1750" t="s">
        <v>1404</v>
      </c>
      <c r="L43" s="1750" t="s">
        <v>1404</v>
      </c>
      <c r="M43" s="1750" t="s">
        <v>1404</v>
      </c>
      <c r="N43" s="1749" t="s">
        <v>1404</v>
      </c>
      <c r="O43" s="1750" t="s">
        <v>1404</v>
      </c>
      <c r="P43" s="1750" t="s">
        <v>1404</v>
      </c>
      <c r="Q43" s="1749" t="s">
        <v>1404</v>
      </c>
      <c r="R43" s="1750" t="s">
        <v>1404</v>
      </c>
      <c r="S43" s="1750" t="s">
        <v>1775</v>
      </c>
      <c r="T43" s="1751" t="s">
        <v>1775</v>
      </c>
      <c r="U43" s="1751" t="s">
        <v>1563</v>
      </c>
      <c r="V43" s="1751" t="s">
        <v>2310</v>
      </c>
      <c r="W43" s="1751" t="s">
        <v>2310</v>
      </c>
      <c r="X43" s="1751" t="s">
        <v>2311</v>
      </c>
      <c r="Y43" s="1751" t="s">
        <v>1563</v>
      </c>
      <c r="Z43" s="1751" t="s">
        <v>2312</v>
      </c>
      <c r="AA43" s="1751" t="s">
        <v>2313</v>
      </c>
      <c r="AB43" s="1751" t="s">
        <v>2314</v>
      </c>
      <c r="AC43" s="1751" t="s">
        <v>2313</v>
      </c>
      <c r="AD43" s="1751" t="s">
        <v>2315</v>
      </c>
      <c r="AE43" s="1751" t="s">
        <v>1555</v>
      </c>
      <c r="AF43" s="1751" t="s">
        <v>2316</v>
      </c>
      <c r="AG43" s="1751" t="s">
        <v>1563</v>
      </c>
      <c r="AH43" s="1751" t="s">
        <v>2317</v>
      </c>
      <c r="AI43" s="1751" t="s">
        <v>2310</v>
      </c>
      <c r="AJ43" s="1751" t="s">
        <v>2318</v>
      </c>
      <c r="AK43" s="1751" t="s">
        <v>2318</v>
      </c>
      <c r="AL43" s="1751" t="s">
        <v>2319</v>
      </c>
      <c r="AM43" s="1751" t="s">
        <v>1942</v>
      </c>
      <c r="AN43" s="1751" t="s">
        <v>1942</v>
      </c>
      <c r="AO43" s="1751" t="s">
        <v>1942</v>
      </c>
      <c r="AP43" s="1751" t="s">
        <v>2320</v>
      </c>
      <c r="AQ43" s="1751" t="s">
        <v>2321</v>
      </c>
      <c r="AR43" s="1751" t="s">
        <v>2321</v>
      </c>
      <c r="AS43" s="1751" t="s">
        <v>2321</v>
      </c>
      <c r="AT43" s="1751" t="s">
        <v>1701</v>
      </c>
      <c r="AU43" s="1751" t="s">
        <v>1701</v>
      </c>
      <c r="AV43" s="1751" t="s">
        <v>1701</v>
      </c>
      <c r="AW43" s="1751" t="s">
        <v>1701</v>
      </c>
      <c r="AX43" s="1751" t="s">
        <v>1701</v>
      </c>
      <c r="AY43" s="1751" t="s">
        <v>1701</v>
      </c>
      <c r="AZ43" s="1751" t="s">
        <v>1701</v>
      </c>
      <c r="BA43" s="1751" t="s">
        <v>1701</v>
      </c>
      <c r="BB43" s="1751" t="s">
        <v>1701</v>
      </c>
      <c r="BC43" s="1751" t="s">
        <v>1701</v>
      </c>
      <c r="BD43" s="1751" t="s">
        <v>1701</v>
      </c>
      <c r="BE43" s="1751" t="s">
        <v>1701</v>
      </c>
      <c r="BF43" s="1751" t="s">
        <v>1701</v>
      </c>
      <c r="BG43" s="1751" t="s">
        <v>1701</v>
      </c>
      <c r="BH43" s="1751" t="s">
        <v>1701</v>
      </c>
      <c r="BI43" s="1751" t="s">
        <v>2322</v>
      </c>
      <c r="BJ43" s="1751" t="s">
        <v>2322</v>
      </c>
      <c r="BK43" s="1751" t="s">
        <v>2322</v>
      </c>
      <c r="BL43" s="1751" t="s">
        <v>1701</v>
      </c>
      <c r="BM43" s="1751" t="s">
        <v>1951</v>
      </c>
      <c r="BN43" s="1751" t="s">
        <v>1867</v>
      </c>
      <c r="BO43" s="1751" t="s">
        <v>1867</v>
      </c>
      <c r="BP43" s="1751" t="s">
        <v>1867</v>
      </c>
      <c r="BQ43" s="1751" t="s">
        <v>1867</v>
      </c>
      <c r="BR43" s="1751" t="s">
        <v>1867</v>
      </c>
      <c r="BS43" s="1751" t="s">
        <v>1868</v>
      </c>
      <c r="BT43" s="1751" t="s">
        <v>1868</v>
      </c>
      <c r="BU43" s="1751" t="s">
        <v>2323</v>
      </c>
      <c r="BV43" s="1751" t="s">
        <v>2323</v>
      </c>
      <c r="BW43" s="1751" t="s">
        <v>2323</v>
      </c>
      <c r="BX43" s="1751" t="s">
        <v>1871</v>
      </c>
      <c r="BY43" s="1751" t="s">
        <v>1870</v>
      </c>
      <c r="BZ43" s="1752" t="s">
        <v>1870</v>
      </c>
      <c r="CA43" s="1751" t="s">
        <v>1870</v>
      </c>
      <c r="CB43" s="1751" t="s">
        <v>2324</v>
      </c>
      <c r="CC43" s="1751" t="s">
        <v>2325</v>
      </c>
      <c r="CD43" s="1751" t="s">
        <v>2086</v>
      </c>
      <c r="CE43" s="1751" t="s">
        <v>1995</v>
      </c>
      <c r="CF43" s="1751" t="s">
        <v>1995</v>
      </c>
      <c r="CG43" s="1751" t="s">
        <v>1995</v>
      </c>
      <c r="CH43" s="1751" t="s">
        <v>2235</v>
      </c>
      <c r="CI43" s="1751" t="s">
        <v>2235</v>
      </c>
      <c r="CJ43" s="1751" t="s">
        <v>2326</v>
      </c>
      <c r="CK43" s="1751" t="s">
        <v>2327</v>
      </c>
      <c r="CL43" s="1751" t="s">
        <v>2328</v>
      </c>
      <c r="CM43" s="1751" t="s">
        <v>2237</v>
      </c>
      <c r="CN43" s="1751" t="s">
        <v>2329</v>
      </c>
      <c r="CO43" s="1751" t="s">
        <v>2330</v>
      </c>
      <c r="CP43" s="1751" t="s">
        <v>2331</v>
      </c>
      <c r="CQ43" s="1755" t="s">
        <v>2332</v>
      </c>
      <c r="CR43" s="1778" t="s">
        <v>2333</v>
      </c>
      <c r="CS43" s="1778" t="s">
        <v>2334</v>
      </c>
      <c r="CT43" s="1778" t="s">
        <v>2335</v>
      </c>
      <c r="CU43" s="1778" t="s">
        <v>2336</v>
      </c>
      <c r="CV43" s="1778" t="s">
        <v>2337</v>
      </c>
      <c r="CW43" s="1778" t="s">
        <v>2338</v>
      </c>
      <c r="CX43" s="1778" t="s">
        <v>2337</v>
      </c>
      <c r="CY43" s="1778" t="s">
        <v>2339</v>
      </c>
      <c r="CZ43" s="1778" t="s">
        <v>2340</v>
      </c>
      <c r="DA43" s="1778" t="s">
        <v>2341</v>
      </c>
      <c r="DB43" s="1778" t="s">
        <v>2342</v>
      </c>
      <c r="DC43" s="1779" t="s">
        <v>2343</v>
      </c>
      <c r="DD43" s="1779" t="s">
        <v>2340</v>
      </c>
      <c r="DE43" s="1779" t="s">
        <v>1883</v>
      </c>
    </row>
    <row r="44" spans="1:109" ht="17.45" customHeight="1">
      <c r="A44" s="1733" t="s">
        <v>2344</v>
      </c>
      <c r="B44" s="1749" t="s">
        <v>2345</v>
      </c>
      <c r="C44" s="1750" t="s">
        <v>2346</v>
      </c>
      <c r="D44" s="1750" t="s">
        <v>2346</v>
      </c>
      <c r="E44" s="1750" t="s">
        <v>1489</v>
      </c>
      <c r="F44" s="1749" t="s">
        <v>2346</v>
      </c>
      <c r="G44" s="1750" t="s">
        <v>2347</v>
      </c>
      <c r="H44" s="1750" t="s">
        <v>2347</v>
      </c>
      <c r="I44" s="1750" t="s">
        <v>2347</v>
      </c>
      <c r="J44" s="1750" t="s">
        <v>2347</v>
      </c>
      <c r="K44" s="1750" t="s">
        <v>2347</v>
      </c>
      <c r="L44" s="1750" t="s">
        <v>2347</v>
      </c>
      <c r="M44" s="1750" t="s">
        <v>2347</v>
      </c>
      <c r="N44" s="1749" t="s">
        <v>2348</v>
      </c>
      <c r="O44" s="1750" t="s">
        <v>2349</v>
      </c>
      <c r="P44" s="1750" t="s">
        <v>2350</v>
      </c>
      <c r="Q44" s="1749" t="s">
        <v>2351</v>
      </c>
      <c r="R44" s="1750" t="s">
        <v>2351</v>
      </c>
      <c r="S44" s="1750" t="s">
        <v>2351</v>
      </c>
      <c r="T44" s="1751" t="s">
        <v>2351</v>
      </c>
      <c r="U44" s="1751" t="s">
        <v>2351</v>
      </c>
      <c r="V44" s="1751" t="s">
        <v>2351</v>
      </c>
      <c r="W44" s="1751" t="s">
        <v>2351</v>
      </c>
      <c r="X44" s="1751" t="s">
        <v>2351</v>
      </c>
      <c r="Y44" s="1751" t="s">
        <v>2351</v>
      </c>
      <c r="Z44" s="1751" t="s">
        <v>2352</v>
      </c>
      <c r="AA44" s="1751" t="s">
        <v>1846</v>
      </c>
      <c r="AB44" s="1751" t="s">
        <v>2353</v>
      </c>
      <c r="AC44" s="1751" t="s">
        <v>2354</v>
      </c>
      <c r="AD44" s="1751" t="s">
        <v>2355</v>
      </c>
      <c r="AE44" s="1751" t="s">
        <v>2356</v>
      </c>
      <c r="AF44" s="1751" t="s">
        <v>2357</v>
      </c>
      <c r="AG44" s="1751" t="s">
        <v>2358</v>
      </c>
      <c r="AH44" s="1751" t="s">
        <v>2359</v>
      </c>
      <c r="AI44" s="1751" t="s">
        <v>2360</v>
      </c>
      <c r="AJ44" s="1751" t="s">
        <v>2361</v>
      </c>
      <c r="AK44" s="1751" t="s">
        <v>1546</v>
      </c>
      <c r="AL44" s="1751" t="s">
        <v>2361</v>
      </c>
      <c r="AM44" s="1751" t="s">
        <v>2362</v>
      </c>
      <c r="AN44" s="1751" t="s">
        <v>2363</v>
      </c>
      <c r="AO44" s="1751" t="s">
        <v>2363</v>
      </c>
      <c r="AP44" s="1751" t="s">
        <v>2364</v>
      </c>
      <c r="AQ44" s="1751" t="s">
        <v>2365</v>
      </c>
      <c r="AR44" s="1751" t="s">
        <v>2365</v>
      </c>
      <c r="AS44" s="1751" t="s">
        <v>2365</v>
      </c>
      <c r="AT44" s="1751" t="s">
        <v>2366</v>
      </c>
      <c r="AU44" s="1751" t="s">
        <v>2367</v>
      </c>
      <c r="AV44" s="1751" t="s">
        <v>2367</v>
      </c>
      <c r="AW44" s="1751" t="s">
        <v>2367</v>
      </c>
      <c r="AX44" s="1751" t="s">
        <v>2367</v>
      </c>
      <c r="AY44" s="1751" t="s">
        <v>2367</v>
      </c>
      <c r="AZ44" s="1751" t="s">
        <v>2367</v>
      </c>
      <c r="BA44" s="1751" t="s">
        <v>2368</v>
      </c>
      <c r="BB44" s="1751" t="s">
        <v>2368</v>
      </c>
      <c r="BC44" s="1751" t="s">
        <v>2368</v>
      </c>
      <c r="BD44" s="1751" t="s">
        <v>2368</v>
      </c>
      <c r="BE44" s="1751" t="s">
        <v>2368</v>
      </c>
      <c r="BF44" s="1751" t="s">
        <v>2368</v>
      </c>
      <c r="BG44" s="1751" t="s">
        <v>2368</v>
      </c>
      <c r="BH44" s="1751" t="s">
        <v>2369</v>
      </c>
      <c r="BI44" s="1751" t="s">
        <v>2369</v>
      </c>
      <c r="BJ44" s="1751" t="s">
        <v>2369</v>
      </c>
      <c r="BK44" s="1751" t="s">
        <v>2369</v>
      </c>
      <c r="BL44" s="1751" t="s">
        <v>2369</v>
      </c>
      <c r="BM44" s="1751" t="s">
        <v>1707</v>
      </c>
      <c r="BN44" s="1751" t="s">
        <v>1707</v>
      </c>
      <c r="BO44" s="1751" t="s">
        <v>1707</v>
      </c>
      <c r="BP44" s="1751" t="s">
        <v>1707</v>
      </c>
      <c r="BQ44" s="1751" t="s">
        <v>1707</v>
      </c>
      <c r="BR44" s="1751" t="s">
        <v>1707</v>
      </c>
      <c r="BS44" s="1751" t="s">
        <v>1868</v>
      </c>
      <c r="BT44" s="1751" t="s">
        <v>1868</v>
      </c>
      <c r="BU44" s="1751" t="s">
        <v>1868</v>
      </c>
      <c r="BV44" s="1751" t="s">
        <v>1868</v>
      </c>
      <c r="BW44" s="1751" t="s">
        <v>2178</v>
      </c>
      <c r="BX44" s="1751" t="s">
        <v>1455</v>
      </c>
      <c r="BY44" s="1751" t="s">
        <v>1884</v>
      </c>
      <c r="BZ44" s="1752" t="s">
        <v>2370</v>
      </c>
      <c r="CA44" s="1751" t="s">
        <v>2370</v>
      </c>
      <c r="CB44" s="1751" t="s">
        <v>2371</v>
      </c>
      <c r="CC44" s="1751" t="s">
        <v>2371</v>
      </c>
      <c r="CD44" s="1751" t="s">
        <v>2372</v>
      </c>
      <c r="CE44" s="1751" t="s">
        <v>2373</v>
      </c>
      <c r="CF44" s="1751" t="s">
        <v>2373</v>
      </c>
      <c r="CG44" s="1751" t="s">
        <v>2373</v>
      </c>
      <c r="CH44" s="1751" t="s">
        <v>2373</v>
      </c>
      <c r="CI44" s="1751" t="s">
        <v>2373</v>
      </c>
      <c r="CJ44" s="1751" t="s">
        <v>2373</v>
      </c>
      <c r="CK44" s="1751" t="s">
        <v>2373</v>
      </c>
      <c r="CL44" s="1751" t="s">
        <v>2373</v>
      </c>
      <c r="CM44" s="1751" t="s">
        <v>2373</v>
      </c>
      <c r="CN44" s="1751" t="s">
        <v>2373</v>
      </c>
      <c r="CO44" s="1751" t="s">
        <v>2373</v>
      </c>
      <c r="CP44" s="1751" t="s">
        <v>2374</v>
      </c>
      <c r="CQ44" s="1755" t="s">
        <v>1953</v>
      </c>
      <c r="CR44" s="1778" t="s">
        <v>2375</v>
      </c>
      <c r="CS44" s="1778" t="s">
        <v>2376</v>
      </c>
      <c r="CT44" s="1778" t="s">
        <v>2377</v>
      </c>
      <c r="CU44" s="1778" t="s">
        <v>2377</v>
      </c>
      <c r="CV44" s="1778" t="s">
        <v>2378</v>
      </c>
      <c r="CW44" s="1778" t="s">
        <v>2379</v>
      </c>
      <c r="CX44" s="1778" t="s">
        <v>2380</v>
      </c>
      <c r="CY44" s="1778" t="s">
        <v>1841</v>
      </c>
      <c r="CZ44" s="1778" t="s">
        <v>2304</v>
      </c>
      <c r="DA44" s="1778" t="s">
        <v>2304</v>
      </c>
      <c r="DB44" s="1778" t="s">
        <v>2381</v>
      </c>
      <c r="DC44" s="1779" t="s">
        <v>2382</v>
      </c>
      <c r="DD44" s="1779" t="s">
        <v>2304</v>
      </c>
      <c r="DE44" s="1779" t="s">
        <v>1917</v>
      </c>
    </row>
    <row r="45" spans="1:109" ht="17.45" customHeight="1">
      <c r="A45" s="1733"/>
      <c r="B45" s="1712"/>
      <c r="C45" s="1713"/>
      <c r="D45" s="1713"/>
      <c r="E45" s="1713"/>
      <c r="F45" s="1712"/>
      <c r="G45" s="1713"/>
      <c r="H45" s="1713"/>
      <c r="I45" s="1713"/>
      <c r="J45" s="1713"/>
      <c r="K45" s="1713"/>
      <c r="L45" s="1713"/>
      <c r="M45" s="1713"/>
      <c r="N45" s="1712"/>
      <c r="O45" s="1713"/>
      <c r="P45" s="1713"/>
      <c r="Q45" s="1712"/>
      <c r="R45" s="1713"/>
      <c r="S45" s="1713"/>
      <c r="T45" s="1785"/>
      <c r="U45" s="1785"/>
      <c r="V45" s="1785"/>
      <c r="W45" s="1785"/>
      <c r="X45" s="1785"/>
      <c r="Y45" s="1785"/>
      <c r="Z45" s="1785"/>
      <c r="AA45" s="1785"/>
      <c r="AB45" s="1785"/>
      <c r="AC45" s="1785"/>
      <c r="AD45" s="1785"/>
      <c r="AE45" s="1785"/>
      <c r="AF45" s="1785"/>
      <c r="AG45" s="1785"/>
      <c r="AH45" s="1785"/>
      <c r="AI45" s="1785"/>
      <c r="AJ45" s="1785"/>
      <c r="AK45" s="1785"/>
      <c r="AL45" s="1785"/>
      <c r="AM45" s="1785"/>
      <c r="AN45" s="1785"/>
      <c r="AO45" s="1785"/>
      <c r="AP45" s="1785"/>
      <c r="AQ45" s="1785"/>
      <c r="AR45" s="1785"/>
      <c r="AS45" s="1785"/>
      <c r="AT45" s="1785"/>
      <c r="AU45" s="1785"/>
      <c r="AV45" s="1785"/>
      <c r="AW45" s="1785"/>
      <c r="AX45" s="1785"/>
      <c r="AY45" s="1785"/>
      <c r="AZ45" s="1785"/>
      <c r="BA45" s="1785"/>
      <c r="BB45" s="1785"/>
      <c r="BC45" s="1785"/>
      <c r="BD45" s="1785"/>
      <c r="BE45" s="1785"/>
      <c r="BF45" s="1785"/>
      <c r="BG45" s="1785"/>
      <c r="BH45" s="1785"/>
      <c r="BI45" s="1785"/>
      <c r="BJ45" s="1785"/>
      <c r="BK45" s="1785"/>
      <c r="BL45" s="1785"/>
      <c r="BM45" s="1785"/>
      <c r="BN45" s="1785"/>
      <c r="BO45" s="1785"/>
      <c r="BP45" s="1786"/>
      <c r="BQ45" s="1786"/>
      <c r="BR45" s="1786"/>
      <c r="BS45" s="1786"/>
      <c r="BT45" s="1786"/>
      <c r="BU45" s="1786"/>
      <c r="BV45" s="1786"/>
      <c r="BW45" s="1786"/>
      <c r="BX45" s="1786"/>
      <c r="BY45" s="1786"/>
      <c r="BZ45" s="1719"/>
      <c r="CA45" s="1786"/>
      <c r="CB45" s="1786"/>
      <c r="CC45" s="1786"/>
      <c r="CD45" s="1786"/>
      <c r="CE45" s="1786"/>
      <c r="CF45" s="1786"/>
      <c r="CG45" s="1786"/>
      <c r="CH45" s="1786"/>
      <c r="CI45" s="1786"/>
      <c r="CJ45" s="1786"/>
      <c r="CK45" s="1786"/>
      <c r="CL45" s="1786"/>
      <c r="CM45" s="1786"/>
      <c r="CN45" s="1786"/>
      <c r="CO45" s="1786"/>
      <c r="CP45" s="1786"/>
      <c r="CQ45" s="1755"/>
      <c r="CR45" s="1787"/>
      <c r="CS45" s="1787"/>
      <c r="CT45" s="1787"/>
      <c r="CU45" s="1787"/>
      <c r="CV45" s="1787"/>
      <c r="CW45" s="1787"/>
      <c r="CX45" s="1787"/>
      <c r="CY45" s="1787"/>
      <c r="CZ45" s="1787"/>
      <c r="DA45" s="1787"/>
      <c r="DB45" s="1787"/>
      <c r="DC45" s="1788"/>
      <c r="DD45" s="1788"/>
      <c r="DE45" s="1788"/>
    </row>
    <row r="46" spans="1:109" ht="17.45" customHeight="1">
      <c r="A46" s="1733" t="s">
        <v>2383</v>
      </c>
      <c r="B46" s="1712"/>
      <c r="C46" s="1713"/>
      <c r="D46" s="1713"/>
      <c r="E46" s="1713"/>
      <c r="F46" s="1712"/>
      <c r="G46" s="1713"/>
      <c r="H46" s="1713"/>
      <c r="I46" s="1713"/>
      <c r="J46" s="1713"/>
      <c r="K46" s="1713"/>
      <c r="L46" s="1713"/>
      <c r="M46" s="1713"/>
      <c r="N46" s="1712"/>
      <c r="O46" s="1713"/>
      <c r="P46" s="1713"/>
      <c r="Q46" s="1712"/>
      <c r="R46" s="1713"/>
      <c r="S46" s="1713"/>
      <c r="T46" s="1785"/>
      <c r="U46" s="1785"/>
      <c r="V46" s="1785"/>
      <c r="W46" s="1785"/>
      <c r="X46" s="1785"/>
      <c r="Y46" s="1785"/>
      <c r="Z46" s="1785"/>
      <c r="AA46" s="1785"/>
      <c r="AB46" s="1785"/>
      <c r="AC46" s="1785"/>
      <c r="AD46" s="1785"/>
      <c r="AE46" s="1785"/>
      <c r="AF46" s="1785"/>
      <c r="AG46" s="1785"/>
      <c r="AH46" s="1785"/>
      <c r="AI46" s="1785"/>
      <c r="AJ46" s="1785"/>
      <c r="AK46" s="1785"/>
      <c r="AL46" s="1785"/>
      <c r="AM46" s="1785"/>
      <c r="AN46" s="1785"/>
      <c r="AO46" s="1785"/>
      <c r="AP46" s="1785"/>
      <c r="AQ46" s="1785"/>
      <c r="AR46" s="1785"/>
      <c r="AS46" s="1785"/>
      <c r="AT46" s="1785"/>
      <c r="AU46" s="1785"/>
      <c r="AV46" s="1785"/>
      <c r="AW46" s="1785"/>
      <c r="AX46" s="1785"/>
      <c r="AY46" s="1785"/>
      <c r="AZ46" s="1785"/>
      <c r="BA46" s="1785"/>
      <c r="BB46" s="1785"/>
      <c r="BC46" s="1785"/>
      <c r="BD46" s="1785"/>
      <c r="BE46" s="1785"/>
      <c r="BF46" s="1785"/>
      <c r="BG46" s="1785"/>
      <c r="BH46" s="1785"/>
      <c r="BI46" s="1785"/>
      <c r="BJ46" s="1785"/>
      <c r="BK46" s="1785"/>
      <c r="BL46" s="1785"/>
      <c r="BM46" s="1785"/>
      <c r="BN46" s="1785"/>
      <c r="BO46" s="1785"/>
      <c r="BP46" s="1786"/>
      <c r="BQ46" s="1786"/>
      <c r="BR46" s="1786"/>
      <c r="BS46" s="1786"/>
      <c r="BT46" s="1786"/>
      <c r="BU46" s="1786"/>
      <c r="BV46" s="1786"/>
      <c r="BW46" s="1786"/>
      <c r="BX46" s="1786"/>
      <c r="BY46" s="1786"/>
      <c r="BZ46" s="1719"/>
      <c r="CA46" s="1786"/>
      <c r="CB46" s="1786"/>
      <c r="CC46" s="1786"/>
      <c r="CD46" s="1786"/>
      <c r="CE46" s="1786"/>
      <c r="CF46" s="1786"/>
      <c r="CG46" s="1786"/>
      <c r="CH46" s="1786"/>
      <c r="CI46" s="1786"/>
      <c r="CJ46" s="1786"/>
      <c r="CK46" s="1786"/>
      <c r="CL46" s="1786"/>
      <c r="CM46" s="1786"/>
      <c r="CN46" s="1786"/>
      <c r="CO46" s="1786"/>
      <c r="CP46" s="1786"/>
      <c r="CQ46" s="1747"/>
      <c r="CR46" s="1787"/>
      <c r="CS46" s="1787"/>
      <c r="CT46" s="1787"/>
      <c r="CU46" s="1787"/>
      <c r="CV46" s="1787"/>
      <c r="CW46" s="1787"/>
      <c r="CX46" s="1787"/>
      <c r="CY46" s="1787"/>
      <c r="CZ46" s="1787"/>
      <c r="DA46" s="1787"/>
      <c r="DB46" s="1787"/>
      <c r="DC46" s="1788"/>
      <c r="DD46" s="1788"/>
      <c r="DE46" s="1788"/>
    </row>
    <row r="47" spans="1:109" ht="17.45" customHeight="1">
      <c r="A47" s="1733" t="s">
        <v>2384</v>
      </c>
      <c r="B47" s="1789" t="s">
        <v>2385</v>
      </c>
      <c r="C47" s="1790">
        <v>5</v>
      </c>
      <c r="D47" s="1790">
        <v>5</v>
      </c>
      <c r="E47" s="1790">
        <v>5</v>
      </c>
      <c r="F47" s="1789">
        <v>5</v>
      </c>
      <c r="G47" s="1790" t="s">
        <v>2386</v>
      </c>
      <c r="H47" s="1790" t="s">
        <v>2386</v>
      </c>
      <c r="I47" s="1790" t="s">
        <v>2386</v>
      </c>
      <c r="J47" s="1790" t="s">
        <v>2386</v>
      </c>
      <c r="K47" s="1790" t="s">
        <v>2386</v>
      </c>
      <c r="L47" s="1790" t="s">
        <v>2386</v>
      </c>
      <c r="M47" s="1790" t="s">
        <v>2386</v>
      </c>
      <c r="N47" s="1789" t="s">
        <v>2387</v>
      </c>
      <c r="O47" s="1790" t="s">
        <v>2387</v>
      </c>
      <c r="P47" s="1790" t="s">
        <v>2388</v>
      </c>
      <c r="Q47" s="1789" t="s">
        <v>2388</v>
      </c>
      <c r="R47" s="1790" t="s">
        <v>2388</v>
      </c>
      <c r="S47" s="1790" t="s">
        <v>2388</v>
      </c>
      <c r="T47" s="1791" t="s">
        <v>2388</v>
      </c>
      <c r="U47" s="1791" t="s">
        <v>2388</v>
      </c>
      <c r="V47" s="1791" t="s">
        <v>2388</v>
      </c>
      <c r="W47" s="1791" t="s">
        <v>2388</v>
      </c>
      <c r="X47" s="1791" t="s">
        <v>2388</v>
      </c>
      <c r="Y47" s="1791" t="s">
        <v>2388</v>
      </c>
      <c r="Z47" s="1791" t="s">
        <v>2389</v>
      </c>
      <c r="AA47" s="1791" t="s">
        <v>2389</v>
      </c>
      <c r="AB47" s="1791" t="s">
        <v>2389</v>
      </c>
      <c r="AC47" s="1791" t="s">
        <v>2389</v>
      </c>
      <c r="AD47" s="1791" t="s">
        <v>2389</v>
      </c>
      <c r="AE47" s="1791" t="s">
        <v>2389</v>
      </c>
      <c r="AF47" s="1791" t="s">
        <v>2389</v>
      </c>
      <c r="AG47" s="1791" t="s">
        <v>2390</v>
      </c>
      <c r="AH47" s="1791" t="s">
        <v>2391</v>
      </c>
      <c r="AI47" s="1791" t="s">
        <v>1085</v>
      </c>
      <c r="AJ47" s="1791" t="s">
        <v>1100</v>
      </c>
      <c r="AK47" s="1791" t="s">
        <v>1100</v>
      </c>
      <c r="AL47" s="1791" t="s">
        <v>2392</v>
      </c>
      <c r="AM47" s="1791" t="s">
        <v>2392</v>
      </c>
      <c r="AN47" s="1791" t="s">
        <v>2392</v>
      </c>
      <c r="AO47" s="1791" t="s">
        <v>2392</v>
      </c>
      <c r="AP47" s="1791" t="s">
        <v>2393</v>
      </c>
      <c r="AQ47" s="1791" t="s">
        <v>964</v>
      </c>
      <c r="AR47" s="1791" t="s">
        <v>964</v>
      </c>
      <c r="AS47" s="1791" t="s">
        <v>964</v>
      </c>
      <c r="AT47" s="1791" t="s">
        <v>2394</v>
      </c>
      <c r="AU47" s="1791" t="s">
        <v>2395</v>
      </c>
      <c r="AV47" s="1791" t="s">
        <v>2395</v>
      </c>
      <c r="AW47" s="1791" t="s">
        <v>2395</v>
      </c>
      <c r="AX47" s="1791" t="s">
        <v>2395</v>
      </c>
      <c r="AY47" s="1791" t="s">
        <v>2395</v>
      </c>
      <c r="AZ47" s="1791" t="s">
        <v>2395</v>
      </c>
      <c r="BA47" s="1791" t="s">
        <v>2395</v>
      </c>
      <c r="BB47" s="1791" t="s">
        <v>2395</v>
      </c>
      <c r="BC47" s="1791" t="s">
        <v>2395</v>
      </c>
      <c r="BD47" s="1791" t="s">
        <v>2395</v>
      </c>
      <c r="BE47" s="1791" t="s">
        <v>2395</v>
      </c>
      <c r="BF47" s="1791" t="s">
        <v>2395</v>
      </c>
      <c r="BG47" s="1791" t="s">
        <v>2395</v>
      </c>
      <c r="BH47" s="1791" t="s">
        <v>2395</v>
      </c>
      <c r="BI47" s="1791" t="s">
        <v>2395</v>
      </c>
      <c r="BJ47" s="1791" t="s">
        <v>2395</v>
      </c>
      <c r="BK47" s="1791" t="s">
        <v>2395</v>
      </c>
      <c r="BL47" s="1791" t="s">
        <v>2396</v>
      </c>
      <c r="BM47" s="1791" t="s">
        <v>980</v>
      </c>
      <c r="BN47" s="1791" t="s">
        <v>980</v>
      </c>
      <c r="BO47" s="1791" t="s">
        <v>980</v>
      </c>
      <c r="BP47" s="1791" t="s">
        <v>980</v>
      </c>
      <c r="BQ47" s="1791" t="s">
        <v>980</v>
      </c>
      <c r="BR47" s="1791" t="s">
        <v>980</v>
      </c>
      <c r="BS47" s="1791" t="s">
        <v>980</v>
      </c>
      <c r="BT47" s="1791" t="s">
        <v>980</v>
      </c>
      <c r="BU47" s="1791" t="s">
        <v>2397</v>
      </c>
      <c r="BV47" s="1791" t="s">
        <v>2397</v>
      </c>
      <c r="BW47" s="1791" t="s">
        <v>2397</v>
      </c>
      <c r="BX47" s="1791" t="s">
        <v>2397</v>
      </c>
      <c r="BY47" s="1791" t="s">
        <v>2397</v>
      </c>
      <c r="BZ47" s="1792" t="s">
        <v>2397</v>
      </c>
      <c r="CA47" s="1791" t="s">
        <v>2397</v>
      </c>
      <c r="CB47" s="1791" t="s">
        <v>2397</v>
      </c>
      <c r="CC47" s="1791" t="s">
        <v>2397</v>
      </c>
      <c r="CD47" s="1791" t="s">
        <v>2398</v>
      </c>
      <c r="CE47" s="1791" t="s">
        <v>2399</v>
      </c>
      <c r="CF47" s="1791" t="s">
        <v>2399</v>
      </c>
      <c r="CG47" s="1791" t="s">
        <v>2399</v>
      </c>
      <c r="CH47" s="1791" t="s">
        <v>2399</v>
      </c>
      <c r="CI47" s="1791" t="s">
        <v>2399</v>
      </c>
      <c r="CJ47" s="1791" t="s">
        <v>2399</v>
      </c>
      <c r="CK47" s="1791" t="s">
        <v>2399</v>
      </c>
      <c r="CL47" s="1791" t="s">
        <v>2399</v>
      </c>
      <c r="CM47" s="1791" t="s">
        <v>2399</v>
      </c>
      <c r="CN47" s="1791" t="s">
        <v>2399</v>
      </c>
      <c r="CO47" s="1791" t="s">
        <v>2399</v>
      </c>
      <c r="CP47" s="1791" t="s">
        <v>2399</v>
      </c>
      <c r="CQ47" s="1793" t="s">
        <v>2399</v>
      </c>
      <c r="CR47" s="1794" t="s">
        <v>2399</v>
      </c>
      <c r="CS47" s="1794" t="s">
        <v>2400</v>
      </c>
      <c r="CT47" s="1794" t="s">
        <v>2401</v>
      </c>
      <c r="CU47" s="1794" t="s">
        <v>2401</v>
      </c>
      <c r="CV47" s="1794" t="s">
        <v>2401</v>
      </c>
      <c r="CW47" s="1794" t="s">
        <v>2402</v>
      </c>
      <c r="CX47" s="1794" t="s">
        <v>2402</v>
      </c>
      <c r="CY47" s="1794" t="s">
        <v>2402</v>
      </c>
      <c r="CZ47" s="1794" t="s">
        <v>2402</v>
      </c>
      <c r="DA47" s="1794" t="s">
        <v>2402</v>
      </c>
      <c r="DB47" s="1794" t="s">
        <v>2403</v>
      </c>
      <c r="DC47" s="1794" t="s">
        <v>2403</v>
      </c>
      <c r="DD47" s="1794" t="s">
        <v>2403</v>
      </c>
      <c r="DE47" s="1794" t="s">
        <v>2403</v>
      </c>
    </row>
    <row r="48" spans="1:109" ht="17.45" customHeight="1">
      <c r="A48" s="1733" t="s">
        <v>2404</v>
      </c>
      <c r="B48" s="1757"/>
      <c r="C48" s="1758"/>
      <c r="D48" s="1758"/>
      <c r="E48" s="1758"/>
      <c r="F48" s="1757"/>
      <c r="G48" s="1758"/>
      <c r="H48" s="1758"/>
      <c r="I48" s="1758"/>
      <c r="J48" s="1758"/>
      <c r="K48" s="1758"/>
      <c r="L48" s="1758"/>
      <c r="M48" s="1758"/>
      <c r="N48" s="1757"/>
      <c r="O48" s="1758"/>
      <c r="P48" s="1758"/>
      <c r="Q48" s="1757"/>
      <c r="R48" s="1758"/>
      <c r="S48" s="1758"/>
      <c r="T48" s="1759"/>
      <c r="U48" s="1759"/>
      <c r="V48" s="1759"/>
      <c r="W48" s="1759"/>
      <c r="X48" s="1759"/>
      <c r="Y48" s="1759"/>
      <c r="Z48" s="1759"/>
      <c r="AA48" s="1759"/>
      <c r="AB48" s="1759"/>
      <c r="AC48" s="1759"/>
      <c r="AD48" s="1759"/>
      <c r="AE48" s="1759"/>
      <c r="AF48" s="1759"/>
      <c r="AG48" s="1759"/>
      <c r="AH48" s="1759"/>
      <c r="AI48" s="1759"/>
      <c r="AJ48" s="1759"/>
      <c r="AK48" s="1759"/>
      <c r="AL48" s="1759"/>
      <c r="AM48" s="1759"/>
      <c r="AN48" s="1759"/>
      <c r="AO48" s="1759"/>
      <c r="AP48" s="1759"/>
      <c r="AQ48" s="1759"/>
      <c r="AR48" s="1759"/>
      <c r="AS48" s="1759"/>
      <c r="AT48" s="1759"/>
      <c r="AU48" s="1759"/>
      <c r="AV48" s="1759"/>
      <c r="AW48" s="1759"/>
      <c r="AX48" s="1759"/>
      <c r="AY48" s="1759"/>
      <c r="AZ48" s="1759"/>
      <c r="BA48" s="1759"/>
      <c r="BB48" s="1759"/>
      <c r="BC48" s="1759"/>
      <c r="BD48" s="1759"/>
      <c r="BE48" s="1759"/>
      <c r="BF48" s="1759"/>
      <c r="BG48" s="1759"/>
      <c r="BH48" s="1759"/>
      <c r="BI48" s="1759"/>
      <c r="BJ48" s="1759"/>
      <c r="BK48" s="1759"/>
      <c r="BL48" s="1759"/>
      <c r="BM48" s="1759"/>
      <c r="BN48" s="1759"/>
      <c r="BO48" s="1759"/>
      <c r="BP48" s="1795"/>
      <c r="BQ48" s="1795"/>
      <c r="BR48" s="1795"/>
      <c r="BS48" s="1795"/>
      <c r="BT48" s="1795"/>
      <c r="BU48" s="1795"/>
      <c r="BV48" s="1795"/>
      <c r="BW48" s="1795"/>
      <c r="BX48" s="1795"/>
      <c r="BY48" s="1795"/>
      <c r="BZ48" s="1796"/>
      <c r="CA48" s="1795"/>
      <c r="CB48" s="1795"/>
      <c r="CC48" s="1795"/>
      <c r="CD48" s="1795"/>
      <c r="CE48" s="1795"/>
      <c r="CF48" s="1795"/>
      <c r="CG48" s="1795"/>
      <c r="CH48" s="1795"/>
      <c r="CI48" s="1795"/>
      <c r="CJ48" s="1795"/>
      <c r="CK48" s="1795"/>
      <c r="CL48" s="1795"/>
      <c r="CM48" s="1795"/>
      <c r="CN48" s="1795"/>
      <c r="CO48" s="1795"/>
      <c r="CP48" s="1795"/>
      <c r="CQ48" s="1747"/>
      <c r="CR48" s="1787"/>
      <c r="CS48" s="1787"/>
      <c r="CT48" s="1787"/>
      <c r="CU48" s="1787"/>
      <c r="CV48" s="1787"/>
      <c r="CW48" s="1787"/>
      <c r="CX48" s="1787"/>
      <c r="CY48" s="1787"/>
      <c r="CZ48" s="1787"/>
      <c r="DA48" s="1787"/>
      <c r="DB48" s="1787"/>
      <c r="DC48" s="1788"/>
      <c r="DD48" s="1788"/>
      <c r="DE48" s="1788"/>
    </row>
    <row r="49" spans="1:109" ht="17.45" customHeight="1">
      <c r="A49" s="1733" t="s">
        <v>2405</v>
      </c>
      <c r="B49" s="1749" t="s">
        <v>2406</v>
      </c>
      <c r="C49" s="1750" t="s">
        <v>2407</v>
      </c>
      <c r="D49" s="1750" t="s">
        <v>2408</v>
      </c>
      <c r="E49" s="1750" t="s">
        <v>2408</v>
      </c>
      <c r="F49" s="1749" t="s">
        <v>2408</v>
      </c>
      <c r="G49" s="1750" t="s">
        <v>2409</v>
      </c>
      <c r="H49" s="1750" t="s">
        <v>2410</v>
      </c>
      <c r="I49" s="1750" t="s">
        <v>2410</v>
      </c>
      <c r="J49" s="1750" t="s">
        <v>2411</v>
      </c>
      <c r="K49" s="1750" t="s">
        <v>2411</v>
      </c>
      <c r="L49" s="1750" t="s">
        <v>2410</v>
      </c>
      <c r="M49" s="1750" t="s">
        <v>2412</v>
      </c>
      <c r="N49" s="1749" t="s">
        <v>2413</v>
      </c>
      <c r="O49" s="1750" t="s">
        <v>2413</v>
      </c>
      <c r="P49" s="1750" t="s">
        <v>2414</v>
      </c>
      <c r="Q49" s="1749" t="s">
        <v>2414</v>
      </c>
      <c r="R49" s="1750" t="s">
        <v>2414</v>
      </c>
      <c r="S49" s="1750" t="s">
        <v>2414</v>
      </c>
      <c r="T49" s="1751" t="s">
        <v>2414</v>
      </c>
      <c r="U49" s="1751" t="s">
        <v>2414</v>
      </c>
      <c r="V49" s="1751" t="s">
        <v>2414</v>
      </c>
      <c r="W49" s="1751" t="s">
        <v>2414</v>
      </c>
      <c r="X49" s="1751" t="s">
        <v>2415</v>
      </c>
      <c r="Y49" s="1751" t="s">
        <v>2415</v>
      </c>
      <c r="Z49" s="1751" t="s">
        <v>1089</v>
      </c>
      <c r="AA49" s="1751" t="s">
        <v>1089</v>
      </c>
      <c r="AB49" s="1751" t="s">
        <v>1089</v>
      </c>
      <c r="AC49" s="1751" t="s">
        <v>1089</v>
      </c>
      <c r="AD49" s="1751" t="s">
        <v>1089</v>
      </c>
      <c r="AE49" s="1751" t="s">
        <v>1089</v>
      </c>
      <c r="AF49" s="1751" t="s">
        <v>1089</v>
      </c>
      <c r="AG49" s="1751" t="s">
        <v>2416</v>
      </c>
      <c r="AH49" s="1751" t="s">
        <v>2392</v>
      </c>
      <c r="AI49" s="1751" t="s">
        <v>1168</v>
      </c>
      <c r="AJ49" s="1751" t="s">
        <v>2417</v>
      </c>
      <c r="AK49" s="1751" t="s">
        <v>2417</v>
      </c>
      <c r="AL49" s="1751" t="s">
        <v>2418</v>
      </c>
      <c r="AM49" s="1751" t="s">
        <v>2419</v>
      </c>
      <c r="AN49" s="1751" t="s">
        <v>2419</v>
      </c>
      <c r="AO49" s="1751">
        <v>6</v>
      </c>
      <c r="AP49" s="1751">
        <v>6</v>
      </c>
      <c r="AQ49" s="1751">
        <v>6</v>
      </c>
      <c r="AR49" s="1751">
        <v>6</v>
      </c>
      <c r="AS49" s="1751">
        <v>6</v>
      </c>
      <c r="AT49" s="1751">
        <v>6</v>
      </c>
      <c r="AU49" s="1751">
        <v>2.5</v>
      </c>
      <c r="AV49" s="1751">
        <v>2.5</v>
      </c>
      <c r="AW49" s="1751" t="s">
        <v>2420</v>
      </c>
      <c r="AX49" s="1751" t="s">
        <v>2420</v>
      </c>
      <c r="AY49" s="1751" t="s">
        <v>1137</v>
      </c>
      <c r="AZ49" s="1751">
        <v>2.5</v>
      </c>
      <c r="BA49" s="1751">
        <v>2.5</v>
      </c>
      <c r="BB49" s="1751">
        <v>2.5</v>
      </c>
      <c r="BC49" s="1751">
        <v>2.5</v>
      </c>
      <c r="BD49" s="1751" t="s">
        <v>2421</v>
      </c>
      <c r="BE49" s="1751" t="s">
        <v>2421</v>
      </c>
      <c r="BF49" s="1751" t="s">
        <v>2421</v>
      </c>
      <c r="BG49" s="1751" t="s">
        <v>2421</v>
      </c>
      <c r="BH49" s="1751" t="s">
        <v>2421</v>
      </c>
      <c r="BI49" s="1751" t="s">
        <v>2421</v>
      </c>
      <c r="BJ49" s="1751" t="s">
        <v>2422</v>
      </c>
      <c r="BK49" s="1751" t="s">
        <v>2422</v>
      </c>
      <c r="BL49" s="1751" t="s">
        <v>2422</v>
      </c>
      <c r="BM49" s="1751">
        <v>2.5</v>
      </c>
      <c r="BN49" s="1751" t="s">
        <v>2420</v>
      </c>
      <c r="BO49" s="1751" t="s">
        <v>2420</v>
      </c>
      <c r="BP49" s="1751">
        <v>2.5</v>
      </c>
      <c r="BQ49" s="1751">
        <v>2.5</v>
      </c>
      <c r="BR49" s="1751">
        <v>2.5</v>
      </c>
      <c r="BS49" s="1751">
        <v>2.5</v>
      </c>
      <c r="BT49" s="1751">
        <v>2.5</v>
      </c>
      <c r="BU49" s="1751">
        <v>2.5</v>
      </c>
      <c r="BV49" s="1751">
        <v>2.5</v>
      </c>
      <c r="BW49" s="1751" t="s">
        <v>2423</v>
      </c>
      <c r="BX49" s="1751" t="s">
        <v>2423</v>
      </c>
      <c r="BY49" s="1751" t="s">
        <v>2423</v>
      </c>
      <c r="BZ49" s="1752" t="s">
        <v>2423</v>
      </c>
      <c r="CA49" s="1751" t="s">
        <v>2424</v>
      </c>
      <c r="CB49" s="1751" t="s">
        <v>2425</v>
      </c>
      <c r="CC49" s="1751" t="s">
        <v>2425</v>
      </c>
      <c r="CD49" s="1751" t="s">
        <v>2426</v>
      </c>
      <c r="CE49" s="1751" t="s">
        <v>2427</v>
      </c>
      <c r="CF49" s="1751" t="s">
        <v>2428</v>
      </c>
      <c r="CG49" s="1751" t="s">
        <v>2428</v>
      </c>
      <c r="CH49" s="1751" t="s">
        <v>2429</v>
      </c>
      <c r="CI49" s="1751" t="s">
        <v>2429</v>
      </c>
      <c r="CJ49" s="1751" t="s">
        <v>2429</v>
      </c>
      <c r="CK49" s="1751" t="s">
        <v>2430</v>
      </c>
      <c r="CL49" s="1751" t="s">
        <v>2431</v>
      </c>
      <c r="CM49" s="1751" t="s">
        <v>2432</v>
      </c>
      <c r="CN49" s="1751" t="s">
        <v>2432</v>
      </c>
      <c r="CO49" s="1751" t="s">
        <v>2432</v>
      </c>
      <c r="CP49" s="1751" t="s">
        <v>2433</v>
      </c>
      <c r="CQ49" s="1755" t="s">
        <v>2434</v>
      </c>
      <c r="CR49" s="1778" t="s">
        <v>2435</v>
      </c>
      <c r="CS49" s="1778" t="s">
        <v>2436</v>
      </c>
      <c r="CT49" s="1778" t="s">
        <v>2436</v>
      </c>
      <c r="CU49" s="1778" t="s">
        <v>2437</v>
      </c>
      <c r="CV49" s="1778" t="s">
        <v>2438</v>
      </c>
      <c r="CW49" s="1778" t="s">
        <v>2438</v>
      </c>
      <c r="CX49" s="1778" t="s">
        <v>2438</v>
      </c>
      <c r="CY49" s="1778" t="s">
        <v>2438</v>
      </c>
      <c r="CZ49" s="1778" t="s">
        <v>2438</v>
      </c>
      <c r="DA49" s="1778" t="s">
        <v>2438</v>
      </c>
      <c r="DB49" s="1778" t="s">
        <v>2438</v>
      </c>
      <c r="DC49" s="1779" t="s">
        <v>2438</v>
      </c>
      <c r="DD49" s="1779" t="s">
        <v>2438</v>
      </c>
      <c r="DE49" s="1779" t="s">
        <v>2439</v>
      </c>
    </row>
    <row r="50" spans="1:109" ht="17.45" customHeight="1">
      <c r="A50" s="1733" t="s">
        <v>2440</v>
      </c>
      <c r="B50" s="1749" t="s">
        <v>2441</v>
      </c>
      <c r="C50" s="1750" t="s">
        <v>2442</v>
      </c>
      <c r="D50" s="1750" t="s">
        <v>2442</v>
      </c>
      <c r="E50" s="1750" t="s">
        <v>2442</v>
      </c>
      <c r="F50" s="1749" t="s">
        <v>2442</v>
      </c>
      <c r="G50" s="1750" t="s">
        <v>2443</v>
      </c>
      <c r="H50" s="1750" t="s">
        <v>2443</v>
      </c>
      <c r="I50" s="1750" t="s">
        <v>2443</v>
      </c>
      <c r="J50" s="1750" t="s">
        <v>2443</v>
      </c>
      <c r="K50" s="1750" t="s">
        <v>2443</v>
      </c>
      <c r="L50" s="1750" t="s">
        <v>2443</v>
      </c>
      <c r="M50" s="1750" t="s">
        <v>2443</v>
      </c>
      <c r="N50" s="1749" t="s">
        <v>2444</v>
      </c>
      <c r="O50" s="1750" t="s">
        <v>2444</v>
      </c>
      <c r="P50" s="1750" t="s">
        <v>2445</v>
      </c>
      <c r="Q50" s="1749" t="s">
        <v>2446</v>
      </c>
      <c r="R50" s="1750" t="s">
        <v>2446</v>
      </c>
      <c r="S50" s="1750" t="s">
        <v>2446</v>
      </c>
      <c r="T50" s="1751" t="s">
        <v>2046</v>
      </c>
      <c r="U50" s="1751" t="s">
        <v>2046</v>
      </c>
      <c r="V50" s="1751" t="s">
        <v>2447</v>
      </c>
      <c r="W50" s="1751" t="s">
        <v>2448</v>
      </c>
      <c r="X50" s="1751" t="s">
        <v>2446</v>
      </c>
      <c r="Y50" s="1751" t="s">
        <v>2449</v>
      </c>
      <c r="Z50" s="1751" t="s">
        <v>1082</v>
      </c>
      <c r="AA50" s="1751" t="s">
        <v>1988</v>
      </c>
      <c r="AB50" s="1751" t="s">
        <v>1988</v>
      </c>
      <c r="AC50" s="1751" t="s">
        <v>1988</v>
      </c>
      <c r="AD50" s="1751" t="s">
        <v>1988</v>
      </c>
      <c r="AE50" s="1751" t="s">
        <v>1988</v>
      </c>
      <c r="AF50" s="1751" t="s">
        <v>1988</v>
      </c>
      <c r="AG50" s="1751" t="s">
        <v>2450</v>
      </c>
      <c r="AH50" s="1751" t="s">
        <v>2451</v>
      </c>
      <c r="AI50" s="1751" t="s">
        <v>2451</v>
      </c>
      <c r="AJ50" s="1751" t="s">
        <v>2452</v>
      </c>
      <c r="AK50" s="1751" t="s">
        <v>2453</v>
      </c>
      <c r="AL50" s="1751" t="s">
        <v>2454</v>
      </c>
      <c r="AM50" s="1751" t="s">
        <v>2455</v>
      </c>
      <c r="AN50" s="1751" t="s">
        <v>2455</v>
      </c>
      <c r="AO50" s="1751" t="s">
        <v>2455</v>
      </c>
      <c r="AP50" s="1751" t="s">
        <v>2456</v>
      </c>
      <c r="AQ50" s="1751" t="s">
        <v>2457</v>
      </c>
      <c r="AR50" s="1751" t="s">
        <v>1090</v>
      </c>
      <c r="AS50" s="1751" t="s">
        <v>1090</v>
      </c>
      <c r="AT50" s="1751" t="s">
        <v>1172</v>
      </c>
      <c r="AU50" s="1751" t="s">
        <v>1172</v>
      </c>
      <c r="AV50" s="1751" t="s">
        <v>1172</v>
      </c>
      <c r="AW50" s="1751" t="s">
        <v>1172</v>
      </c>
      <c r="AX50" s="1751" t="s">
        <v>1172</v>
      </c>
      <c r="AY50" s="1751" t="s">
        <v>1172</v>
      </c>
      <c r="AZ50" s="1751" t="s">
        <v>1172</v>
      </c>
      <c r="BA50" s="1751" t="s">
        <v>1172</v>
      </c>
      <c r="BB50" s="1751" t="s">
        <v>1172</v>
      </c>
      <c r="BC50" s="1751" t="s">
        <v>1172</v>
      </c>
      <c r="BD50" s="1751" t="s">
        <v>1172</v>
      </c>
      <c r="BE50" s="1751" t="s">
        <v>2458</v>
      </c>
      <c r="BF50" s="1751" t="s">
        <v>2458</v>
      </c>
      <c r="BG50" s="1751" t="s">
        <v>2458</v>
      </c>
      <c r="BH50" s="1751" t="s">
        <v>2459</v>
      </c>
      <c r="BI50" s="1751" t="s">
        <v>2460</v>
      </c>
      <c r="BJ50" s="1751" t="s">
        <v>2460</v>
      </c>
      <c r="BK50" s="1751" t="s">
        <v>2460</v>
      </c>
      <c r="BL50" s="1751" t="s">
        <v>2460</v>
      </c>
      <c r="BM50" s="1751" t="s">
        <v>2461</v>
      </c>
      <c r="BN50" s="1751" t="s">
        <v>2462</v>
      </c>
      <c r="BO50" s="1751" t="s">
        <v>2463</v>
      </c>
      <c r="BP50" s="1751" t="s">
        <v>2463</v>
      </c>
      <c r="BQ50" s="1751" t="s">
        <v>2464</v>
      </c>
      <c r="BR50" s="1751" t="s">
        <v>2464</v>
      </c>
      <c r="BS50" s="1751" t="s">
        <v>2465</v>
      </c>
      <c r="BT50" s="1751" t="s">
        <v>2465</v>
      </c>
      <c r="BU50" s="1751" t="s">
        <v>2466</v>
      </c>
      <c r="BV50" s="1751" t="s">
        <v>2466</v>
      </c>
      <c r="BW50" s="1751" t="s">
        <v>2466</v>
      </c>
      <c r="BX50" s="1751" t="s">
        <v>2466</v>
      </c>
      <c r="BY50" s="1751" t="s">
        <v>2466</v>
      </c>
      <c r="BZ50" s="1752" t="s">
        <v>2466</v>
      </c>
      <c r="CA50" s="1751" t="s">
        <v>2466</v>
      </c>
      <c r="CB50" s="1751" t="s">
        <v>2467</v>
      </c>
      <c r="CC50" s="1751" t="s">
        <v>2467</v>
      </c>
      <c r="CD50" s="1751" t="s">
        <v>2468</v>
      </c>
      <c r="CE50" s="1751" t="s">
        <v>2468</v>
      </c>
      <c r="CF50" s="1751" t="s">
        <v>2468</v>
      </c>
      <c r="CG50" s="1751" t="s">
        <v>2468</v>
      </c>
      <c r="CH50" s="1751" t="s">
        <v>2468</v>
      </c>
      <c r="CI50" s="1751" t="s">
        <v>2468</v>
      </c>
      <c r="CJ50" s="1751" t="s">
        <v>2469</v>
      </c>
      <c r="CK50" s="1751" t="s">
        <v>2468</v>
      </c>
      <c r="CL50" s="1751" t="s">
        <v>2468</v>
      </c>
      <c r="CM50" s="1751" t="s">
        <v>2468</v>
      </c>
      <c r="CN50" s="1751" t="s">
        <v>2468</v>
      </c>
      <c r="CO50" s="1751" t="s">
        <v>2468</v>
      </c>
      <c r="CP50" s="1751" t="s">
        <v>2468</v>
      </c>
      <c r="CQ50" s="1755" t="s">
        <v>2470</v>
      </c>
      <c r="CR50" s="1778" t="s">
        <v>2471</v>
      </c>
      <c r="CS50" s="1778" t="s">
        <v>2472</v>
      </c>
      <c r="CT50" s="1778" t="s">
        <v>2473</v>
      </c>
      <c r="CU50" s="1778" t="s">
        <v>2474</v>
      </c>
      <c r="CV50" s="1778" t="s">
        <v>2474</v>
      </c>
      <c r="CW50" s="1778" t="s">
        <v>2474</v>
      </c>
      <c r="CX50" s="1778" t="s">
        <v>2475</v>
      </c>
      <c r="CY50" s="1778" t="s">
        <v>2474</v>
      </c>
      <c r="CZ50" s="1778" t="s">
        <v>2474</v>
      </c>
      <c r="DA50" s="1778" t="s">
        <v>2473</v>
      </c>
      <c r="DB50" s="1778" t="s">
        <v>2473</v>
      </c>
      <c r="DC50" s="1779" t="s">
        <v>2476</v>
      </c>
      <c r="DD50" s="1779" t="s">
        <v>2473</v>
      </c>
      <c r="DE50" s="1779" t="s">
        <v>2477</v>
      </c>
    </row>
    <row r="51" spans="1:109" ht="17.45" customHeight="1">
      <c r="A51" s="1733" t="s">
        <v>2478</v>
      </c>
      <c r="B51" s="1749" t="s">
        <v>2479</v>
      </c>
      <c r="C51" s="1750" t="s">
        <v>2480</v>
      </c>
      <c r="D51" s="1750" t="s">
        <v>2481</v>
      </c>
      <c r="E51" s="1750" t="s">
        <v>2482</v>
      </c>
      <c r="F51" s="1749" t="s">
        <v>2483</v>
      </c>
      <c r="G51" s="1750" t="s">
        <v>2484</v>
      </c>
      <c r="H51" s="1750" t="s">
        <v>2485</v>
      </c>
      <c r="I51" s="1750" t="s">
        <v>2486</v>
      </c>
      <c r="J51" s="1750" t="s">
        <v>2486</v>
      </c>
      <c r="K51" s="1750" t="s">
        <v>2487</v>
      </c>
      <c r="L51" s="1750" t="s">
        <v>2487</v>
      </c>
      <c r="M51" s="1750" t="s">
        <v>2485</v>
      </c>
      <c r="N51" s="1749" t="s">
        <v>2488</v>
      </c>
      <c r="O51" s="1750" t="s">
        <v>2489</v>
      </c>
      <c r="P51" s="1750" t="s">
        <v>2490</v>
      </c>
      <c r="Q51" s="1749" t="s">
        <v>2447</v>
      </c>
      <c r="R51" s="1750" t="s">
        <v>2447</v>
      </c>
      <c r="S51" s="1750" t="s">
        <v>2491</v>
      </c>
      <c r="T51" s="1751" t="s">
        <v>2006</v>
      </c>
      <c r="U51" s="1751" t="s">
        <v>2492</v>
      </c>
      <c r="V51" s="1751" t="s">
        <v>2493</v>
      </c>
      <c r="W51" s="1751" t="s">
        <v>2492</v>
      </c>
      <c r="X51" s="1751" t="s">
        <v>2006</v>
      </c>
      <c r="Y51" s="1751" t="s">
        <v>2492</v>
      </c>
      <c r="Z51" s="1751" t="s">
        <v>2494</v>
      </c>
      <c r="AA51" s="1751" t="s">
        <v>2495</v>
      </c>
      <c r="AB51" s="1751" t="s">
        <v>2496</v>
      </c>
      <c r="AC51" s="1751" t="s">
        <v>1148</v>
      </c>
      <c r="AD51" s="1751" t="s">
        <v>1148</v>
      </c>
      <c r="AE51" s="1751" t="s">
        <v>1148</v>
      </c>
      <c r="AF51" s="1751" t="s">
        <v>2494</v>
      </c>
      <c r="AG51" s="1751" t="s">
        <v>2497</v>
      </c>
      <c r="AH51" s="1751" t="s">
        <v>2498</v>
      </c>
      <c r="AI51" s="1751" t="s">
        <v>2498</v>
      </c>
      <c r="AJ51" s="1751" t="s">
        <v>2416</v>
      </c>
      <c r="AK51" s="1751" t="s">
        <v>2499</v>
      </c>
      <c r="AL51" s="1751" t="s">
        <v>1087</v>
      </c>
      <c r="AM51" s="1751" t="s">
        <v>1087</v>
      </c>
      <c r="AN51" s="1751" t="s">
        <v>1087</v>
      </c>
      <c r="AO51" s="1751" t="s">
        <v>1238</v>
      </c>
      <c r="AP51" s="1751" t="s">
        <v>2500</v>
      </c>
      <c r="AQ51" s="1751" t="s">
        <v>2501</v>
      </c>
      <c r="AR51" s="1751" t="s">
        <v>2501</v>
      </c>
      <c r="AS51" s="1751" t="s">
        <v>2502</v>
      </c>
      <c r="AT51" s="1751" t="s">
        <v>2503</v>
      </c>
      <c r="AU51" s="1751" t="s">
        <v>2504</v>
      </c>
      <c r="AV51" s="1751" t="s">
        <v>2505</v>
      </c>
      <c r="AW51" s="1751" t="s">
        <v>2505</v>
      </c>
      <c r="AX51" s="1751" t="s">
        <v>2505</v>
      </c>
      <c r="AY51" s="1751" t="s">
        <v>2505</v>
      </c>
      <c r="AZ51" s="1751" t="s">
        <v>2506</v>
      </c>
      <c r="BA51" s="1751" t="s">
        <v>2507</v>
      </c>
      <c r="BB51" s="1751" t="s">
        <v>2507</v>
      </c>
      <c r="BC51" s="1751" t="s">
        <v>2508</v>
      </c>
      <c r="BD51" s="1751" t="s">
        <v>2508</v>
      </c>
      <c r="BE51" s="1751" t="s">
        <v>2508</v>
      </c>
      <c r="BF51" s="1751" t="s">
        <v>2508</v>
      </c>
      <c r="BG51" s="1751" t="s">
        <v>2508</v>
      </c>
      <c r="BH51" s="1751" t="s">
        <v>2508</v>
      </c>
      <c r="BI51" s="1751" t="s">
        <v>2508</v>
      </c>
      <c r="BJ51" s="1751" t="s">
        <v>2508</v>
      </c>
      <c r="BK51" s="1751" t="s">
        <v>2508</v>
      </c>
      <c r="BL51" s="1751" t="s">
        <v>2508</v>
      </c>
      <c r="BM51" s="1751" t="s">
        <v>2509</v>
      </c>
      <c r="BN51" s="1751" t="s">
        <v>2509</v>
      </c>
      <c r="BO51" s="1751" t="s">
        <v>2509</v>
      </c>
      <c r="BP51" s="1751" t="s">
        <v>2509</v>
      </c>
      <c r="BQ51" s="1751" t="s">
        <v>2509</v>
      </c>
      <c r="BR51" s="1751" t="s">
        <v>2509</v>
      </c>
      <c r="BS51" s="1751" t="s">
        <v>1140</v>
      </c>
      <c r="BT51" s="1751" t="s">
        <v>1140</v>
      </c>
      <c r="BU51" s="1751" t="s">
        <v>2510</v>
      </c>
      <c r="BV51" s="1751" t="s">
        <v>2510</v>
      </c>
      <c r="BW51" s="1751" t="s">
        <v>2510</v>
      </c>
      <c r="BX51" s="1751" t="s">
        <v>2511</v>
      </c>
      <c r="BY51" s="1751" t="s">
        <v>2512</v>
      </c>
      <c r="BZ51" s="1752" t="s">
        <v>2513</v>
      </c>
      <c r="CA51" s="1751" t="s">
        <v>2514</v>
      </c>
      <c r="CB51" s="1751" t="s">
        <v>2514</v>
      </c>
      <c r="CC51" s="1751" t="s">
        <v>2515</v>
      </c>
      <c r="CD51" s="1751" t="s">
        <v>2516</v>
      </c>
      <c r="CE51" s="1751" t="s">
        <v>2517</v>
      </c>
      <c r="CF51" s="1751" t="s">
        <v>2518</v>
      </c>
      <c r="CG51" s="1751" t="s">
        <v>2518</v>
      </c>
      <c r="CH51" s="1751" t="s">
        <v>2519</v>
      </c>
      <c r="CI51" s="1751" t="s">
        <v>2520</v>
      </c>
      <c r="CJ51" s="1751" t="s">
        <v>2520</v>
      </c>
      <c r="CK51" s="1751" t="s">
        <v>2520</v>
      </c>
      <c r="CL51" s="1751" t="s">
        <v>2521</v>
      </c>
      <c r="CM51" s="1751" t="s">
        <v>2521</v>
      </c>
      <c r="CN51" s="1751" t="s">
        <v>2518</v>
      </c>
      <c r="CO51" s="1751" t="s">
        <v>2522</v>
      </c>
      <c r="CP51" s="1751" t="s">
        <v>2523</v>
      </c>
      <c r="CQ51" s="1755" t="s">
        <v>2524</v>
      </c>
      <c r="CR51" s="1778" t="s">
        <v>2525</v>
      </c>
      <c r="CS51" s="1778" t="s">
        <v>2526</v>
      </c>
      <c r="CT51" s="1778" t="s">
        <v>2527</v>
      </c>
      <c r="CU51" s="1778" t="s">
        <v>2528</v>
      </c>
      <c r="CV51" s="1778" t="s">
        <v>2525</v>
      </c>
      <c r="CW51" s="1778" t="s">
        <v>2529</v>
      </c>
      <c r="CX51" s="1778" t="s">
        <v>2530</v>
      </c>
      <c r="CY51" s="1778" t="s">
        <v>2531</v>
      </c>
      <c r="CZ51" s="1778" t="s">
        <v>2531</v>
      </c>
      <c r="DA51" s="1778" t="s">
        <v>2531</v>
      </c>
      <c r="DB51" s="1778" t="s">
        <v>2532</v>
      </c>
      <c r="DC51" s="1779" t="s">
        <v>2525</v>
      </c>
      <c r="DD51" s="1779" t="s">
        <v>2533</v>
      </c>
      <c r="DE51" s="1779" t="s">
        <v>2525</v>
      </c>
    </row>
    <row r="52" spans="1:109" ht="17.45" customHeight="1">
      <c r="A52" s="1733" t="s">
        <v>2534</v>
      </c>
      <c r="B52" s="1749" t="s">
        <v>2535</v>
      </c>
      <c r="C52" s="1750" t="s">
        <v>2536</v>
      </c>
      <c r="D52" s="1750" t="s">
        <v>2537</v>
      </c>
      <c r="E52" s="1750" t="s">
        <v>2537</v>
      </c>
      <c r="F52" s="1749" t="s">
        <v>2538</v>
      </c>
      <c r="G52" s="1750" t="s">
        <v>2539</v>
      </c>
      <c r="H52" s="1750" t="s">
        <v>2501</v>
      </c>
      <c r="I52" s="1750" t="s">
        <v>2539</v>
      </c>
      <c r="J52" s="1750" t="s">
        <v>2539</v>
      </c>
      <c r="K52" s="1750" t="s">
        <v>2539</v>
      </c>
      <c r="L52" s="1750" t="s">
        <v>2539</v>
      </c>
      <c r="M52" s="1750" t="s">
        <v>2540</v>
      </c>
      <c r="N52" s="1749" t="s">
        <v>2541</v>
      </c>
      <c r="O52" s="1750" t="s">
        <v>2542</v>
      </c>
      <c r="P52" s="1750" t="s">
        <v>2543</v>
      </c>
      <c r="Q52" s="1749" t="s">
        <v>2544</v>
      </c>
      <c r="R52" s="1750" t="s">
        <v>2545</v>
      </c>
      <c r="S52" s="1750" t="s">
        <v>2546</v>
      </c>
      <c r="T52" s="1751" t="s">
        <v>2492</v>
      </c>
      <c r="U52" s="1751" t="s">
        <v>2547</v>
      </c>
      <c r="V52" s="1751" t="s">
        <v>2548</v>
      </c>
      <c r="W52" s="1751" t="s">
        <v>2549</v>
      </c>
      <c r="X52" s="1751" t="s">
        <v>2492</v>
      </c>
      <c r="Y52" s="1751" t="s">
        <v>2007</v>
      </c>
      <c r="Z52" s="1751" t="s">
        <v>2550</v>
      </c>
      <c r="AA52" s="1751" t="s">
        <v>2551</v>
      </c>
      <c r="AB52" s="1751" t="s">
        <v>2552</v>
      </c>
      <c r="AC52" s="1751" t="s">
        <v>2552</v>
      </c>
      <c r="AD52" s="1751" t="s">
        <v>2494</v>
      </c>
      <c r="AE52" s="1751" t="s">
        <v>2494</v>
      </c>
      <c r="AF52" s="1751" t="s">
        <v>2553</v>
      </c>
      <c r="AG52" s="1751" t="s">
        <v>2554</v>
      </c>
      <c r="AH52" s="1751" t="s">
        <v>2555</v>
      </c>
      <c r="AI52" s="1751" t="s">
        <v>2556</v>
      </c>
      <c r="AJ52" s="1751" t="s">
        <v>2557</v>
      </c>
      <c r="AK52" s="1751" t="s">
        <v>2557</v>
      </c>
      <c r="AL52" s="1751" t="s">
        <v>2558</v>
      </c>
      <c r="AM52" s="1751" t="s">
        <v>2558</v>
      </c>
      <c r="AN52" s="1751" t="s">
        <v>2559</v>
      </c>
      <c r="AO52" s="1751" t="s">
        <v>2560</v>
      </c>
      <c r="AP52" s="1751" t="s">
        <v>2561</v>
      </c>
      <c r="AQ52" s="1751" t="s">
        <v>2562</v>
      </c>
      <c r="AR52" s="1751" t="s">
        <v>1083</v>
      </c>
      <c r="AS52" s="1751" t="s">
        <v>2503</v>
      </c>
      <c r="AT52" s="1751" t="s">
        <v>2563</v>
      </c>
      <c r="AU52" s="1751" t="s">
        <v>2507</v>
      </c>
      <c r="AV52" s="1751" t="s">
        <v>2507</v>
      </c>
      <c r="AW52" s="1751" t="s">
        <v>2507</v>
      </c>
      <c r="AX52" s="1751" t="s">
        <v>2507</v>
      </c>
      <c r="AY52" s="1751" t="s">
        <v>2507</v>
      </c>
      <c r="AZ52" s="1751" t="s">
        <v>2564</v>
      </c>
      <c r="BA52" s="1751" t="s">
        <v>2507</v>
      </c>
      <c r="BB52" s="1751" t="s">
        <v>2507</v>
      </c>
      <c r="BC52" s="1751" t="s">
        <v>2507</v>
      </c>
      <c r="BD52" s="1751" t="s">
        <v>2507</v>
      </c>
      <c r="BE52" s="1751" t="s">
        <v>2507</v>
      </c>
      <c r="BF52" s="1751" t="s">
        <v>2507</v>
      </c>
      <c r="BG52" s="1751" t="s">
        <v>2507</v>
      </c>
      <c r="BH52" s="1751" t="s">
        <v>2507</v>
      </c>
      <c r="BI52" s="1751" t="s">
        <v>2507</v>
      </c>
      <c r="BJ52" s="1751" t="s">
        <v>2507</v>
      </c>
      <c r="BK52" s="1751" t="s">
        <v>2507</v>
      </c>
      <c r="BL52" s="1751" t="s">
        <v>2507</v>
      </c>
      <c r="BM52" s="1751" t="s">
        <v>2509</v>
      </c>
      <c r="BN52" s="1751" t="s">
        <v>2565</v>
      </c>
      <c r="BO52" s="1751" t="s">
        <v>2565</v>
      </c>
      <c r="BP52" s="1751" t="s">
        <v>2565</v>
      </c>
      <c r="BQ52" s="1751" t="s">
        <v>2565</v>
      </c>
      <c r="BR52" s="1751" t="s">
        <v>2565</v>
      </c>
      <c r="BS52" s="1751" t="s">
        <v>2566</v>
      </c>
      <c r="BT52" s="1751" t="s">
        <v>2566</v>
      </c>
      <c r="BU52" s="1751" t="s">
        <v>2567</v>
      </c>
      <c r="BV52" s="1751" t="s">
        <v>2568</v>
      </c>
      <c r="BW52" s="1751" t="s">
        <v>2569</v>
      </c>
      <c r="BX52" s="1751" t="s">
        <v>1142</v>
      </c>
      <c r="BY52" s="1751" t="s">
        <v>2570</v>
      </c>
      <c r="BZ52" s="1752" t="s">
        <v>2570</v>
      </c>
      <c r="CA52" s="1751" t="s">
        <v>2571</v>
      </c>
      <c r="CB52" s="1751" t="s">
        <v>2572</v>
      </c>
      <c r="CC52" s="1751" t="s">
        <v>2479</v>
      </c>
      <c r="CD52" s="1751" t="s">
        <v>2573</v>
      </c>
      <c r="CE52" s="1751" t="s">
        <v>2574</v>
      </c>
      <c r="CF52" s="1751" t="s">
        <v>2575</v>
      </c>
      <c r="CG52" s="1751" t="s">
        <v>2575</v>
      </c>
      <c r="CH52" s="1751" t="s">
        <v>2576</v>
      </c>
      <c r="CI52" s="1751" t="s">
        <v>2463</v>
      </c>
      <c r="CJ52" s="1751" t="s">
        <v>2463</v>
      </c>
      <c r="CK52" s="1751" t="s">
        <v>2577</v>
      </c>
      <c r="CL52" s="1751" t="s">
        <v>2578</v>
      </c>
      <c r="CM52" s="1751" t="s">
        <v>2463</v>
      </c>
      <c r="CN52" s="1751" t="s">
        <v>2463</v>
      </c>
      <c r="CO52" s="1751" t="s">
        <v>2463</v>
      </c>
      <c r="CP52" s="1751" t="s">
        <v>2579</v>
      </c>
      <c r="CQ52" s="1755" t="s">
        <v>2580</v>
      </c>
      <c r="CR52" s="1778" t="s">
        <v>2581</v>
      </c>
      <c r="CS52" s="1778" t="s">
        <v>2581</v>
      </c>
      <c r="CT52" s="1778" t="s">
        <v>2582</v>
      </c>
      <c r="CU52" s="1778" t="s">
        <v>2583</v>
      </c>
      <c r="CV52" s="1778" t="s">
        <v>2584</v>
      </c>
      <c r="CW52" s="1778" t="s">
        <v>2585</v>
      </c>
      <c r="CX52" s="1778" t="s">
        <v>2531</v>
      </c>
      <c r="CY52" s="1778" t="s">
        <v>2531</v>
      </c>
      <c r="CZ52" s="1778" t="s">
        <v>2531</v>
      </c>
      <c r="DA52" s="1778" t="s">
        <v>2585</v>
      </c>
      <c r="DB52" s="1778" t="s">
        <v>2533</v>
      </c>
      <c r="DC52" s="1779" t="s">
        <v>2533</v>
      </c>
      <c r="DD52" s="1779" t="s">
        <v>2586</v>
      </c>
      <c r="DE52" s="1779" t="s">
        <v>2587</v>
      </c>
    </row>
    <row r="53" spans="1:109" ht="17.45" customHeight="1">
      <c r="A53" s="1733" t="s">
        <v>2588</v>
      </c>
      <c r="B53" s="1749" t="s">
        <v>2589</v>
      </c>
      <c r="C53" s="1750" t="s">
        <v>2590</v>
      </c>
      <c r="D53" s="1750" t="s">
        <v>2482</v>
      </c>
      <c r="E53" s="1750" t="s">
        <v>2482</v>
      </c>
      <c r="F53" s="1749" t="s">
        <v>2482</v>
      </c>
      <c r="G53" s="1750" t="s">
        <v>2591</v>
      </c>
      <c r="H53" s="1750" t="s">
        <v>2592</v>
      </c>
      <c r="I53" s="1750" t="s">
        <v>2593</v>
      </c>
      <c r="J53" s="1750" t="s">
        <v>2593</v>
      </c>
      <c r="K53" s="1750" t="s">
        <v>2591</v>
      </c>
      <c r="L53" s="1750" t="s">
        <v>2591</v>
      </c>
      <c r="M53" s="1750" t="s">
        <v>2594</v>
      </c>
      <c r="N53" s="1749" t="s">
        <v>2595</v>
      </c>
      <c r="O53" s="1750" t="s">
        <v>2595</v>
      </c>
      <c r="P53" s="1750" t="s">
        <v>2596</v>
      </c>
      <c r="Q53" s="1749" t="s">
        <v>2597</v>
      </c>
      <c r="R53" s="1750" t="s">
        <v>2597</v>
      </c>
      <c r="S53" s="1750" t="s">
        <v>2598</v>
      </c>
      <c r="T53" s="1751" t="s">
        <v>2599</v>
      </c>
      <c r="U53" s="1751" t="s">
        <v>2600</v>
      </c>
      <c r="V53" s="1751" t="s">
        <v>2601</v>
      </c>
      <c r="W53" s="1751" t="s">
        <v>2602</v>
      </c>
      <c r="X53" s="1751" t="s">
        <v>2602</v>
      </c>
      <c r="Y53" s="1751" t="s">
        <v>2603</v>
      </c>
      <c r="Z53" s="1751" t="s">
        <v>2604</v>
      </c>
      <c r="AA53" s="1751" t="s">
        <v>2605</v>
      </c>
      <c r="AB53" s="1751" t="s">
        <v>2606</v>
      </c>
      <c r="AC53" s="1751" t="s">
        <v>2606</v>
      </c>
      <c r="AD53" s="1751" t="s">
        <v>2606</v>
      </c>
      <c r="AE53" s="1751" t="s">
        <v>2607</v>
      </c>
      <c r="AF53" s="1751" t="s">
        <v>2607</v>
      </c>
      <c r="AG53" s="1751" t="s">
        <v>2607</v>
      </c>
      <c r="AH53" s="1751" t="s">
        <v>2607</v>
      </c>
      <c r="AI53" s="1751" t="s">
        <v>2607</v>
      </c>
      <c r="AJ53" s="1751" t="s">
        <v>2608</v>
      </c>
      <c r="AK53" s="1751" t="s">
        <v>2609</v>
      </c>
      <c r="AL53" s="1751" t="s">
        <v>2609</v>
      </c>
      <c r="AM53" s="1751" t="s">
        <v>2610</v>
      </c>
      <c r="AN53" s="1751" t="s">
        <v>2611</v>
      </c>
      <c r="AO53" s="1751" t="s">
        <v>2611</v>
      </c>
      <c r="AP53" s="1751" t="s">
        <v>2612</v>
      </c>
      <c r="AQ53" s="1751" t="s">
        <v>2612</v>
      </c>
      <c r="AR53" s="1751" t="s">
        <v>2613</v>
      </c>
      <c r="AS53" s="1751" t="s">
        <v>2613</v>
      </c>
      <c r="AT53" s="1751" t="s">
        <v>2613</v>
      </c>
      <c r="AU53" s="1751" t="s">
        <v>2614</v>
      </c>
      <c r="AV53" s="1751" t="s">
        <v>2615</v>
      </c>
      <c r="AW53" s="1751" t="s">
        <v>2615</v>
      </c>
      <c r="AX53" s="1751" t="s">
        <v>2615</v>
      </c>
      <c r="AY53" s="1751" t="s">
        <v>2507</v>
      </c>
      <c r="AZ53" s="1751" t="s">
        <v>2507</v>
      </c>
      <c r="BA53" s="1751" t="s">
        <v>2507</v>
      </c>
      <c r="BB53" s="1751" t="s">
        <v>2507</v>
      </c>
      <c r="BC53" s="1751" t="s">
        <v>2507</v>
      </c>
      <c r="BD53" s="1751" t="s">
        <v>2616</v>
      </c>
      <c r="BE53" s="1751" t="s">
        <v>2507</v>
      </c>
      <c r="BF53" s="1751" t="s">
        <v>2507</v>
      </c>
      <c r="BG53" s="1751" t="s">
        <v>2507</v>
      </c>
      <c r="BH53" s="1751" t="s">
        <v>2507</v>
      </c>
      <c r="BI53" s="1751" t="s">
        <v>2616</v>
      </c>
      <c r="BJ53" s="1751" t="s">
        <v>2616</v>
      </c>
      <c r="BK53" s="1751" t="s">
        <v>2507</v>
      </c>
      <c r="BL53" s="1751" t="s">
        <v>2617</v>
      </c>
      <c r="BM53" s="1751" t="s">
        <v>2618</v>
      </c>
      <c r="BN53" s="1751" t="s">
        <v>2619</v>
      </c>
      <c r="BO53" s="1751" t="s">
        <v>2619</v>
      </c>
      <c r="BP53" s="1751" t="s">
        <v>2619</v>
      </c>
      <c r="BQ53" s="1751" t="s">
        <v>2619</v>
      </c>
      <c r="BR53" s="1751" t="s">
        <v>2619</v>
      </c>
      <c r="BS53" s="1751" t="s">
        <v>2620</v>
      </c>
      <c r="BT53" s="1751" t="s">
        <v>2620</v>
      </c>
      <c r="BU53" s="1751" t="s">
        <v>2620</v>
      </c>
      <c r="BV53" s="1751" t="s">
        <v>2620</v>
      </c>
      <c r="BW53" s="1751" t="s">
        <v>2621</v>
      </c>
      <c r="BX53" s="1751" t="s">
        <v>2622</v>
      </c>
      <c r="BY53" s="1751" t="s">
        <v>2623</v>
      </c>
      <c r="BZ53" s="1752" t="s">
        <v>2623</v>
      </c>
      <c r="CA53" s="1751" t="s">
        <v>2623</v>
      </c>
      <c r="CB53" s="1751" t="s">
        <v>2623</v>
      </c>
      <c r="CC53" s="1751" t="s">
        <v>2623</v>
      </c>
      <c r="CD53" s="1751" t="s">
        <v>2624</v>
      </c>
      <c r="CE53" s="1751" t="s">
        <v>2625</v>
      </c>
      <c r="CF53" s="1751" t="s">
        <v>2625</v>
      </c>
      <c r="CG53" s="1751" t="s">
        <v>2625</v>
      </c>
      <c r="CH53" s="1751" t="s">
        <v>2626</v>
      </c>
      <c r="CI53" s="1751" t="s">
        <v>2627</v>
      </c>
      <c r="CJ53" s="1751" t="s">
        <v>2628</v>
      </c>
      <c r="CK53" s="1751" t="s">
        <v>2629</v>
      </c>
      <c r="CL53" s="1751" t="s">
        <v>2578</v>
      </c>
      <c r="CM53" s="1751" t="s">
        <v>2462</v>
      </c>
      <c r="CN53" s="1751" t="s">
        <v>2630</v>
      </c>
      <c r="CO53" s="1751" t="s">
        <v>2631</v>
      </c>
      <c r="CP53" s="1751" t="s">
        <v>2632</v>
      </c>
      <c r="CQ53" s="1755" t="s">
        <v>2633</v>
      </c>
      <c r="CR53" s="1778" t="s">
        <v>2634</v>
      </c>
      <c r="CS53" s="1778" t="s">
        <v>2635</v>
      </c>
      <c r="CT53" s="1778" t="s">
        <v>2636</v>
      </c>
      <c r="CU53" s="1778" t="s">
        <v>2637</v>
      </c>
      <c r="CV53" s="1778" t="s">
        <v>2531</v>
      </c>
      <c r="CW53" s="1778" t="s">
        <v>2638</v>
      </c>
      <c r="CX53" s="1778" t="s">
        <v>2638</v>
      </c>
      <c r="CY53" s="1778" t="s">
        <v>2585</v>
      </c>
      <c r="CZ53" s="1778" t="s">
        <v>2585</v>
      </c>
      <c r="DA53" s="1778" t="s">
        <v>2639</v>
      </c>
      <c r="DB53" s="1778" t="s">
        <v>2640</v>
      </c>
      <c r="DC53" s="1779" t="s">
        <v>2641</v>
      </c>
      <c r="DD53" s="1779" t="s">
        <v>2642</v>
      </c>
      <c r="DE53" s="1779" t="s">
        <v>2643</v>
      </c>
    </row>
    <row r="54" spans="1:109" ht="17.45" customHeight="1">
      <c r="A54" s="1733" t="s">
        <v>2644</v>
      </c>
      <c r="B54" s="1749" t="s">
        <v>1171</v>
      </c>
      <c r="C54" s="1750" t="s">
        <v>2590</v>
      </c>
      <c r="D54" s="1750" t="s">
        <v>2645</v>
      </c>
      <c r="E54" s="1750" t="s">
        <v>2645</v>
      </c>
      <c r="F54" s="1749" t="s">
        <v>2645</v>
      </c>
      <c r="G54" s="1750" t="s">
        <v>2646</v>
      </c>
      <c r="H54" s="1750" t="s">
        <v>2647</v>
      </c>
      <c r="I54" s="1750" t="s">
        <v>2648</v>
      </c>
      <c r="J54" s="1750" t="s">
        <v>2648</v>
      </c>
      <c r="K54" s="1750" t="s">
        <v>2648</v>
      </c>
      <c r="L54" s="1750" t="s">
        <v>2648</v>
      </c>
      <c r="M54" s="1750" t="s">
        <v>2649</v>
      </c>
      <c r="N54" s="1749" t="s">
        <v>2647</v>
      </c>
      <c r="O54" s="1750" t="s">
        <v>2650</v>
      </c>
      <c r="P54" s="1750" t="s">
        <v>2651</v>
      </c>
      <c r="Q54" s="1749" t="s">
        <v>2652</v>
      </c>
      <c r="R54" s="1750" t="s">
        <v>2608</v>
      </c>
      <c r="S54" s="1750" t="s">
        <v>2653</v>
      </c>
      <c r="T54" s="1751" t="s">
        <v>2654</v>
      </c>
      <c r="U54" s="1751" t="s">
        <v>2655</v>
      </c>
      <c r="V54" s="1751" t="s">
        <v>2604</v>
      </c>
      <c r="W54" s="1751" t="s">
        <v>2604</v>
      </c>
      <c r="X54" s="1751" t="s">
        <v>2606</v>
      </c>
      <c r="Y54" s="1751" t="s">
        <v>2606</v>
      </c>
      <c r="Z54" s="1751" t="s">
        <v>2606</v>
      </c>
      <c r="AA54" s="1751" t="s">
        <v>2656</v>
      </c>
      <c r="AB54" s="1751" t="s">
        <v>2604</v>
      </c>
      <c r="AC54" s="1751" t="s">
        <v>2604</v>
      </c>
      <c r="AD54" s="1751" t="s">
        <v>2604</v>
      </c>
      <c r="AE54" s="1751" t="s">
        <v>2657</v>
      </c>
      <c r="AF54" s="1751" t="s">
        <v>2658</v>
      </c>
      <c r="AG54" s="1751" t="s">
        <v>2659</v>
      </c>
      <c r="AH54" s="1751" t="s">
        <v>2660</v>
      </c>
      <c r="AI54" s="1751" t="s">
        <v>2660</v>
      </c>
      <c r="AJ54" s="1751" t="s">
        <v>2661</v>
      </c>
      <c r="AK54" s="1751" t="s">
        <v>2662</v>
      </c>
      <c r="AL54" s="1751" t="s">
        <v>2662</v>
      </c>
      <c r="AM54" s="1751" t="s">
        <v>2662</v>
      </c>
      <c r="AN54" s="1751" t="s">
        <v>2663</v>
      </c>
      <c r="AO54" s="1751" t="s">
        <v>2663</v>
      </c>
      <c r="AP54" s="1751" t="s">
        <v>2663</v>
      </c>
      <c r="AQ54" s="1751" t="s">
        <v>2612</v>
      </c>
      <c r="AR54" s="1751" t="s">
        <v>2663</v>
      </c>
      <c r="AS54" s="1751" t="s">
        <v>2664</v>
      </c>
      <c r="AT54" s="1751" t="s">
        <v>2664</v>
      </c>
      <c r="AU54" s="1751" t="s">
        <v>2665</v>
      </c>
      <c r="AV54" s="1751" t="s">
        <v>2666</v>
      </c>
      <c r="AW54" s="1751" t="s">
        <v>2666</v>
      </c>
      <c r="AX54" s="1751" t="s">
        <v>2666</v>
      </c>
      <c r="AY54" s="1751" t="s">
        <v>2507</v>
      </c>
      <c r="AZ54" s="1751" t="s">
        <v>2507</v>
      </c>
      <c r="BA54" s="1751" t="s">
        <v>2507</v>
      </c>
      <c r="BB54" s="1751" t="s">
        <v>2507</v>
      </c>
      <c r="BC54" s="1751" t="s">
        <v>2507</v>
      </c>
      <c r="BD54" s="1751" t="s">
        <v>2508</v>
      </c>
      <c r="BE54" s="1751" t="s">
        <v>2617</v>
      </c>
      <c r="BF54" s="1751" t="s">
        <v>2617</v>
      </c>
      <c r="BG54" s="1751" t="s">
        <v>2616</v>
      </c>
      <c r="BH54" s="1751" t="s">
        <v>2616</v>
      </c>
      <c r="BI54" s="1751" t="s">
        <v>2616</v>
      </c>
      <c r="BJ54" s="1751" t="s">
        <v>2616</v>
      </c>
      <c r="BK54" s="1751" t="s">
        <v>2616</v>
      </c>
      <c r="BL54" s="1751" t="s">
        <v>2667</v>
      </c>
      <c r="BM54" s="1751" t="s">
        <v>2668</v>
      </c>
      <c r="BN54" s="1751" t="s">
        <v>2618</v>
      </c>
      <c r="BO54" s="1751" t="s">
        <v>2507</v>
      </c>
      <c r="BP54" s="1751" t="s">
        <v>2507</v>
      </c>
      <c r="BQ54" s="1751" t="s">
        <v>2507</v>
      </c>
      <c r="BR54" s="1751" t="s">
        <v>2507</v>
      </c>
      <c r="BS54" s="1751" t="s">
        <v>2507</v>
      </c>
      <c r="BT54" s="1751" t="s">
        <v>2507</v>
      </c>
      <c r="BU54" s="1751" t="s">
        <v>2507</v>
      </c>
      <c r="BV54" s="1751" t="s">
        <v>2616</v>
      </c>
      <c r="BW54" s="1751" t="s">
        <v>2669</v>
      </c>
      <c r="BX54" s="1751" t="s">
        <v>2670</v>
      </c>
      <c r="BY54" s="1751" t="s">
        <v>2669</v>
      </c>
      <c r="BZ54" s="1752" t="s">
        <v>2616</v>
      </c>
      <c r="CA54" s="1751" t="s">
        <v>2616</v>
      </c>
      <c r="CB54" s="1751" t="s">
        <v>2616</v>
      </c>
      <c r="CC54" s="1751" t="s">
        <v>2616</v>
      </c>
      <c r="CD54" s="1751" t="s">
        <v>2671</v>
      </c>
      <c r="CE54" s="1751" t="s">
        <v>2671</v>
      </c>
      <c r="CF54" s="1751" t="s">
        <v>2671</v>
      </c>
      <c r="CG54" s="1751" t="s">
        <v>2671</v>
      </c>
      <c r="CH54" s="1751" t="s">
        <v>2672</v>
      </c>
      <c r="CI54" s="1776" t="s">
        <v>2673</v>
      </c>
      <c r="CJ54" s="1776" t="s">
        <v>2673</v>
      </c>
      <c r="CK54" s="1776" t="s">
        <v>2672</v>
      </c>
      <c r="CL54" s="1776" t="s">
        <v>2672</v>
      </c>
      <c r="CM54" s="1776" t="s">
        <v>2672</v>
      </c>
      <c r="CN54" s="1776" t="s">
        <v>2672</v>
      </c>
      <c r="CO54" s="1776" t="s">
        <v>2674</v>
      </c>
      <c r="CP54" s="1776" t="s">
        <v>2674</v>
      </c>
      <c r="CQ54" s="1755" t="s">
        <v>2674</v>
      </c>
      <c r="CR54" s="1797" t="s">
        <v>2674</v>
      </c>
      <c r="CS54" s="1797" t="s">
        <v>2675</v>
      </c>
      <c r="CT54" s="1797" t="s">
        <v>2674</v>
      </c>
      <c r="CU54" s="1797" t="s">
        <v>2676</v>
      </c>
      <c r="CV54" s="1797" t="s">
        <v>2677</v>
      </c>
      <c r="CW54" s="1797" t="s">
        <v>2678</v>
      </c>
      <c r="CX54" s="1797" t="s">
        <v>2678</v>
      </c>
      <c r="CY54" s="1797" t="s">
        <v>2679</v>
      </c>
      <c r="CZ54" s="1797" t="s">
        <v>2679</v>
      </c>
      <c r="DA54" s="1797" t="s">
        <v>2680</v>
      </c>
      <c r="DB54" s="1797" t="s">
        <v>2681</v>
      </c>
      <c r="DC54" s="1798" t="s">
        <v>2682</v>
      </c>
      <c r="DD54" s="1798" t="s">
        <v>2683</v>
      </c>
      <c r="DE54" s="1798" t="s">
        <v>2684</v>
      </c>
    </row>
    <row r="55" spans="1:109" ht="17.45" customHeight="1">
      <c r="A55" s="1733" t="s">
        <v>2685</v>
      </c>
      <c r="B55" s="1749" t="s">
        <v>2686</v>
      </c>
      <c r="C55" s="1750" t="s">
        <v>2687</v>
      </c>
      <c r="D55" s="1750" t="s">
        <v>2688</v>
      </c>
      <c r="E55" s="1750" t="s">
        <v>2647</v>
      </c>
      <c r="F55" s="1749" t="s">
        <v>2647</v>
      </c>
      <c r="G55" s="1750" t="s">
        <v>2689</v>
      </c>
      <c r="H55" s="1750" t="s">
        <v>2690</v>
      </c>
      <c r="I55" s="1750" t="s">
        <v>2691</v>
      </c>
      <c r="J55" s="1750" t="s">
        <v>2689</v>
      </c>
      <c r="K55" s="1750" t="s">
        <v>2689</v>
      </c>
      <c r="L55" s="1750" t="s">
        <v>2689</v>
      </c>
      <c r="M55" s="1750" t="s">
        <v>2689</v>
      </c>
      <c r="N55" s="1749" t="s">
        <v>2688</v>
      </c>
      <c r="O55" s="1750" t="s">
        <v>2688</v>
      </c>
      <c r="P55" s="1750" t="s">
        <v>2692</v>
      </c>
      <c r="Q55" s="1749" t="s">
        <v>2603</v>
      </c>
      <c r="R55" s="1750" t="s">
        <v>2603</v>
      </c>
      <c r="S55" s="1750" t="s">
        <v>2693</v>
      </c>
      <c r="T55" s="1751" t="s">
        <v>2604</v>
      </c>
      <c r="U55" s="1751" t="s">
        <v>2606</v>
      </c>
      <c r="V55" s="1751" t="s">
        <v>2606</v>
      </c>
      <c r="W55" s="1751" t="s">
        <v>2606</v>
      </c>
      <c r="X55" s="1751" t="s">
        <v>2694</v>
      </c>
      <c r="Y55" s="1751" t="s">
        <v>2695</v>
      </c>
      <c r="Z55" s="1751" t="s">
        <v>2695</v>
      </c>
      <c r="AA55" s="1751" t="s">
        <v>2696</v>
      </c>
      <c r="AB55" s="1751" t="s">
        <v>2604</v>
      </c>
      <c r="AC55" s="1751" t="s">
        <v>2604</v>
      </c>
      <c r="AD55" s="1751" t="s">
        <v>2604</v>
      </c>
      <c r="AE55" s="1751" t="s">
        <v>2693</v>
      </c>
      <c r="AF55" s="1751" t="s">
        <v>2693</v>
      </c>
      <c r="AG55" s="1751" t="s">
        <v>2693</v>
      </c>
      <c r="AH55" s="1751" t="s">
        <v>2693</v>
      </c>
      <c r="AI55" s="1751" t="s">
        <v>2697</v>
      </c>
      <c r="AJ55" s="1751" t="s">
        <v>2698</v>
      </c>
      <c r="AK55" s="1751" t="s">
        <v>2699</v>
      </c>
      <c r="AL55" s="1751" t="s">
        <v>2700</v>
      </c>
      <c r="AM55" s="1751" t="s">
        <v>1099</v>
      </c>
      <c r="AN55" s="1751" t="s">
        <v>1099</v>
      </c>
      <c r="AO55" s="1751" t="s">
        <v>1099</v>
      </c>
      <c r="AP55" s="1751" t="s">
        <v>2700</v>
      </c>
      <c r="AQ55" s="1751" t="s">
        <v>2701</v>
      </c>
      <c r="AR55" s="1751" t="s">
        <v>2702</v>
      </c>
      <c r="AS55" s="1751" t="s">
        <v>2702</v>
      </c>
      <c r="AT55" s="1751" t="s">
        <v>2702</v>
      </c>
      <c r="AU55" s="1751" t="s">
        <v>2703</v>
      </c>
      <c r="AV55" s="1751" t="s">
        <v>2703</v>
      </c>
      <c r="AW55" s="1751" t="s">
        <v>2703</v>
      </c>
      <c r="AX55" s="1751" t="s">
        <v>2703</v>
      </c>
      <c r="AY55" s="1751" t="s">
        <v>2703</v>
      </c>
      <c r="AZ55" s="1751" t="s">
        <v>2703</v>
      </c>
      <c r="BA55" s="1751" t="s">
        <v>2703</v>
      </c>
      <c r="BB55" s="1751" t="s">
        <v>2703</v>
      </c>
      <c r="BC55" s="1751" t="s">
        <v>2703</v>
      </c>
      <c r="BD55" s="1751" t="s">
        <v>2703</v>
      </c>
      <c r="BE55" s="1751" t="s">
        <v>2670</v>
      </c>
      <c r="BF55" s="1751" t="s">
        <v>2670</v>
      </c>
      <c r="BG55" s="1751" t="s">
        <v>2704</v>
      </c>
      <c r="BH55" s="1751" t="s">
        <v>2704</v>
      </c>
      <c r="BI55" s="1751" t="s">
        <v>2507</v>
      </c>
      <c r="BJ55" s="1751" t="s">
        <v>2507</v>
      </c>
      <c r="BK55" s="1751" t="s">
        <v>2670</v>
      </c>
      <c r="BL55" s="1751" t="s">
        <v>2670</v>
      </c>
      <c r="BM55" s="1751" t="s">
        <v>2705</v>
      </c>
      <c r="BN55" s="1751" t="s">
        <v>2706</v>
      </c>
      <c r="BO55" s="1751" t="s">
        <v>2706</v>
      </c>
      <c r="BP55" s="1751" t="s">
        <v>2707</v>
      </c>
      <c r="BQ55" s="1751" t="s">
        <v>2708</v>
      </c>
      <c r="BR55" s="1751" t="s">
        <v>2708</v>
      </c>
      <c r="BS55" s="1751" t="s">
        <v>2708</v>
      </c>
      <c r="BT55" s="1751" t="s">
        <v>2708</v>
      </c>
      <c r="BU55" s="1751" t="s">
        <v>2705</v>
      </c>
      <c r="BV55" s="1751" t="s">
        <v>2705</v>
      </c>
      <c r="BW55" s="1751" t="s">
        <v>2709</v>
      </c>
      <c r="BX55" s="1751" t="s">
        <v>2709</v>
      </c>
      <c r="BY55" s="1751" t="s">
        <v>2709</v>
      </c>
      <c r="BZ55" s="1752" t="s">
        <v>2710</v>
      </c>
      <c r="CA55" s="1751" t="s">
        <v>2509</v>
      </c>
      <c r="CB55" s="1751" t="s">
        <v>2509</v>
      </c>
      <c r="CC55" s="1751" t="s">
        <v>2710</v>
      </c>
      <c r="CD55" s="1751" t="s">
        <v>2509</v>
      </c>
      <c r="CE55" s="1751" t="s">
        <v>2668</v>
      </c>
      <c r="CF55" s="1751" t="s">
        <v>2711</v>
      </c>
      <c r="CG55" s="1751" t="s">
        <v>2711</v>
      </c>
      <c r="CH55" s="1751" t="s">
        <v>2712</v>
      </c>
      <c r="CI55" s="1751" t="s">
        <v>2710</v>
      </c>
      <c r="CJ55" s="1751" t="s">
        <v>2710</v>
      </c>
      <c r="CK55" s="1751" t="s">
        <v>2712</v>
      </c>
      <c r="CL55" s="1751" t="s">
        <v>2712</v>
      </c>
      <c r="CM55" s="1751" t="s">
        <v>2565</v>
      </c>
      <c r="CN55" s="1751" t="s">
        <v>2565</v>
      </c>
      <c r="CO55" s="1751" t="s">
        <v>2713</v>
      </c>
      <c r="CP55" s="1751" t="s">
        <v>2714</v>
      </c>
      <c r="CQ55" s="1755" t="s">
        <v>2714</v>
      </c>
      <c r="CR55" s="1778" t="s">
        <v>2715</v>
      </c>
      <c r="CS55" s="1778" t="s">
        <v>2715</v>
      </c>
      <c r="CT55" s="1778" t="s">
        <v>2716</v>
      </c>
      <c r="CU55" s="1778" t="s">
        <v>2717</v>
      </c>
      <c r="CV55" s="1778" t="s">
        <v>2679</v>
      </c>
      <c r="CW55" s="1778" t="s">
        <v>2718</v>
      </c>
      <c r="CX55" s="1778" t="s">
        <v>2680</v>
      </c>
      <c r="CY55" s="1778" t="s">
        <v>2681</v>
      </c>
      <c r="CZ55" s="1778" t="s">
        <v>2681</v>
      </c>
      <c r="DA55" s="1778" t="s">
        <v>2682</v>
      </c>
      <c r="DB55" s="1778" t="s">
        <v>2719</v>
      </c>
      <c r="DC55" s="1779" t="s">
        <v>2684</v>
      </c>
      <c r="DD55" s="1779" t="s">
        <v>2720</v>
      </c>
      <c r="DE55" s="1779" t="s">
        <v>2721</v>
      </c>
    </row>
    <row r="56" spans="1:109" ht="17.45" customHeight="1">
      <c r="A56" s="1733" t="s">
        <v>2722</v>
      </c>
      <c r="B56" s="1749" t="s">
        <v>2723</v>
      </c>
      <c r="C56" s="1750" t="s">
        <v>2723</v>
      </c>
      <c r="D56" s="1750" t="s">
        <v>2724</v>
      </c>
      <c r="E56" s="1750" t="s">
        <v>2724</v>
      </c>
      <c r="F56" s="1749" t="s">
        <v>2724</v>
      </c>
      <c r="G56" s="1750" t="s">
        <v>2725</v>
      </c>
      <c r="H56" s="1750" t="s">
        <v>2726</v>
      </c>
      <c r="I56" s="1750" t="s">
        <v>2613</v>
      </c>
      <c r="J56" s="1750" t="s">
        <v>2724</v>
      </c>
      <c r="K56" s="1750" t="s">
        <v>2724</v>
      </c>
      <c r="L56" s="1750" t="s">
        <v>2724</v>
      </c>
      <c r="M56" s="1750" t="s">
        <v>2724</v>
      </c>
      <c r="N56" s="1749" t="s">
        <v>2727</v>
      </c>
      <c r="O56" s="1750" t="s">
        <v>2724</v>
      </c>
      <c r="P56" s="1750" t="s">
        <v>2612</v>
      </c>
      <c r="Q56" s="1749" t="s">
        <v>2663</v>
      </c>
      <c r="R56" s="1750" t="s">
        <v>2701</v>
      </c>
      <c r="S56" s="1750" t="s">
        <v>2728</v>
      </c>
      <c r="T56" s="1751" t="s">
        <v>2729</v>
      </c>
      <c r="U56" s="1751" t="s">
        <v>2730</v>
      </c>
      <c r="V56" s="1751" t="s">
        <v>2730</v>
      </c>
      <c r="W56" s="1751" t="s">
        <v>2729</v>
      </c>
      <c r="X56" s="1751" t="s">
        <v>2701</v>
      </c>
      <c r="Y56" s="1751" t="s">
        <v>2701</v>
      </c>
      <c r="Z56" s="1751" t="s">
        <v>2731</v>
      </c>
      <c r="AA56" s="1751" t="s">
        <v>2732</v>
      </c>
      <c r="AB56" s="1751" t="s">
        <v>2701</v>
      </c>
      <c r="AC56" s="1751" t="s">
        <v>2701</v>
      </c>
      <c r="AD56" s="1751" t="s">
        <v>2701</v>
      </c>
      <c r="AE56" s="1751" t="s">
        <v>2733</v>
      </c>
      <c r="AF56" s="1751" t="s">
        <v>2733</v>
      </c>
      <c r="AG56" s="1751" t="s">
        <v>2734</v>
      </c>
      <c r="AH56" s="1751" t="s">
        <v>2732</v>
      </c>
      <c r="AI56" s="1751" t="s">
        <v>2701</v>
      </c>
      <c r="AJ56" s="1751" t="s">
        <v>2701</v>
      </c>
      <c r="AK56" s="1751" t="s">
        <v>2701</v>
      </c>
      <c r="AL56" s="1751" t="s">
        <v>2735</v>
      </c>
      <c r="AM56" s="1751" t="s">
        <v>2736</v>
      </c>
      <c r="AN56" s="1751" t="s">
        <v>2737</v>
      </c>
      <c r="AO56" s="1751" t="s">
        <v>2737</v>
      </c>
      <c r="AP56" s="1751" t="s">
        <v>2738</v>
      </c>
      <c r="AQ56" s="1751" t="s">
        <v>2739</v>
      </c>
      <c r="AR56" s="1751" t="s">
        <v>2739</v>
      </c>
      <c r="AS56" s="1751" t="s">
        <v>2740</v>
      </c>
      <c r="AT56" s="1751" t="s">
        <v>2724</v>
      </c>
      <c r="AU56" s="1751" t="s">
        <v>2741</v>
      </c>
      <c r="AV56" s="1751" t="s">
        <v>2742</v>
      </c>
      <c r="AW56" s="1751" t="s">
        <v>2742</v>
      </c>
      <c r="AX56" s="1751" t="s">
        <v>2742</v>
      </c>
      <c r="AY56" s="1751" t="s">
        <v>2742</v>
      </c>
      <c r="AZ56" s="1751" t="s">
        <v>2743</v>
      </c>
      <c r="BA56" s="1751" t="s">
        <v>2744</v>
      </c>
      <c r="BB56" s="1751" t="s">
        <v>2745</v>
      </c>
      <c r="BC56" s="1751" t="s">
        <v>2745</v>
      </c>
      <c r="BD56" s="1751" t="s">
        <v>2746</v>
      </c>
      <c r="BE56" s="1751" t="s">
        <v>2747</v>
      </c>
      <c r="BF56" s="1751" t="s">
        <v>2747</v>
      </c>
      <c r="BG56" s="1751" t="s">
        <v>2747</v>
      </c>
      <c r="BH56" s="1751" t="s">
        <v>2746</v>
      </c>
      <c r="BI56" s="1751" t="s">
        <v>2748</v>
      </c>
      <c r="BJ56" s="1751" t="s">
        <v>2748</v>
      </c>
      <c r="BK56" s="1751" t="s">
        <v>2666</v>
      </c>
      <c r="BL56" s="1751" t="s">
        <v>2732</v>
      </c>
      <c r="BM56" s="1751" t="s">
        <v>2749</v>
      </c>
      <c r="BN56" s="1751" t="s">
        <v>2741</v>
      </c>
      <c r="BO56" s="1751" t="s">
        <v>2741</v>
      </c>
      <c r="BP56" s="1751" t="s">
        <v>2741</v>
      </c>
      <c r="BQ56" s="1751" t="s">
        <v>2741</v>
      </c>
      <c r="BR56" s="1751" t="s">
        <v>2741</v>
      </c>
      <c r="BS56" s="1751" t="s">
        <v>2741</v>
      </c>
      <c r="BT56" s="1751" t="s">
        <v>2741</v>
      </c>
      <c r="BU56" s="1751" t="s">
        <v>2741</v>
      </c>
      <c r="BV56" s="1751" t="s">
        <v>2741</v>
      </c>
      <c r="BW56" s="1751" t="s">
        <v>2750</v>
      </c>
      <c r="BX56" s="1751" t="s">
        <v>2750</v>
      </c>
      <c r="BY56" s="1751" t="s">
        <v>2750</v>
      </c>
      <c r="BZ56" s="1752" t="s">
        <v>2750</v>
      </c>
      <c r="CA56" s="1751" t="s">
        <v>2750</v>
      </c>
      <c r="CB56" s="1751" t="s">
        <v>2750</v>
      </c>
      <c r="CC56" s="1751" t="s">
        <v>2750</v>
      </c>
      <c r="CD56" s="1751" t="s">
        <v>2751</v>
      </c>
      <c r="CE56" s="1751" t="s">
        <v>2752</v>
      </c>
      <c r="CF56" s="1751" t="s">
        <v>2751</v>
      </c>
      <c r="CG56" s="1751" t="s">
        <v>2751</v>
      </c>
      <c r="CH56" s="1751" t="s">
        <v>2709</v>
      </c>
      <c r="CI56" s="1751" t="s">
        <v>2709</v>
      </c>
      <c r="CJ56" s="1751" t="s">
        <v>2709</v>
      </c>
      <c r="CK56" s="1751" t="s">
        <v>2618</v>
      </c>
      <c r="CL56" s="1751" t="s">
        <v>2509</v>
      </c>
      <c r="CM56" s="1751" t="s">
        <v>2753</v>
      </c>
      <c r="CN56" s="1751" t="s">
        <v>2753</v>
      </c>
      <c r="CO56" s="1751" t="s">
        <v>2753</v>
      </c>
      <c r="CP56" s="1751" t="s">
        <v>2753</v>
      </c>
      <c r="CQ56" s="1755" t="s">
        <v>2753</v>
      </c>
      <c r="CR56" s="1778" t="s">
        <v>2753</v>
      </c>
      <c r="CS56" s="1778" t="s">
        <v>2753</v>
      </c>
      <c r="CT56" s="1778" t="s">
        <v>2754</v>
      </c>
      <c r="CU56" s="1778" t="s">
        <v>2754</v>
      </c>
      <c r="CV56" s="1778" t="s">
        <v>2755</v>
      </c>
      <c r="CW56" s="1778" t="s">
        <v>2755</v>
      </c>
      <c r="CX56" s="1778" t="s">
        <v>2756</v>
      </c>
      <c r="CY56" s="1778" t="s">
        <v>2757</v>
      </c>
      <c r="CZ56" s="1778" t="s">
        <v>2757</v>
      </c>
      <c r="DA56" s="1778" t="s">
        <v>2757</v>
      </c>
      <c r="DB56" s="1778" t="s">
        <v>2757</v>
      </c>
      <c r="DC56" s="1779" t="s">
        <v>2720</v>
      </c>
      <c r="DD56" s="1779" t="s">
        <v>2676</v>
      </c>
      <c r="DE56" s="1779" t="s">
        <v>2758</v>
      </c>
    </row>
    <row r="57" spans="1:109" ht="17.45" customHeight="1">
      <c r="A57" s="1733" t="s">
        <v>2759</v>
      </c>
      <c r="B57" s="1749" t="s">
        <v>2760</v>
      </c>
      <c r="C57" s="1750" t="s">
        <v>2593</v>
      </c>
      <c r="D57" s="1750" t="s">
        <v>2592</v>
      </c>
      <c r="E57" s="1750" t="s">
        <v>2613</v>
      </c>
      <c r="F57" s="1749" t="s">
        <v>2613</v>
      </c>
      <c r="G57" s="1750" t="s">
        <v>2613</v>
      </c>
      <c r="H57" s="1750" t="s">
        <v>2761</v>
      </c>
      <c r="I57" s="1750" t="s">
        <v>2613</v>
      </c>
      <c r="J57" s="1750" t="s">
        <v>2613</v>
      </c>
      <c r="K57" s="1750" t="s">
        <v>2613</v>
      </c>
      <c r="L57" s="1750" t="s">
        <v>2613</v>
      </c>
      <c r="M57" s="1750" t="s">
        <v>2613</v>
      </c>
      <c r="N57" s="1749" t="s">
        <v>2613</v>
      </c>
      <c r="O57" s="1750" t="s">
        <v>2613</v>
      </c>
      <c r="P57" s="1750" t="s">
        <v>2762</v>
      </c>
      <c r="Q57" s="1749" t="s">
        <v>2702</v>
      </c>
      <c r="R57" s="1750" t="s">
        <v>2702</v>
      </c>
      <c r="S57" s="1750" t="s">
        <v>2763</v>
      </c>
      <c r="T57" s="1751" t="s">
        <v>2730</v>
      </c>
      <c r="U57" s="1751" t="s">
        <v>2764</v>
      </c>
      <c r="V57" s="1751" t="s">
        <v>2730</v>
      </c>
      <c r="W57" s="1751" t="s">
        <v>2730</v>
      </c>
      <c r="X57" s="1751" t="s">
        <v>2730</v>
      </c>
      <c r="Y57" s="1751" t="s">
        <v>2765</v>
      </c>
      <c r="Z57" s="1751" t="s">
        <v>2766</v>
      </c>
      <c r="AA57" s="1751" t="s">
        <v>2767</v>
      </c>
      <c r="AB57" s="1751" t="s">
        <v>2767</v>
      </c>
      <c r="AC57" s="1751" t="s">
        <v>2767</v>
      </c>
      <c r="AD57" s="1751" t="s">
        <v>2767</v>
      </c>
      <c r="AE57" s="1751" t="s">
        <v>2729</v>
      </c>
      <c r="AF57" s="1751" t="s">
        <v>2729</v>
      </c>
      <c r="AG57" s="1751" t="s">
        <v>2734</v>
      </c>
      <c r="AH57" s="1751" t="s">
        <v>2734</v>
      </c>
      <c r="AI57" s="1751" t="s">
        <v>2562</v>
      </c>
      <c r="AJ57" s="1751" t="s">
        <v>2768</v>
      </c>
      <c r="AK57" s="1751" t="s">
        <v>2768</v>
      </c>
      <c r="AL57" s="1751" t="s">
        <v>2769</v>
      </c>
      <c r="AM57" s="1751" t="s">
        <v>2769</v>
      </c>
      <c r="AN57" s="1751" t="s">
        <v>2769</v>
      </c>
      <c r="AO57" s="1751" t="s">
        <v>2769</v>
      </c>
      <c r="AP57" s="1751" t="s">
        <v>2768</v>
      </c>
      <c r="AQ57" s="1751" t="s">
        <v>2770</v>
      </c>
      <c r="AR57" s="1751" t="s">
        <v>2770</v>
      </c>
      <c r="AS57" s="1751" t="s">
        <v>2770</v>
      </c>
      <c r="AT57" s="1751" t="s">
        <v>2770</v>
      </c>
      <c r="AU57" s="1751" t="s">
        <v>2771</v>
      </c>
      <c r="AV57" s="1751" t="s">
        <v>2771</v>
      </c>
      <c r="AW57" s="1751" t="s">
        <v>2771</v>
      </c>
      <c r="AX57" s="1751" t="s">
        <v>2771</v>
      </c>
      <c r="AY57" s="1751" t="s">
        <v>2771</v>
      </c>
      <c r="AZ57" s="1751" t="s">
        <v>2772</v>
      </c>
      <c r="BA57" s="1751" t="s">
        <v>2772</v>
      </c>
      <c r="BB57" s="1751" t="s">
        <v>2772</v>
      </c>
      <c r="BC57" s="1751" t="s">
        <v>2772</v>
      </c>
      <c r="BD57" s="1751" t="s">
        <v>2772</v>
      </c>
      <c r="BE57" s="1751" t="s">
        <v>2614</v>
      </c>
      <c r="BF57" s="1751" t="s">
        <v>2614</v>
      </c>
      <c r="BG57" s="1751" t="s">
        <v>2614</v>
      </c>
      <c r="BH57" s="1751" t="s">
        <v>2773</v>
      </c>
      <c r="BI57" s="1751" t="s">
        <v>2774</v>
      </c>
      <c r="BJ57" s="1751" t="s">
        <v>2501</v>
      </c>
      <c r="BK57" s="1751" t="s">
        <v>2501</v>
      </c>
      <c r="BL57" s="1751" t="s">
        <v>2501</v>
      </c>
      <c r="BM57" s="1751" t="s">
        <v>2614</v>
      </c>
      <c r="BN57" s="1751" t="s">
        <v>2501</v>
      </c>
      <c r="BO57" s="1751" t="s">
        <v>2775</v>
      </c>
      <c r="BP57" s="1751" t="s">
        <v>2776</v>
      </c>
      <c r="BQ57" s="1751" t="s">
        <v>2776</v>
      </c>
      <c r="BR57" s="1751" t="s">
        <v>2613</v>
      </c>
      <c r="BS57" s="1751" t="s">
        <v>2613</v>
      </c>
      <c r="BT57" s="1751" t="s">
        <v>2613</v>
      </c>
      <c r="BU57" s="1751" t="s">
        <v>2613</v>
      </c>
      <c r="BV57" s="1751" t="s">
        <v>2613</v>
      </c>
      <c r="BW57" s="1751" t="s">
        <v>2777</v>
      </c>
      <c r="BX57" s="1751" t="s">
        <v>2777</v>
      </c>
      <c r="BY57" s="1751" t="s">
        <v>2777</v>
      </c>
      <c r="BZ57" s="1752" t="s">
        <v>2777</v>
      </c>
      <c r="CA57" s="1751" t="s">
        <v>2777</v>
      </c>
      <c r="CB57" s="1751" t="s">
        <v>2777</v>
      </c>
      <c r="CC57" s="1751" t="s">
        <v>2777</v>
      </c>
      <c r="CD57" s="1751" t="s">
        <v>2774</v>
      </c>
      <c r="CE57" s="1751" t="s">
        <v>2778</v>
      </c>
      <c r="CF57" s="1751" t="s">
        <v>2778</v>
      </c>
      <c r="CG57" s="1751" t="s">
        <v>2778</v>
      </c>
      <c r="CH57" s="1751" t="s">
        <v>2750</v>
      </c>
      <c r="CI57" s="1751" t="s">
        <v>2750</v>
      </c>
      <c r="CJ57" s="1751" t="s">
        <v>2750</v>
      </c>
      <c r="CK57" s="1751" t="s">
        <v>2619</v>
      </c>
      <c r="CL57" s="1751" t="s">
        <v>2779</v>
      </c>
      <c r="CM57" s="1751" t="s">
        <v>2780</v>
      </c>
      <c r="CN57" s="1751" t="s">
        <v>2781</v>
      </c>
      <c r="CO57" s="1751" t="s">
        <v>2782</v>
      </c>
      <c r="CP57" s="1751" t="s">
        <v>2781</v>
      </c>
      <c r="CQ57" s="1755" t="s">
        <v>2781</v>
      </c>
      <c r="CR57" s="1778" t="s">
        <v>2780</v>
      </c>
      <c r="CS57" s="1778" t="s">
        <v>2780</v>
      </c>
      <c r="CT57" s="1778" t="s">
        <v>2783</v>
      </c>
      <c r="CU57" s="1778" t="s">
        <v>2720</v>
      </c>
      <c r="CV57" s="1778" t="s">
        <v>2757</v>
      </c>
      <c r="CW57" s="1778" t="s">
        <v>2684</v>
      </c>
      <c r="CX57" s="1778" t="s">
        <v>2684</v>
      </c>
      <c r="CY57" s="1778" t="s">
        <v>2758</v>
      </c>
      <c r="CZ57" s="1778" t="s">
        <v>2784</v>
      </c>
      <c r="DA57" s="1778" t="s">
        <v>2785</v>
      </c>
      <c r="DB57" s="1778" t="s">
        <v>2786</v>
      </c>
      <c r="DC57" s="1779" t="s">
        <v>2787</v>
      </c>
      <c r="DD57" s="1779" t="s">
        <v>2787</v>
      </c>
      <c r="DE57" s="1779" t="s">
        <v>2788</v>
      </c>
    </row>
    <row r="58" spans="1:109" ht="17.45" customHeight="1">
      <c r="A58" s="1733" t="s">
        <v>2789</v>
      </c>
      <c r="B58" s="1749" t="s">
        <v>2790</v>
      </c>
      <c r="C58" s="1750" t="s">
        <v>2701</v>
      </c>
      <c r="D58" s="1750" t="s">
        <v>2664</v>
      </c>
      <c r="E58" s="1750" t="s">
        <v>2664</v>
      </c>
      <c r="F58" s="1749" t="s">
        <v>2664</v>
      </c>
      <c r="G58" s="1750" t="s">
        <v>2733</v>
      </c>
      <c r="H58" s="1750" t="s">
        <v>2733</v>
      </c>
      <c r="I58" s="1750" t="s">
        <v>2733</v>
      </c>
      <c r="J58" s="1750" t="s">
        <v>2733</v>
      </c>
      <c r="K58" s="1750" t="s">
        <v>2733</v>
      </c>
      <c r="L58" s="1750" t="s">
        <v>2733</v>
      </c>
      <c r="M58" s="1750" t="s">
        <v>2733</v>
      </c>
      <c r="N58" s="1749" t="s">
        <v>2734</v>
      </c>
      <c r="O58" s="1750" t="s">
        <v>2734</v>
      </c>
      <c r="P58" s="1750" t="s">
        <v>2697</v>
      </c>
      <c r="Q58" s="1749" t="s">
        <v>2697</v>
      </c>
      <c r="R58" s="1750" t="s">
        <v>2729</v>
      </c>
      <c r="S58" s="1750" t="s">
        <v>2729</v>
      </c>
      <c r="T58" s="1751" t="s">
        <v>2791</v>
      </c>
      <c r="U58" s="1751" t="s">
        <v>2792</v>
      </c>
      <c r="V58" s="1751" t="s">
        <v>2793</v>
      </c>
      <c r="W58" s="1751" t="s">
        <v>2793</v>
      </c>
      <c r="X58" s="1751" t="s">
        <v>2791</v>
      </c>
      <c r="Y58" s="1751" t="s">
        <v>2793</v>
      </c>
      <c r="Z58" s="1751" t="s">
        <v>2728</v>
      </c>
      <c r="AA58" s="1751" t="s">
        <v>2728</v>
      </c>
      <c r="AB58" s="1751" t="s">
        <v>2728</v>
      </c>
      <c r="AC58" s="1751" t="s">
        <v>2728</v>
      </c>
      <c r="AD58" s="1751" t="s">
        <v>2728</v>
      </c>
      <c r="AE58" s="1751" t="s">
        <v>2767</v>
      </c>
      <c r="AF58" s="1751" t="s">
        <v>2767</v>
      </c>
      <c r="AG58" s="1751" t="s">
        <v>2730</v>
      </c>
      <c r="AH58" s="1751" t="s">
        <v>2794</v>
      </c>
      <c r="AI58" s="1751" t="s">
        <v>2795</v>
      </c>
      <c r="AJ58" s="1751" t="s">
        <v>2796</v>
      </c>
      <c r="AK58" s="1751" t="s">
        <v>2796</v>
      </c>
      <c r="AL58" s="1751" t="s">
        <v>2797</v>
      </c>
      <c r="AM58" s="1751" t="s">
        <v>2797</v>
      </c>
      <c r="AN58" s="1751" t="s">
        <v>2797</v>
      </c>
      <c r="AO58" s="1751" t="s">
        <v>2797</v>
      </c>
      <c r="AP58" s="1751" t="s">
        <v>2798</v>
      </c>
      <c r="AQ58" s="1751" t="s">
        <v>2799</v>
      </c>
      <c r="AR58" s="1751" t="s">
        <v>2799</v>
      </c>
      <c r="AS58" s="1751" t="s">
        <v>2799</v>
      </c>
      <c r="AT58" s="1751" t="s">
        <v>2799</v>
      </c>
      <c r="AU58" s="1751" t="s">
        <v>2800</v>
      </c>
      <c r="AV58" s="1751" t="s">
        <v>2801</v>
      </c>
      <c r="AW58" s="1751" t="s">
        <v>2801</v>
      </c>
      <c r="AX58" s="1751" t="s">
        <v>2799</v>
      </c>
      <c r="AY58" s="1751" t="s">
        <v>2799</v>
      </c>
      <c r="AZ58" s="1751" t="s">
        <v>2799</v>
      </c>
      <c r="BA58" s="1751" t="s">
        <v>2799</v>
      </c>
      <c r="BB58" s="1751" t="s">
        <v>2799</v>
      </c>
      <c r="BC58" s="1751" t="s">
        <v>2799</v>
      </c>
      <c r="BD58" s="1751" t="s">
        <v>2802</v>
      </c>
      <c r="BE58" s="1751" t="s">
        <v>2802</v>
      </c>
      <c r="BF58" s="1751" t="s">
        <v>2802</v>
      </c>
      <c r="BG58" s="1751" t="s">
        <v>2802</v>
      </c>
      <c r="BH58" s="1751" t="s">
        <v>2802</v>
      </c>
      <c r="BI58" s="1751" t="s">
        <v>2803</v>
      </c>
      <c r="BJ58" s="1751" t="s">
        <v>2802</v>
      </c>
      <c r="BK58" s="1751" t="s">
        <v>2802</v>
      </c>
      <c r="BL58" s="1751" t="s">
        <v>2802</v>
      </c>
      <c r="BM58" s="1751" t="s">
        <v>2804</v>
      </c>
      <c r="BN58" s="1751" t="s">
        <v>2804</v>
      </c>
      <c r="BO58" s="1751" t="s">
        <v>2805</v>
      </c>
      <c r="BP58" s="1751" t="s">
        <v>2805</v>
      </c>
      <c r="BQ58" s="1751" t="s">
        <v>2805</v>
      </c>
      <c r="BR58" s="1751" t="s">
        <v>2805</v>
      </c>
      <c r="BS58" s="1751" t="s">
        <v>2806</v>
      </c>
      <c r="BT58" s="1751" t="s">
        <v>2806</v>
      </c>
      <c r="BU58" s="1751" t="s">
        <v>2806</v>
      </c>
      <c r="BV58" s="1751" t="s">
        <v>2806</v>
      </c>
      <c r="BW58" s="1751" t="s">
        <v>2807</v>
      </c>
      <c r="BX58" s="1751" t="s">
        <v>2807</v>
      </c>
      <c r="BY58" s="1751" t="s">
        <v>2807</v>
      </c>
      <c r="BZ58" s="1752" t="s">
        <v>2807</v>
      </c>
      <c r="CA58" s="1751" t="s">
        <v>2808</v>
      </c>
      <c r="CB58" s="1751" t="s">
        <v>2809</v>
      </c>
      <c r="CC58" s="1751" t="s">
        <v>2810</v>
      </c>
      <c r="CD58" s="1751" t="s">
        <v>2620</v>
      </c>
      <c r="CE58" s="1751" t="s">
        <v>2620</v>
      </c>
      <c r="CF58" s="1751" t="s">
        <v>2620</v>
      </c>
      <c r="CG58" s="1751" t="s">
        <v>2620</v>
      </c>
      <c r="CH58" s="1751" t="s">
        <v>2811</v>
      </c>
      <c r="CI58" s="1751" t="s">
        <v>2811</v>
      </c>
      <c r="CJ58" s="1751" t="s">
        <v>2811</v>
      </c>
      <c r="CK58" s="1751" t="s">
        <v>2811</v>
      </c>
      <c r="CL58" s="1751" t="s">
        <v>2811</v>
      </c>
      <c r="CM58" s="1751" t="s">
        <v>2811</v>
      </c>
      <c r="CN58" s="1751" t="s">
        <v>2811</v>
      </c>
      <c r="CO58" s="1751" t="s">
        <v>2812</v>
      </c>
      <c r="CP58" s="1751" t="s">
        <v>2812</v>
      </c>
      <c r="CQ58" s="1755" t="s">
        <v>2812</v>
      </c>
      <c r="CR58" s="1778" t="s">
        <v>2813</v>
      </c>
      <c r="CS58" s="1778" t="s">
        <v>2814</v>
      </c>
      <c r="CT58" s="1778" t="s">
        <v>2815</v>
      </c>
      <c r="CU58" s="1778" t="s">
        <v>2815</v>
      </c>
      <c r="CV58" s="1778" t="s">
        <v>2815</v>
      </c>
      <c r="CW58" s="1778" t="s">
        <v>2816</v>
      </c>
      <c r="CX58" s="1778" t="s">
        <v>2815</v>
      </c>
      <c r="CY58" s="1778" t="s">
        <v>2815</v>
      </c>
      <c r="CZ58" s="1778" t="s">
        <v>2815</v>
      </c>
      <c r="DA58" s="1778" t="s">
        <v>2815</v>
      </c>
      <c r="DB58" s="1778" t="s">
        <v>2815</v>
      </c>
      <c r="DC58" s="1779" t="s">
        <v>2815</v>
      </c>
      <c r="DD58" s="1779" t="s">
        <v>2815</v>
      </c>
      <c r="DE58" s="1779" t="s">
        <v>2817</v>
      </c>
    </row>
    <row r="59" spans="1:109" ht="17.45" customHeight="1">
      <c r="A59" s="1733" t="s">
        <v>2818</v>
      </c>
      <c r="B59" s="1749" t="s">
        <v>2819</v>
      </c>
      <c r="C59" s="1750" t="s">
        <v>2820</v>
      </c>
      <c r="D59" s="1750" t="s">
        <v>2797</v>
      </c>
      <c r="E59" s="1750" t="s">
        <v>2797</v>
      </c>
      <c r="F59" s="1749" t="s">
        <v>2797</v>
      </c>
      <c r="G59" s="1750" t="s">
        <v>1146</v>
      </c>
      <c r="H59" s="1750" t="s">
        <v>1146</v>
      </c>
      <c r="I59" s="1750" t="s">
        <v>1146</v>
      </c>
      <c r="J59" s="1750" t="s">
        <v>1146</v>
      </c>
      <c r="K59" s="1750" t="s">
        <v>1146</v>
      </c>
      <c r="L59" s="1750" t="s">
        <v>1146</v>
      </c>
      <c r="M59" s="1750" t="s">
        <v>1146</v>
      </c>
      <c r="N59" s="1749" t="s">
        <v>2821</v>
      </c>
      <c r="O59" s="1750" t="s">
        <v>2821</v>
      </c>
      <c r="P59" s="1750" t="s">
        <v>2822</v>
      </c>
      <c r="Q59" s="1749" t="s">
        <v>2822</v>
      </c>
      <c r="R59" s="1750" t="s">
        <v>2822</v>
      </c>
      <c r="S59" s="1750" t="s">
        <v>2822</v>
      </c>
      <c r="T59" s="1751" t="s">
        <v>2822</v>
      </c>
      <c r="U59" s="1751" t="s">
        <v>2822</v>
      </c>
      <c r="V59" s="1751" t="s">
        <v>2822</v>
      </c>
      <c r="W59" s="1751" t="s">
        <v>2822</v>
      </c>
      <c r="X59" s="1751" t="s">
        <v>2823</v>
      </c>
      <c r="Y59" s="1751" t="s">
        <v>2821</v>
      </c>
      <c r="Z59" s="1751" t="s">
        <v>2822</v>
      </c>
      <c r="AA59" s="1751" t="s">
        <v>2824</v>
      </c>
      <c r="AB59" s="1751" t="s">
        <v>2824</v>
      </c>
      <c r="AC59" s="1751" t="s">
        <v>2824</v>
      </c>
      <c r="AD59" s="1751" t="s">
        <v>2824</v>
      </c>
      <c r="AE59" s="1751" t="s">
        <v>2824</v>
      </c>
      <c r="AF59" s="1751" t="s">
        <v>2824</v>
      </c>
      <c r="AG59" s="1751" t="s">
        <v>2825</v>
      </c>
      <c r="AH59" s="1751" t="s">
        <v>2825</v>
      </c>
      <c r="AI59" s="1751" t="s">
        <v>2826</v>
      </c>
      <c r="AJ59" s="1751" t="s">
        <v>2827</v>
      </c>
      <c r="AK59" s="1751" t="s">
        <v>2827</v>
      </c>
      <c r="AL59" s="1751" t="s">
        <v>2828</v>
      </c>
      <c r="AM59" s="1751" t="s">
        <v>2829</v>
      </c>
      <c r="AN59" s="1751" t="s">
        <v>2830</v>
      </c>
      <c r="AO59" s="1751" t="s">
        <v>2830</v>
      </c>
      <c r="AP59" s="1751" t="s">
        <v>2831</v>
      </c>
      <c r="AQ59" s="1751" t="s">
        <v>2832</v>
      </c>
      <c r="AR59" s="1751" t="s">
        <v>2833</v>
      </c>
      <c r="AS59" s="1751" t="s">
        <v>2834</v>
      </c>
      <c r="AT59" s="1751" t="s">
        <v>2835</v>
      </c>
      <c r="AU59" s="1751" t="s">
        <v>2793</v>
      </c>
      <c r="AV59" s="1751" t="s">
        <v>2836</v>
      </c>
      <c r="AW59" s="1751" t="s">
        <v>2836</v>
      </c>
      <c r="AX59" s="1751" t="s">
        <v>2837</v>
      </c>
      <c r="AY59" s="1751" t="s">
        <v>2838</v>
      </c>
      <c r="AZ59" s="1751" t="s">
        <v>2839</v>
      </c>
      <c r="BA59" s="1751" t="s">
        <v>2838</v>
      </c>
      <c r="BB59" s="1751" t="s">
        <v>2840</v>
      </c>
      <c r="BC59" s="1751" t="s">
        <v>2840</v>
      </c>
      <c r="BD59" s="1751" t="s">
        <v>2840</v>
      </c>
      <c r="BE59" s="1751" t="s">
        <v>2701</v>
      </c>
      <c r="BF59" s="1751" t="s">
        <v>2701</v>
      </c>
      <c r="BG59" s="1751" t="s">
        <v>2841</v>
      </c>
      <c r="BH59" s="1751" t="s">
        <v>2701</v>
      </c>
      <c r="BI59" s="1751" t="s">
        <v>2842</v>
      </c>
      <c r="BJ59" s="1751" t="s">
        <v>2843</v>
      </c>
      <c r="BK59" s="1751" t="s">
        <v>2844</v>
      </c>
      <c r="BL59" s="1751" t="s">
        <v>2844</v>
      </c>
      <c r="BM59" s="1751" t="s">
        <v>2845</v>
      </c>
      <c r="BN59" s="1751" t="s">
        <v>2844</v>
      </c>
      <c r="BO59" s="1751" t="s">
        <v>2846</v>
      </c>
      <c r="BP59" s="1751" t="s">
        <v>2847</v>
      </c>
      <c r="BQ59" s="1751" t="s">
        <v>2848</v>
      </c>
      <c r="BR59" s="1751" t="s">
        <v>2848</v>
      </c>
      <c r="BS59" s="1751" t="s">
        <v>2849</v>
      </c>
      <c r="BT59" s="1751" t="s">
        <v>2849</v>
      </c>
      <c r="BU59" s="1751" t="s">
        <v>2850</v>
      </c>
      <c r="BV59" s="1751" t="s">
        <v>2850</v>
      </c>
      <c r="BW59" s="1751" t="s">
        <v>2851</v>
      </c>
      <c r="BX59" s="1751" t="s">
        <v>2852</v>
      </c>
      <c r="BY59" s="1751" t="s">
        <v>2852</v>
      </c>
      <c r="BZ59" s="1752" t="s">
        <v>2852</v>
      </c>
      <c r="CA59" s="1751" t="s">
        <v>2853</v>
      </c>
      <c r="CB59" s="1751" t="s">
        <v>2854</v>
      </c>
      <c r="CC59" s="1751" t="s">
        <v>2855</v>
      </c>
      <c r="CD59" s="1751" t="s">
        <v>2856</v>
      </c>
      <c r="CE59" s="1751" t="s">
        <v>2857</v>
      </c>
      <c r="CF59" s="1751" t="s">
        <v>2855</v>
      </c>
      <c r="CG59" s="1751" t="s">
        <v>2855</v>
      </c>
      <c r="CH59" s="1751" t="s">
        <v>2858</v>
      </c>
      <c r="CI59" s="1751" t="s">
        <v>2859</v>
      </c>
      <c r="CJ59" s="1751" t="s">
        <v>2860</v>
      </c>
      <c r="CK59" s="1751" t="s">
        <v>2861</v>
      </c>
      <c r="CL59" s="1751" t="s">
        <v>2862</v>
      </c>
      <c r="CM59" s="1751" t="s">
        <v>2862</v>
      </c>
      <c r="CN59" s="1751" t="s">
        <v>2862</v>
      </c>
      <c r="CO59" s="1751" t="s">
        <v>2863</v>
      </c>
      <c r="CP59" s="1751" t="s">
        <v>2863</v>
      </c>
      <c r="CQ59" s="1755" t="s">
        <v>2863</v>
      </c>
      <c r="CR59" s="1778" t="s">
        <v>2864</v>
      </c>
      <c r="CS59" s="1778" t="s">
        <v>2620</v>
      </c>
      <c r="CT59" s="1778" t="s">
        <v>2865</v>
      </c>
      <c r="CU59" s="1778" t="s">
        <v>2866</v>
      </c>
      <c r="CV59" s="1778" t="s">
        <v>2866</v>
      </c>
      <c r="CW59" s="1778" t="s">
        <v>2867</v>
      </c>
      <c r="CX59" s="1778" t="s">
        <v>2866</v>
      </c>
      <c r="CY59" s="1778" t="s">
        <v>2866</v>
      </c>
      <c r="CZ59" s="1778" t="s">
        <v>2866</v>
      </c>
      <c r="DA59" s="1778" t="s">
        <v>2866</v>
      </c>
      <c r="DB59" s="1778" t="s">
        <v>2866</v>
      </c>
      <c r="DC59" s="1779" t="s">
        <v>2866</v>
      </c>
      <c r="DD59" s="1779" t="s">
        <v>2866</v>
      </c>
      <c r="DE59" s="1779" t="s">
        <v>2868</v>
      </c>
    </row>
    <row r="60" spans="1:109" ht="17.45" customHeight="1">
      <c r="A60" s="1733" t="s">
        <v>2869</v>
      </c>
      <c r="B60" s="1749" t="s">
        <v>2837</v>
      </c>
      <c r="C60" s="1750" t="s">
        <v>2821</v>
      </c>
      <c r="D60" s="1750" t="s">
        <v>2821</v>
      </c>
      <c r="E60" s="1750" t="s">
        <v>2821</v>
      </c>
      <c r="F60" s="1749" t="s">
        <v>2821</v>
      </c>
      <c r="G60" s="1750" t="s">
        <v>2821</v>
      </c>
      <c r="H60" s="1750" t="s">
        <v>2821</v>
      </c>
      <c r="I60" s="1750" t="s">
        <v>2821</v>
      </c>
      <c r="J60" s="1750" t="s">
        <v>2821</v>
      </c>
      <c r="K60" s="1750" t="s">
        <v>2821</v>
      </c>
      <c r="L60" s="1750" t="s">
        <v>2821</v>
      </c>
      <c r="M60" s="1750" t="s">
        <v>2821</v>
      </c>
      <c r="N60" s="1749" t="s">
        <v>2870</v>
      </c>
      <c r="O60" s="1750" t="s">
        <v>2870</v>
      </c>
      <c r="P60" s="1750" t="s">
        <v>2871</v>
      </c>
      <c r="Q60" s="1749" t="s">
        <v>2871</v>
      </c>
      <c r="R60" s="1750" t="s">
        <v>2871</v>
      </c>
      <c r="S60" s="1750" t="s">
        <v>2872</v>
      </c>
      <c r="T60" s="1751" t="s">
        <v>2872</v>
      </c>
      <c r="U60" s="1751" t="s">
        <v>2802</v>
      </c>
      <c r="V60" s="1751" t="s">
        <v>2802</v>
      </c>
      <c r="W60" s="1751" t="s">
        <v>2802</v>
      </c>
      <c r="X60" s="1751" t="s">
        <v>2802</v>
      </c>
      <c r="Y60" s="1751" t="s">
        <v>2802</v>
      </c>
      <c r="Z60" s="1751" t="s">
        <v>2802</v>
      </c>
      <c r="AA60" s="1751" t="s">
        <v>2802</v>
      </c>
      <c r="AB60" s="1751" t="s">
        <v>2802</v>
      </c>
      <c r="AC60" s="1751" t="s">
        <v>2802</v>
      </c>
      <c r="AD60" s="1751" t="s">
        <v>2873</v>
      </c>
      <c r="AE60" s="1751" t="s">
        <v>2873</v>
      </c>
      <c r="AF60" s="1751" t="s">
        <v>2872</v>
      </c>
      <c r="AG60" s="1751" t="s">
        <v>2873</v>
      </c>
      <c r="AH60" s="1751" t="s">
        <v>2873</v>
      </c>
      <c r="AI60" s="1751" t="s">
        <v>2874</v>
      </c>
      <c r="AJ60" s="1751" t="s">
        <v>2874</v>
      </c>
      <c r="AK60" s="1751" t="s">
        <v>2874</v>
      </c>
      <c r="AL60" s="1751" t="s">
        <v>2874</v>
      </c>
      <c r="AM60" s="1751" t="s">
        <v>2875</v>
      </c>
      <c r="AN60" s="1751" t="s">
        <v>2875</v>
      </c>
      <c r="AO60" s="1751" t="s">
        <v>2875</v>
      </c>
      <c r="AP60" s="1751" t="s">
        <v>2876</v>
      </c>
      <c r="AQ60" s="1751" t="s">
        <v>2877</v>
      </c>
      <c r="AR60" s="1751" t="s">
        <v>2878</v>
      </c>
      <c r="AS60" s="1751" t="s">
        <v>2878</v>
      </c>
      <c r="AT60" s="1751" t="s">
        <v>2879</v>
      </c>
      <c r="AU60" s="1751" t="s">
        <v>2880</v>
      </c>
      <c r="AV60" s="1751" t="s">
        <v>2881</v>
      </c>
      <c r="AW60" s="1751" t="s">
        <v>2882</v>
      </c>
      <c r="AX60" s="1751" t="s">
        <v>2883</v>
      </c>
      <c r="AY60" s="1751" t="s">
        <v>2879</v>
      </c>
      <c r="AZ60" s="1751" t="s">
        <v>2879</v>
      </c>
      <c r="BA60" s="1751" t="s">
        <v>2879</v>
      </c>
      <c r="BB60" s="1751" t="s">
        <v>2879</v>
      </c>
      <c r="BC60" s="1751" t="s">
        <v>2879</v>
      </c>
      <c r="BD60" s="1751" t="s">
        <v>2880</v>
      </c>
      <c r="BE60" s="1751" t="s">
        <v>2884</v>
      </c>
      <c r="BF60" s="1751" t="s">
        <v>2884</v>
      </c>
      <c r="BG60" s="1751" t="s">
        <v>2879</v>
      </c>
      <c r="BH60" s="1751" t="s">
        <v>2879</v>
      </c>
      <c r="BI60" s="1751" t="s">
        <v>2883</v>
      </c>
      <c r="BJ60" s="1751" t="s">
        <v>2883</v>
      </c>
      <c r="BK60" s="1751" t="s">
        <v>2885</v>
      </c>
      <c r="BL60" s="1751" t="s">
        <v>2885</v>
      </c>
      <c r="BM60" s="1751" t="s">
        <v>2886</v>
      </c>
      <c r="BN60" s="1751" t="s">
        <v>2886</v>
      </c>
      <c r="BO60" s="1751" t="s">
        <v>2887</v>
      </c>
      <c r="BP60" s="1751" t="s">
        <v>2887</v>
      </c>
      <c r="BQ60" s="1751" t="s">
        <v>2887</v>
      </c>
      <c r="BR60" s="1751" t="s">
        <v>2887</v>
      </c>
      <c r="BS60" s="1751" t="s">
        <v>2888</v>
      </c>
      <c r="BT60" s="1751" t="s">
        <v>2888</v>
      </c>
      <c r="BU60" s="1751" t="s">
        <v>2888</v>
      </c>
      <c r="BV60" s="1751" t="s">
        <v>2888</v>
      </c>
      <c r="BW60" s="1751" t="s">
        <v>2889</v>
      </c>
      <c r="BX60" s="1751" t="s">
        <v>2890</v>
      </c>
      <c r="BY60" s="1751" t="s">
        <v>2889</v>
      </c>
      <c r="BZ60" s="1752" t="s">
        <v>2889</v>
      </c>
      <c r="CA60" s="1751" t="s">
        <v>2889</v>
      </c>
      <c r="CB60" s="1751" t="s">
        <v>2891</v>
      </c>
      <c r="CC60" s="1751" t="s">
        <v>2892</v>
      </c>
      <c r="CD60" s="1751" t="s">
        <v>2893</v>
      </c>
      <c r="CE60" s="1751" t="s">
        <v>2893</v>
      </c>
      <c r="CF60" s="1751" t="s">
        <v>2893</v>
      </c>
      <c r="CG60" s="1751" t="s">
        <v>2893</v>
      </c>
      <c r="CH60" s="1751" t="s">
        <v>2893</v>
      </c>
      <c r="CI60" s="1751" t="s">
        <v>2893</v>
      </c>
      <c r="CJ60" s="1751" t="s">
        <v>2893</v>
      </c>
      <c r="CK60" s="1751" t="s">
        <v>2893</v>
      </c>
      <c r="CL60" s="1751" t="s">
        <v>2894</v>
      </c>
      <c r="CM60" s="1751" t="s">
        <v>2895</v>
      </c>
      <c r="CN60" s="1751" t="s">
        <v>2895</v>
      </c>
      <c r="CO60" s="1751" t="s">
        <v>2896</v>
      </c>
      <c r="CP60" s="1751" t="s">
        <v>2897</v>
      </c>
      <c r="CQ60" s="1755" t="s">
        <v>2897</v>
      </c>
      <c r="CR60" s="1778" t="s">
        <v>2897</v>
      </c>
      <c r="CS60" s="1778" t="s">
        <v>2897</v>
      </c>
      <c r="CT60" s="1778" t="s">
        <v>2897</v>
      </c>
      <c r="CU60" s="1778" t="s">
        <v>2897</v>
      </c>
      <c r="CV60" s="1778" t="s">
        <v>2897</v>
      </c>
      <c r="CW60" s="1778" t="s">
        <v>2897</v>
      </c>
      <c r="CX60" s="1778" t="s">
        <v>2898</v>
      </c>
      <c r="CY60" s="1778" t="s">
        <v>2899</v>
      </c>
      <c r="CZ60" s="1778" t="s">
        <v>2900</v>
      </c>
      <c r="DA60" s="1778" t="s">
        <v>2899</v>
      </c>
      <c r="DB60" s="1778" t="s">
        <v>2899</v>
      </c>
      <c r="DC60" s="1779" t="s">
        <v>2901</v>
      </c>
      <c r="DD60" s="1779" t="s">
        <v>2901</v>
      </c>
      <c r="DE60" s="1779" t="s">
        <v>2901</v>
      </c>
    </row>
    <row r="61" spans="1:109" ht="17.45" customHeight="1">
      <c r="A61" s="1733" t="s">
        <v>2902</v>
      </c>
      <c r="B61" s="1749" t="s">
        <v>2903</v>
      </c>
      <c r="C61" s="1750" t="s">
        <v>2904</v>
      </c>
      <c r="D61" s="1750" t="s">
        <v>2905</v>
      </c>
      <c r="E61" s="1750" t="s">
        <v>2490</v>
      </c>
      <c r="F61" s="1749" t="s">
        <v>2490</v>
      </c>
      <c r="G61" s="1750" t="s">
        <v>2906</v>
      </c>
      <c r="H61" s="1750" t="s">
        <v>2907</v>
      </c>
      <c r="I61" s="1750" t="s">
        <v>2907</v>
      </c>
      <c r="J61" s="1750" t="s">
        <v>2907</v>
      </c>
      <c r="K61" s="1750" t="s">
        <v>2907</v>
      </c>
      <c r="L61" s="1750" t="s">
        <v>2907</v>
      </c>
      <c r="M61" s="1750" t="s">
        <v>2907</v>
      </c>
      <c r="N61" s="1749" t="s">
        <v>1988</v>
      </c>
      <c r="O61" s="1750" t="s">
        <v>2908</v>
      </c>
      <c r="P61" s="1750" t="s">
        <v>2909</v>
      </c>
      <c r="Q61" s="1749" t="s">
        <v>2910</v>
      </c>
      <c r="R61" s="1750" t="s">
        <v>2910</v>
      </c>
      <c r="S61" s="1750" t="s">
        <v>2911</v>
      </c>
      <c r="T61" s="1751" t="s">
        <v>2912</v>
      </c>
      <c r="U61" s="1751" t="s">
        <v>2913</v>
      </c>
      <c r="V61" s="1751" t="s">
        <v>2914</v>
      </c>
      <c r="W61" s="1751" t="s">
        <v>2232</v>
      </c>
      <c r="X61" s="1751" t="s">
        <v>1574</v>
      </c>
      <c r="Y61" s="1751" t="s">
        <v>2915</v>
      </c>
      <c r="Z61" s="1751" t="s">
        <v>1573</v>
      </c>
      <c r="AA61" s="1751" t="s">
        <v>1574</v>
      </c>
      <c r="AB61" s="1751" t="s">
        <v>1573</v>
      </c>
      <c r="AC61" s="1751" t="s">
        <v>2232</v>
      </c>
      <c r="AD61" s="1751" t="s">
        <v>2256</v>
      </c>
      <c r="AE61" s="1751" t="s">
        <v>2256</v>
      </c>
      <c r="AF61" s="1751" t="s">
        <v>2256</v>
      </c>
      <c r="AG61" s="1751" t="s">
        <v>2916</v>
      </c>
      <c r="AH61" s="1751" t="s">
        <v>2917</v>
      </c>
      <c r="AI61" s="1751" t="s">
        <v>2918</v>
      </c>
      <c r="AJ61" s="1751" t="s">
        <v>2256</v>
      </c>
      <c r="AK61" s="1751" t="s">
        <v>2256</v>
      </c>
      <c r="AL61" s="1751" t="s">
        <v>2919</v>
      </c>
      <c r="AM61" s="1751" t="s">
        <v>2919</v>
      </c>
      <c r="AN61" s="1751" t="s">
        <v>2919</v>
      </c>
      <c r="AO61" s="1751" t="s">
        <v>2919</v>
      </c>
      <c r="AP61" s="1751" t="s">
        <v>2256</v>
      </c>
      <c r="AQ61" s="1751" t="s">
        <v>2920</v>
      </c>
      <c r="AR61" s="1751" t="s">
        <v>2920</v>
      </c>
      <c r="AS61" s="1751" t="s">
        <v>2920</v>
      </c>
      <c r="AT61" s="1751" t="s">
        <v>2920</v>
      </c>
      <c r="AU61" s="1751" t="s">
        <v>2921</v>
      </c>
      <c r="AV61" s="1751" t="s">
        <v>2921</v>
      </c>
      <c r="AW61" s="1751" t="s">
        <v>2921</v>
      </c>
      <c r="AX61" s="1751" t="s">
        <v>2922</v>
      </c>
      <c r="AY61" s="1751" t="s">
        <v>2923</v>
      </c>
      <c r="AZ61" s="1751" t="s">
        <v>2923</v>
      </c>
      <c r="BA61" s="1751" t="s">
        <v>1102</v>
      </c>
      <c r="BB61" s="1751" t="s">
        <v>1102</v>
      </c>
      <c r="BC61" s="1751" t="s">
        <v>1102</v>
      </c>
      <c r="BD61" s="1751" t="s">
        <v>2923</v>
      </c>
      <c r="BE61" s="1751" t="s">
        <v>2923</v>
      </c>
      <c r="BF61" s="1751" t="s">
        <v>2923</v>
      </c>
      <c r="BG61" s="1751" t="s">
        <v>1102</v>
      </c>
      <c r="BH61" s="1751" t="s">
        <v>2923</v>
      </c>
      <c r="BI61" s="1751" t="s">
        <v>2923</v>
      </c>
      <c r="BJ61" s="1751" t="s">
        <v>2923</v>
      </c>
      <c r="BK61" s="1751" t="s">
        <v>2923</v>
      </c>
      <c r="BL61" s="1751" t="s">
        <v>2923</v>
      </c>
      <c r="BM61" s="1751" t="s">
        <v>2837</v>
      </c>
      <c r="BN61" s="1751" t="s">
        <v>2924</v>
      </c>
      <c r="BO61" s="1751" t="s">
        <v>2925</v>
      </c>
      <c r="BP61" s="1751" t="s">
        <v>2925</v>
      </c>
      <c r="BQ61" s="1751" t="s">
        <v>2925</v>
      </c>
      <c r="BR61" s="1751" t="s">
        <v>2925</v>
      </c>
      <c r="BS61" s="1751" t="s">
        <v>2926</v>
      </c>
      <c r="BT61" s="1751" t="s">
        <v>2926</v>
      </c>
      <c r="BU61" s="1751" t="s">
        <v>2927</v>
      </c>
      <c r="BV61" s="1751" t="s">
        <v>2927</v>
      </c>
      <c r="BW61" s="1751" t="s">
        <v>2927</v>
      </c>
      <c r="BX61" s="1751" t="s">
        <v>2927</v>
      </c>
      <c r="BY61" s="1751" t="s">
        <v>2927</v>
      </c>
      <c r="BZ61" s="1752" t="s">
        <v>2927</v>
      </c>
      <c r="CA61" s="1751" t="s">
        <v>2799</v>
      </c>
      <c r="CB61" s="1751" t="s">
        <v>2928</v>
      </c>
      <c r="CC61" s="1751" t="s">
        <v>2797</v>
      </c>
      <c r="CD61" s="1751" t="s">
        <v>2929</v>
      </c>
      <c r="CE61" s="1751" t="s">
        <v>2930</v>
      </c>
      <c r="CF61" s="1751" t="s">
        <v>2930</v>
      </c>
      <c r="CG61" s="1751" t="s">
        <v>2930</v>
      </c>
      <c r="CH61" s="1751" t="s">
        <v>2930</v>
      </c>
      <c r="CI61" s="1751" t="s">
        <v>2931</v>
      </c>
      <c r="CJ61" s="1751" t="s">
        <v>2931</v>
      </c>
      <c r="CK61" s="1751" t="s">
        <v>2932</v>
      </c>
      <c r="CL61" s="1751" t="s">
        <v>2932</v>
      </c>
      <c r="CM61" s="1751" t="s">
        <v>2932</v>
      </c>
      <c r="CN61" s="1751" t="s">
        <v>2932</v>
      </c>
      <c r="CO61" s="1751" t="s">
        <v>2932</v>
      </c>
      <c r="CP61" s="1751" t="s">
        <v>2932</v>
      </c>
      <c r="CQ61" s="1755" t="s">
        <v>2933</v>
      </c>
      <c r="CR61" s="1778" t="s">
        <v>2932</v>
      </c>
      <c r="CS61" s="1778" t="s">
        <v>2932</v>
      </c>
      <c r="CT61" s="1778" t="s">
        <v>2934</v>
      </c>
      <c r="CU61" s="1778" t="s">
        <v>2934</v>
      </c>
      <c r="CV61" s="1778" t="s">
        <v>2935</v>
      </c>
      <c r="CW61" s="1778" t="s">
        <v>2936</v>
      </c>
      <c r="CX61" s="1778" t="s">
        <v>2936</v>
      </c>
      <c r="CY61" s="1778" t="s">
        <v>2936</v>
      </c>
      <c r="CZ61" s="1778" t="s">
        <v>2937</v>
      </c>
      <c r="DA61" s="1778" t="s">
        <v>2937</v>
      </c>
      <c r="DB61" s="1778" t="s">
        <v>2937</v>
      </c>
      <c r="DC61" s="1779" t="s">
        <v>2937</v>
      </c>
      <c r="DD61" s="1779" t="s">
        <v>2937</v>
      </c>
      <c r="DE61" s="1779" t="s">
        <v>2937</v>
      </c>
    </row>
    <row r="62" spans="1:109" ht="17.100000000000001" customHeight="1" thickBot="1">
      <c r="A62" s="1799"/>
      <c r="B62" s="1800"/>
      <c r="C62" s="1801"/>
      <c r="D62" s="1801"/>
      <c r="E62" s="1801"/>
      <c r="F62" s="1800"/>
      <c r="G62" s="1801"/>
      <c r="H62" s="1801"/>
      <c r="I62" s="1801"/>
      <c r="J62" s="1801"/>
      <c r="K62" s="1801"/>
      <c r="L62" s="1802"/>
      <c r="M62" s="1802"/>
      <c r="N62" s="1803"/>
      <c r="O62" s="1802"/>
      <c r="P62" s="1802"/>
      <c r="Q62" s="1803"/>
      <c r="R62" s="1802"/>
      <c r="S62" s="1802"/>
      <c r="T62" s="1804"/>
      <c r="U62" s="1804"/>
      <c r="V62" s="1804"/>
      <c r="W62" s="1804"/>
      <c r="X62" s="1804"/>
      <c r="Y62" s="1804"/>
      <c r="Z62" s="1804"/>
      <c r="AA62" s="1804"/>
      <c r="AB62" s="1804"/>
      <c r="AC62" s="1804"/>
      <c r="AD62" s="1804"/>
      <c r="AE62" s="1805"/>
      <c r="AF62" s="1805"/>
      <c r="AG62" s="1805"/>
      <c r="AH62" s="1805"/>
      <c r="AI62" s="1805"/>
      <c r="AJ62" s="1805"/>
      <c r="AK62" s="1805"/>
      <c r="AL62" s="1805"/>
      <c r="AM62" s="1805"/>
      <c r="AN62" s="1805"/>
      <c r="AO62" s="1805"/>
      <c r="AP62" s="1805"/>
      <c r="AQ62" s="1805"/>
      <c r="AR62" s="1805"/>
      <c r="AS62" s="1805"/>
      <c r="AT62" s="1805"/>
      <c r="AU62" s="1805"/>
      <c r="AV62" s="1805"/>
      <c r="AW62" s="1805"/>
      <c r="AX62" s="1805"/>
      <c r="AY62" s="1805"/>
      <c r="AZ62" s="1805"/>
      <c r="BA62" s="1805"/>
      <c r="BB62" s="1805"/>
      <c r="BC62" s="1805"/>
      <c r="BD62" s="1805"/>
      <c r="BE62" s="1805"/>
      <c r="BF62" s="1805"/>
      <c r="BG62" s="1805"/>
      <c r="BH62" s="1806"/>
      <c r="BI62" s="1806"/>
      <c r="BJ62" s="1806"/>
      <c r="BK62" s="1806"/>
      <c r="BL62" s="1806"/>
      <c r="BM62" s="1806"/>
      <c r="BN62" s="1806"/>
      <c r="BO62" s="1806"/>
      <c r="BP62" s="1806"/>
      <c r="BQ62" s="1806"/>
      <c r="BR62" s="1806"/>
      <c r="BS62" s="1806"/>
      <c r="BT62" s="1806"/>
      <c r="BU62" s="1806"/>
      <c r="BV62" s="1806"/>
      <c r="BW62" s="1806"/>
      <c r="BX62" s="1806"/>
      <c r="BY62" s="1806"/>
      <c r="BZ62" s="1806"/>
      <c r="CA62" s="1806"/>
      <c r="CB62" s="1806"/>
      <c r="CC62" s="1805"/>
      <c r="CD62" s="1805"/>
      <c r="CE62" s="1805"/>
      <c r="CF62" s="1805"/>
      <c r="CG62" s="1805"/>
      <c r="CH62" s="1807"/>
      <c r="CI62" s="1808"/>
      <c r="CJ62" s="1805"/>
      <c r="CK62" s="1805"/>
      <c r="CL62" s="1806"/>
      <c r="CM62" s="1806"/>
      <c r="CN62" s="1806"/>
      <c r="CO62" s="1806"/>
      <c r="CP62" s="1806"/>
      <c r="CQ62" s="1806"/>
      <c r="CR62" s="1806"/>
      <c r="CS62" s="1806"/>
      <c r="CT62" s="1806"/>
      <c r="CU62" s="1806"/>
      <c r="CV62" s="1806"/>
      <c r="CW62" s="1806"/>
      <c r="CX62" s="1806"/>
      <c r="CY62" s="1806"/>
      <c r="CZ62" s="1806"/>
      <c r="DA62" s="1806"/>
      <c r="DB62" s="1806"/>
      <c r="DC62" s="1809"/>
      <c r="DD62" s="1809"/>
      <c r="DE62" s="1809"/>
    </row>
    <row r="63" spans="1:109" ht="15.75" hidden="1" thickTop="1">
      <c r="A63" s="1810" t="s">
        <v>2938</v>
      </c>
    </row>
    <row r="64" spans="1:109" ht="18.75" thickTop="1">
      <c r="A64" s="1811" t="s">
        <v>2939</v>
      </c>
    </row>
    <row r="65" spans="1:1">
      <c r="A65" s="1812" t="s">
        <v>180</v>
      </c>
    </row>
  </sheetData>
  <printOptions horizontalCentered="1" verticalCentered="1"/>
  <pageMargins left="0" right="0" top="0.51181102362204722" bottom="0" header="0" footer="0"/>
  <pageSetup paperSize="9" scale="51"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8"/>
  <sheetViews>
    <sheetView zoomScaleNormal="100" workbookViewId="0">
      <selection activeCell="J113" sqref="J113"/>
    </sheetView>
  </sheetViews>
  <sheetFormatPr defaultRowHeight="12.75"/>
  <cols>
    <col min="1" max="1" width="11.28515625" style="1817" customWidth="1"/>
    <col min="2" max="2" width="12.7109375" style="1817" customWidth="1"/>
    <col min="3" max="3" width="9.28515625" style="1817" hidden="1" customWidth="1"/>
    <col min="4" max="4" width="10.28515625" style="1817" customWidth="1"/>
    <col min="5" max="5" width="12.85546875" style="1817" customWidth="1"/>
    <col min="6" max="6" width="11.5703125" style="1817" hidden="1" customWidth="1"/>
    <col min="7" max="7" width="13" style="1817" customWidth="1"/>
    <col min="8" max="8" width="12.140625" style="1817" customWidth="1"/>
    <col min="9" max="9" width="13.42578125" style="1817" customWidth="1"/>
    <col min="10" max="10" width="14.140625" style="1817" customWidth="1"/>
    <col min="11" max="11" width="11.7109375" style="1817" customWidth="1"/>
    <col min="12" max="256" width="9.140625" style="1817"/>
    <col min="257" max="257" width="11.28515625" style="1817" customWidth="1"/>
    <col min="258" max="258" width="12.7109375" style="1817" customWidth="1"/>
    <col min="259" max="259" width="0" style="1817" hidden="1" customWidth="1"/>
    <col min="260" max="260" width="10.28515625" style="1817" customWidth="1"/>
    <col min="261" max="261" width="12.85546875" style="1817" customWidth="1"/>
    <col min="262" max="262" width="0" style="1817" hidden="1" customWidth="1"/>
    <col min="263" max="263" width="13" style="1817" customWidth="1"/>
    <col min="264" max="264" width="12.140625" style="1817" customWidth="1"/>
    <col min="265" max="265" width="13.42578125" style="1817" customWidth="1"/>
    <col min="266" max="266" width="15.7109375" style="1817" customWidth="1"/>
    <col min="267" max="267" width="11.7109375" style="1817" customWidth="1"/>
    <col min="268" max="512" width="9.140625" style="1817"/>
    <col min="513" max="513" width="11.28515625" style="1817" customWidth="1"/>
    <col min="514" max="514" width="12.7109375" style="1817" customWidth="1"/>
    <col min="515" max="515" width="0" style="1817" hidden="1" customWidth="1"/>
    <col min="516" max="516" width="10.28515625" style="1817" customWidth="1"/>
    <col min="517" max="517" width="12.85546875" style="1817" customWidth="1"/>
    <col min="518" max="518" width="0" style="1817" hidden="1" customWidth="1"/>
    <col min="519" max="519" width="13" style="1817" customWidth="1"/>
    <col min="520" max="520" width="12.140625" style="1817" customWidth="1"/>
    <col min="521" max="521" width="13.42578125" style="1817" customWidth="1"/>
    <col min="522" max="522" width="15.7109375" style="1817" customWidth="1"/>
    <col min="523" max="523" width="11.7109375" style="1817" customWidth="1"/>
    <col min="524" max="768" width="9.140625" style="1817"/>
    <col min="769" max="769" width="11.28515625" style="1817" customWidth="1"/>
    <col min="770" max="770" width="12.7109375" style="1817" customWidth="1"/>
    <col min="771" max="771" width="0" style="1817" hidden="1" customWidth="1"/>
    <col min="772" max="772" width="10.28515625" style="1817" customWidth="1"/>
    <col min="773" max="773" width="12.85546875" style="1817" customWidth="1"/>
    <col min="774" max="774" width="0" style="1817" hidden="1" customWidth="1"/>
    <col min="775" max="775" width="13" style="1817" customWidth="1"/>
    <col min="776" max="776" width="12.140625" style="1817" customWidth="1"/>
    <col min="777" max="777" width="13.42578125" style="1817" customWidth="1"/>
    <col min="778" max="778" width="15.7109375" style="1817" customWidth="1"/>
    <col min="779" max="779" width="11.7109375" style="1817" customWidth="1"/>
    <col min="780" max="1024" width="9.140625" style="1817"/>
    <col min="1025" max="1025" width="11.28515625" style="1817" customWidth="1"/>
    <col min="1026" max="1026" width="12.7109375" style="1817" customWidth="1"/>
    <col min="1027" max="1027" width="0" style="1817" hidden="1" customWidth="1"/>
    <col min="1028" max="1028" width="10.28515625" style="1817" customWidth="1"/>
    <col min="1029" max="1029" width="12.85546875" style="1817" customWidth="1"/>
    <col min="1030" max="1030" width="0" style="1817" hidden="1" customWidth="1"/>
    <col min="1031" max="1031" width="13" style="1817" customWidth="1"/>
    <col min="1032" max="1032" width="12.140625" style="1817" customWidth="1"/>
    <col min="1033" max="1033" width="13.42578125" style="1817" customWidth="1"/>
    <col min="1034" max="1034" width="15.7109375" style="1817" customWidth="1"/>
    <col min="1035" max="1035" width="11.7109375" style="1817" customWidth="1"/>
    <col min="1036" max="1280" width="9.140625" style="1817"/>
    <col min="1281" max="1281" width="11.28515625" style="1817" customWidth="1"/>
    <col min="1282" max="1282" width="12.7109375" style="1817" customWidth="1"/>
    <col min="1283" max="1283" width="0" style="1817" hidden="1" customWidth="1"/>
    <col min="1284" max="1284" width="10.28515625" style="1817" customWidth="1"/>
    <col min="1285" max="1285" width="12.85546875" style="1817" customWidth="1"/>
    <col min="1286" max="1286" width="0" style="1817" hidden="1" customWidth="1"/>
    <col min="1287" max="1287" width="13" style="1817" customWidth="1"/>
    <col min="1288" max="1288" width="12.140625" style="1817" customWidth="1"/>
    <col min="1289" max="1289" width="13.42578125" style="1817" customWidth="1"/>
    <col min="1290" max="1290" width="15.7109375" style="1817" customWidth="1"/>
    <col min="1291" max="1291" width="11.7109375" style="1817" customWidth="1"/>
    <col min="1292" max="1536" width="9.140625" style="1817"/>
    <col min="1537" max="1537" width="11.28515625" style="1817" customWidth="1"/>
    <col min="1538" max="1538" width="12.7109375" style="1817" customWidth="1"/>
    <col min="1539" max="1539" width="0" style="1817" hidden="1" customWidth="1"/>
    <col min="1540" max="1540" width="10.28515625" style="1817" customWidth="1"/>
    <col min="1541" max="1541" width="12.85546875" style="1817" customWidth="1"/>
    <col min="1542" max="1542" width="0" style="1817" hidden="1" customWidth="1"/>
    <col min="1543" max="1543" width="13" style="1817" customWidth="1"/>
    <col min="1544" max="1544" width="12.140625" style="1817" customWidth="1"/>
    <col min="1545" max="1545" width="13.42578125" style="1817" customWidth="1"/>
    <col min="1546" max="1546" width="15.7109375" style="1817" customWidth="1"/>
    <col min="1547" max="1547" width="11.7109375" style="1817" customWidth="1"/>
    <col min="1548" max="1792" width="9.140625" style="1817"/>
    <col min="1793" max="1793" width="11.28515625" style="1817" customWidth="1"/>
    <col min="1794" max="1794" width="12.7109375" style="1817" customWidth="1"/>
    <col min="1795" max="1795" width="0" style="1817" hidden="1" customWidth="1"/>
    <col min="1796" max="1796" width="10.28515625" style="1817" customWidth="1"/>
    <col min="1797" max="1797" width="12.85546875" style="1817" customWidth="1"/>
    <col min="1798" max="1798" width="0" style="1817" hidden="1" customWidth="1"/>
    <col min="1799" max="1799" width="13" style="1817" customWidth="1"/>
    <col min="1800" max="1800" width="12.140625" style="1817" customWidth="1"/>
    <col min="1801" max="1801" width="13.42578125" style="1817" customWidth="1"/>
    <col min="1802" max="1802" width="15.7109375" style="1817" customWidth="1"/>
    <col min="1803" max="1803" width="11.7109375" style="1817" customWidth="1"/>
    <col min="1804" max="2048" width="9.140625" style="1817"/>
    <col min="2049" max="2049" width="11.28515625" style="1817" customWidth="1"/>
    <col min="2050" max="2050" width="12.7109375" style="1817" customWidth="1"/>
    <col min="2051" max="2051" width="0" style="1817" hidden="1" customWidth="1"/>
    <col min="2052" max="2052" width="10.28515625" style="1817" customWidth="1"/>
    <col min="2053" max="2053" width="12.85546875" style="1817" customWidth="1"/>
    <col min="2054" max="2054" width="0" style="1817" hidden="1" customWidth="1"/>
    <col min="2055" max="2055" width="13" style="1817" customWidth="1"/>
    <col min="2056" max="2056" width="12.140625" style="1817" customWidth="1"/>
    <col min="2057" max="2057" width="13.42578125" style="1817" customWidth="1"/>
    <col min="2058" max="2058" width="15.7109375" style="1817" customWidth="1"/>
    <col min="2059" max="2059" width="11.7109375" style="1817" customWidth="1"/>
    <col min="2060" max="2304" width="9.140625" style="1817"/>
    <col min="2305" max="2305" width="11.28515625" style="1817" customWidth="1"/>
    <col min="2306" max="2306" width="12.7109375" style="1817" customWidth="1"/>
    <col min="2307" max="2307" width="0" style="1817" hidden="1" customWidth="1"/>
    <col min="2308" max="2308" width="10.28515625" style="1817" customWidth="1"/>
    <col min="2309" max="2309" width="12.85546875" style="1817" customWidth="1"/>
    <col min="2310" max="2310" width="0" style="1817" hidden="1" customWidth="1"/>
    <col min="2311" max="2311" width="13" style="1817" customWidth="1"/>
    <col min="2312" max="2312" width="12.140625" style="1817" customWidth="1"/>
    <col min="2313" max="2313" width="13.42578125" style="1817" customWidth="1"/>
    <col min="2314" max="2314" width="15.7109375" style="1817" customWidth="1"/>
    <col min="2315" max="2315" width="11.7109375" style="1817" customWidth="1"/>
    <col min="2316" max="2560" width="9.140625" style="1817"/>
    <col min="2561" max="2561" width="11.28515625" style="1817" customWidth="1"/>
    <col min="2562" max="2562" width="12.7109375" style="1817" customWidth="1"/>
    <col min="2563" max="2563" width="0" style="1817" hidden="1" customWidth="1"/>
    <col min="2564" max="2564" width="10.28515625" style="1817" customWidth="1"/>
    <col min="2565" max="2565" width="12.85546875" style="1817" customWidth="1"/>
    <col min="2566" max="2566" width="0" style="1817" hidden="1" customWidth="1"/>
    <col min="2567" max="2567" width="13" style="1817" customWidth="1"/>
    <col min="2568" max="2568" width="12.140625" style="1817" customWidth="1"/>
    <col min="2569" max="2569" width="13.42578125" style="1817" customWidth="1"/>
    <col min="2570" max="2570" width="15.7109375" style="1817" customWidth="1"/>
    <col min="2571" max="2571" width="11.7109375" style="1817" customWidth="1"/>
    <col min="2572" max="2816" width="9.140625" style="1817"/>
    <col min="2817" max="2817" width="11.28515625" style="1817" customWidth="1"/>
    <col min="2818" max="2818" width="12.7109375" style="1817" customWidth="1"/>
    <col min="2819" max="2819" width="0" style="1817" hidden="1" customWidth="1"/>
    <col min="2820" max="2820" width="10.28515625" style="1817" customWidth="1"/>
    <col min="2821" max="2821" width="12.85546875" style="1817" customWidth="1"/>
    <col min="2822" max="2822" width="0" style="1817" hidden="1" customWidth="1"/>
    <col min="2823" max="2823" width="13" style="1817" customWidth="1"/>
    <col min="2824" max="2824" width="12.140625" style="1817" customWidth="1"/>
    <col min="2825" max="2825" width="13.42578125" style="1817" customWidth="1"/>
    <col min="2826" max="2826" width="15.7109375" style="1817" customWidth="1"/>
    <col min="2827" max="2827" width="11.7109375" style="1817" customWidth="1"/>
    <col min="2828" max="3072" width="9.140625" style="1817"/>
    <col min="3073" max="3073" width="11.28515625" style="1817" customWidth="1"/>
    <col min="3074" max="3074" width="12.7109375" style="1817" customWidth="1"/>
    <col min="3075" max="3075" width="0" style="1817" hidden="1" customWidth="1"/>
    <col min="3076" max="3076" width="10.28515625" style="1817" customWidth="1"/>
    <col min="3077" max="3077" width="12.85546875" style="1817" customWidth="1"/>
    <col min="3078" max="3078" width="0" style="1817" hidden="1" customWidth="1"/>
    <col min="3079" max="3079" width="13" style="1817" customWidth="1"/>
    <col min="3080" max="3080" width="12.140625" style="1817" customWidth="1"/>
    <col min="3081" max="3081" width="13.42578125" style="1817" customWidth="1"/>
    <col min="3082" max="3082" width="15.7109375" style="1817" customWidth="1"/>
    <col min="3083" max="3083" width="11.7109375" style="1817" customWidth="1"/>
    <col min="3084" max="3328" width="9.140625" style="1817"/>
    <col min="3329" max="3329" width="11.28515625" style="1817" customWidth="1"/>
    <col min="3330" max="3330" width="12.7109375" style="1817" customWidth="1"/>
    <col min="3331" max="3331" width="0" style="1817" hidden="1" customWidth="1"/>
    <col min="3332" max="3332" width="10.28515625" style="1817" customWidth="1"/>
    <col min="3333" max="3333" width="12.85546875" style="1817" customWidth="1"/>
    <col min="3334" max="3334" width="0" style="1817" hidden="1" customWidth="1"/>
    <col min="3335" max="3335" width="13" style="1817" customWidth="1"/>
    <col min="3336" max="3336" width="12.140625" style="1817" customWidth="1"/>
    <col min="3337" max="3337" width="13.42578125" style="1817" customWidth="1"/>
    <col min="3338" max="3338" width="15.7109375" style="1817" customWidth="1"/>
    <col min="3339" max="3339" width="11.7109375" style="1817" customWidth="1"/>
    <col min="3340" max="3584" width="9.140625" style="1817"/>
    <col min="3585" max="3585" width="11.28515625" style="1817" customWidth="1"/>
    <col min="3586" max="3586" width="12.7109375" style="1817" customWidth="1"/>
    <col min="3587" max="3587" width="0" style="1817" hidden="1" customWidth="1"/>
    <col min="3588" max="3588" width="10.28515625" style="1817" customWidth="1"/>
    <col min="3589" max="3589" width="12.85546875" style="1817" customWidth="1"/>
    <col min="3590" max="3590" width="0" style="1817" hidden="1" customWidth="1"/>
    <col min="3591" max="3591" width="13" style="1817" customWidth="1"/>
    <col min="3592" max="3592" width="12.140625" style="1817" customWidth="1"/>
    <col min="3593" max="3593" width="13.42578125" style="1817" customWidth="1"/>
    <col min="3594" max="3594" width="15.7109375" style="1817" customWidth="1"/>
    <col min="3595" max="3595" width="11.7109375" style="1817" customWidth="1"/>
    <col min="3596" max="3840" width="9.140625" style="1817"/>
    <col min="3841" max="3841" width="11.28515625" style="1817" customWidth="1"/>
    <col min="3842" max="3842" width="12.7109375" style="1817" customWidth="1"/>
    <col min="3843" max="3843" width="0" style="1817" hidden="1" customWidth="1"/>
    <col min="3844" max="3844" width="10.28515625" style="1817" customWidth="1"/>
    <col min="3845" max="3845" width="12.85546875" style="1817" customWidth="1"/>
    <col min="3846" max="3846" width="0" style="1817" hidden="1" customWidth="1"/>
    <col min="3847" max="3847" width="13" style="1817" customWidth="1"/>
    <col min="3848" max="3848" width="12.140625" style="1817" customWidth="1"/>
    <col min="3849" max="3849" width="13.42578125" style="1817" customWidth="1"/>
    <col min="3850" max="3850" width="15.7109375" style="1817" customWidth="1"/>
    <col min="3851" max="3851" width="11.7109375" style="1817" customWidth="1"/>
    <col min="3852" max="4096" width="9.140625" style="1817"/>
    <col min="4097" max="4097" width="11.28515625" style="1817" customWidth="1"/>
    <col min="4098" max="4098" width="12.7109375" style="1817" customWidth="1"/>
    <col min="4099" max="4099" width="0" style="1817" hidden="1" customWidth="1"/>
    <col min="4100" max="4100" width="10.28515625" style="1817" customWidth="1"/>
    <col min="4101" max="4101" width="12.85546875" style="1817" customWidth="1"/>
    <col min="4102" max="4102" width="0" style="1817" hidden="1" customWidth="1"/>
    <col min="4103" max="4103" width="13" style="1817" customWidth="1"/>
    <col min="4104" max="4104" width="12.140625" style="1817" customWidth="1"/>
    <col min="4105" max="4105" width="13.42578125" style="1817" customWidth="1"/>
    <col min="4106" max="4106" width="15.7109375" style="1817" customWidth="1"/>
    <col min="4107" max="4107" width="11.7109375" style="1817" customWidth="1"/>
    <col min="4108" max="4352" width="9.140625" style="1817"/>
    <col min="4353" max="4353" width="11.28515625" style="1817" customWidth="1"/>
    <col min="4354" max="4354" width="12.7109375" style="1817" customWidth="1"/>
    <col min="4355" max="4355" width="0" style="1817" hidden="1" customWidth="1"/>
    <col min="4356" max="4356" width="10.28515625" style="1817" customWidth="1"/>
    <col min="4357" max="4357" width="12.85546875" style="1817" customWidth="1"/>
    <col min="4358" max="4358" width="0" style="1817" hidden="1" customWidth="1"/>
    <col min="4359" max="4359" width="13" style="1817" customWidth="1"/>
    <col min="4360" max="4360" width="12.140625" style="1817" customWidth="1"/>
    <col min="4361" max="4361" width="13.42578125" style="1817" customWidth="1"/>
    <col min="4362" max="4362" width="15.7109375" style="1817" customWidth="1"/>
    <col min="4363" max="4363" width="11.7109375" style="1817" customWidth="1"/>
    <col min="4364" max="4608" width="9.140625" style="1817"/>
    <col min="4609" max="4609" width="11.28515625" style="1817" customWidth="1"/>
    <col min="4610" max="4610" width="12.7109375" style="1817" customWidth="1"/>
    <col min="4611" max="4611" width="0" style="1817" hidden="1" customWidth="1"/>
    <col min="4612" max="4612" width="10.28515625" style="1817" customWidth="1"/>
    <col min="4613" max="4613" width="12.85546875" style="1817" customWidth="1"/>
    <col min="4614" max="4614" width="0" style="1817" hidden="1" customWidth="1"/>
    <col min="4615" max="4615" width="13" style="1817" customWidth="1"/>
    <col min="4616" max="4616" width="12.140625" style="1817" customWidth="1"/>
    <col min="4617" max="4617" width="13.42578125" style="1817" customWidth="1"/>
    <col min="4618" max="4618" width="15.7109375" style="1817" customWidth="1"/>
    <col min="4619" max="4619" width="11.7109375" style="1817" customWidth="1"/>
    <col min="4620" max="4864" width="9.140625" style="1817"/>
    <col min="4865" max="4865" width="11.28515625" style="1817" customWidth="1"/>
    <col min="4866" max="4866" width="12.7109375" style="1817" customWidth="1"/>
    <col min="4867" max="4867" width="0" style="1817" hidden="1" customWidth="1"/>
    <col min="4868" max="4868" width="10.28515625" style="1817" customWidth="1"/>
    <col min="4869" max="4869" width="12.85546875" style="1817" customWidth="1"/>
    <col min="4870" max="4870" width="0" style="1817" hidden="1" customWidth="1"/>
    <col min="4871" max="4871" width="13" style="1817" customWidth="1"/>
    <col min="4872" max="4872" width="12.140625" style="1817" customWidth="1"/>
    <col min="4873" max="4873" width="13.42578125" style="1817" customWidth="1"/>
    <col min="4874" max="4874" width="15.7109375" style="1817" customWidth="1"/>
    <col min="4875" max="4875" width="11.7109375" style="1817" customWidth="1"/>
    <col min="4876" max="5120" width="9.140625" style="1817"/>
    <col min="5121" max="5121" width="11.28515625" style="1817" customWidth="1"/>
    <col min="5122" max="5122" width="12.7109375" style="1817" customWidth="1"/>
    <col min="5123" max="5123" width="0" style="1817" hidden="1" customWidth="1"/>
    <col min="5124" max="5124" width="10.28515625" style="1817" customWidth="1"/>
    <col min="5125" max="5125" width="12.85546875" style="1817" customWidth="1"/>
    <col min="5126" max="5126" width="0" style="1817" hidden="1" customWidth="1"/>
    <col min="5127" max="5127" width="13" style="1817" customWidth="1"/>
    <col min="5128" max="5128" width="12.140625" style="1817" customWidth="1"/>
    <col min="5129" max="5129" width="13.42578125" style="1817" customWidth="1"/>
    <col min="5130" max="5130" width="15.7109375" style="1817" customWidth="1"/>
    <col min="5131" max="5131" width="11.7109375" style="1817" customWidth="1"/>
    <col min="5132" max="5376" width="9.140625" style="1817"/>
    <col min="5377" max="5377" width="11.28515625" style="1817" customWidth="1"/>
    <col min="5378" max="5378" width="12.7109375" style="1817" customWidth="1"/>
    <col min="5379" max="5379" width="0" style="1817" hidden="1" customWidth="1"/>
    <col min="5380" max="5380" width="10.28515625" style="1817" customWidth="1"/>
    <col min="5381" max="5381" width="12.85546875" style="1817" customWidth="1"/>
    <col min="5382" max="5382" width="0" style="1817" hidden="1" customWidth="1"/>
    <col min="5383" max="5383" width="13" style="1817" customWidth="1"/>
    <col min="5384" max="5384" width="12.140625" style="1817" customWidth="1"/>
    <col min="5385" max="5385" width="13.42578125" style="1817" customWidth="1"/>
    <col min="5386" max="5386" width="15.7109375" style="1817" customWidth="1"/>
    <col min="5387" max="5387" width="11.7109375" style="1817" customWidth="1"/>
    <col min="5388" max="5632" width="9.140625" style="1817"/>
    <col min="5633" max="5633" width="11.28515625" style="1817" customWidth="1"/>
    <col min="5634" max="5634" width="12.7109375" style="1817" customWidth="1"/>
    <col min="5635" max="5635" width="0" style="1817" hidden="1" customWidth="1"/>
    <col min="5636" max="5636" width="10.28515625" style="1817" customWidth="1"/>
    <col min="5637" max="5637" width="12.85546875" style="1817" customWidth="1"/>
    <col min="5638" max="5638" width="0" style="1817" hidden="1" customWidth="1"/>
    <col min="5639" max="5639" width="13" style="1817" customWidth="1"/>
    <col min="5640" max="5640" width="12.140625" style="1817" customWidth="1"/>
    <col min="5641" max="5641" width="13.42578125" style="1817" customWidth="1"/>
    <col min="5642" max="5642" width="15.7109375" style="1817" customWidth="1"/>
    <col min="5643" max="5643" width="11.7109375" style="1817" customWidth="1"/>
    <col min="5644" max="5888" width="9.140625" style="1817"/>
    <col min="5889" max="5889" width="11.28515625" style="1817" customWidth="1"/>
    <col min="5890" max="5890" width="12.7109375" style="1817" customWidth="1"/>
    <col min="5891" max="5891" width="0" style="1817" hidden="1" customWidth="1"/>
    <col min="5892" max="5892" width="10.28515625" style="1817" customWidth="1"/>
    <col min="5893" max="5893" width="12.85546875" style="1817" customWidth="1"/>
    <col min="5894" max="5894" width="0" style="1817" hidden="1" customWidth="1"/>
    <col min="5895" max="5895" width="13" style="1817" customWidth="1"/>
    <col min="5896" max="5896" width="12.140625" style="1817" customWidth="1"/>
    <col min="5897" max="5897" width="13.42578125" style="1817" customWidth="1"/>
    <col min="5898" max="5898" width="15.7109375" style="1817" customWidth="1"/>
    <col min="5899" max="5899" width="11.7109375" style="1817" customWidth="1"/>
    <col min="5900" max="6144" width="9.140625" style="1817"/>
    <col min="6145" max="6145" width="11.28515625" style="1817" customWidth="1"/>
    <col min="6146" max="6146" width="12.7109375" style="1817" customWidth="1"/>
    <col min="6147" max="6147" width="0" style="1817" hidden="1" customWidth="1"/>
    <col min="6148" max="6148" width="10.28515625" style="1817" customWidth="1"/>
    <col min="6149" max="6149" width="12.85546875" style="1817" customWidth="1"/>
    <col min="6150" max="6150" width="0" style="1817" hidden="1" customWidth="1"/>
    <col min="6151" max="6151" width="13" style="1817" customWidth="1"/>
    <col min="6152" max="6152" width="12.140625" style="1817" customWidth="1"/>
    <col min="6153" max="6153" width="13.42578125" style="1817" customWidth="1"/>
    <col min="6154" max="6154" width="15.7109375" style="1817" customWidth="1"/>
    <col min="6155" max="6155" width="11.7109375" style="1817" customWidth="1"/>
    <col min="6156" max="6400" width="9.140625" style="1817"/>
    <col min="6401" max="6401" width="11.28515625" style="1817" customWidth="1"/>
    <col min="6402" max="6402" width="12.7109375" style="1817" customWidth="1"/>
    <col min="6403" max="6403" width="0" style="1817" hidden="1" customWidth="1"/>
    <col min="6404" max="6404" width="10.28515625" style="1817" customWidth="1"/>
    <col min="6405" max="6405" width="12.85546875" style="1817" customWidth="1"/>
    <col min="6406" max="6406" width="0" style="1817" hidden="1" customWidth="1"/>
    <col min="6407" max="6407" width="13" style="1817" customWidth="1"/>
    <col min="6408" max="6408" width="12.140625" style="1817" customWidth="1"/>
    <col min="6409" max="6409" width="13.42578125" style="1817" customWidth="1"/>
    <col min="6410" max="6410" width="15.7109375" style="1817" customWidth="1"/>
    <col min="6411" max="6411" width="11.7109375" style="1817" customWidth="1"/>
    <col min="6412" max="6656" width="9.140625" style="1817"/>
    <col min="6657" max="6657" width="11.28515625" style="1817" customWidth="1"/>
    <col min="6658" max="6658" width="12.7109375" style="1817" customWidth="1"/>
    <col min="6659" max="6659" width="0" style="1817" hidden="1" customWidth="1"/>
    <col min="6660" max="6660" width="10.28515625" style="1817" customWidth="1"/>
    <col min="6661" max="6661" width="12.85546875" style="1817" customWidth="1"/>
    <col min="6662" max="6662" width="0" style="1817" hidden="1" customWidth="1"/>
    <col min="6663" max="6663" width="13" style="1817" customWidth="1"/>
    <col min="6664" max="6664" width="12.140625" style="1817" customWidth="1"/>
    <col min="6665" max="6665" width="13.42578125" style="1817" customWidth="1"/>
    <col min="6666" max="6666" width="15.7109375" style="1817" customWidth="1"/>
    <col min="6667" max="6667" width="11.7109375" style="1817" customWidth="1"/>
    <col min="6668" max="6912" width="9.140625" style="1817"/>
    <col min="6913" max="6913" width="11.28515625" style="1817" customWidth="1"/>
    <col min="6914" max="6914" width="12.7109375" style="1817" customWidth="1"/>
    <col min="6915" max="6915" width="0" style="1817" hidden="1" customWidth="1"/>
    <col min="6916" max="6916" width="10.28515625" style="1817" customWidth="1"/>
    <col min="6917" max="6917" width="12.85546875" style="1817" customWidth="1"/>
    <col min="6918" max="6918" width="0" style="1817" hidden="1" customWidth="1"/>
    <col min="6919" max="6919" width="13" style="1817" customWidth="1"/>
    <col min="6920" max="6920" width="12.140625" style="1817" customWidth="1"/>
    <col min="6921" max="6921" width="13.42578125" style="1817" customWidth="1"/>
    <col min="6922" max="6922" width="15.7109375" style="1817" customWidth="1"/>
    <col min="6923" max="6923" width="11.7109375" style="1817" customWidth="1"/>
    <col min="6924" max="7168" width="9.140625" style="1817"/>
    <col min="7169" max="7169" width="11.28515625" style="1817" customWidth="1"/>
    <col min="7170" max="7170" width="12.7109375" style="1817" customWidth="1"/>
    <col min="7171" max="7171" width="0" style="1817" hidden="1" customWidth="1"/>
    <col min="7172" max="7172" width="10.28515625" style="1817" customWidth="1"/>
    <col min="7173" max="7173" width="12.85546875" style="1817" customWidth="1"/>
    <col min="7174" max="7174" width="0" style="1817" hidden="1" customWidth="1"/>
    <col min="7175" max="7175" width="13" style="1817" customWidth="1"/>
    <col min="7176" max="7176" width="12.140625" style="1817" customWidth="1"/>
    <col min="7177" max="7177" width="13.42578125" style="1817" customWidth="1"/>
    <col min="7178" max="7178" width="15.7109375" style="1817" customWidth="1"/>
    <col min="7179" max="7179" width="11.7109375" style="1817" customWidth="1"/>
    <col min="7180" max="7424" width="9.140625" style="1817"/>
    <col min="7425" max="7425" width="11.28515625" style="1817" customWidth="1"/>
    <col min="7426" max="7426" width="12.7109375" style="1817" customWidth="1"/>
    <col min="7427" max="7427" width="0" style="1817" hidden="1" customWidth="1"/>
    <col min="7428" max="7428" width="10.28515625" style="1817" customWidth="1"/>
    <col min="7429" max="7429" width="12.85546875" style="1817" customWidth="1"/>
    <col min="7430" max="7430" width="0" style="1817" hidden="1" customWidth="1"/>
    <col min="7431" max="7431" width="13" style="1817" customWidth="1"/>
    <col min="7432" max="7432" width="12.140625" style="1817" customWidth="1"/>
    <col min="7433" max="7433" width="13.42578125" style="1817" customWidth="1"/>
    <col min="7434" max="7434" width="15.7109375" style="1817" customWidth="1"/>
    <col min="7435" max="7435" width="11.7109375" style="1817" customWidth="1"/>
    <col min="7436" max="7680" width="9.140625" style="1817"/>
    <col min="7681" max="7681" width="11.28515625" style="1817" customWidth="1"/>
    <col min="7682" max="7682" width="12.7109375" style="1817" customWidth="1"/>
    <col min="7683" max="7683" width="0" style="1817" hidden="1" customWidth="1"/>
    <col min="7684" max="7684" width="10.28515625" style="1817" customWidth="1"/>
    <col min="7685" max="7685" width="12.85546875" style="1817" customWidth="1"/>
    <col min="7686" max="7686" width="0" style="1817" hidden="1" customWidth="1"/>
    <col min="7687" max="7687" width="13" style="1817" customWidth="1"/>
    <col min="7688" max="7688" width="12.140625" style="1817" customWidth="1"/>
    <col min="7689" max="7689" width="13.42578125" style="1817" customWidth="1"/>
    <col min="7690" max="7690" width="15.7109375" style="1817" customWidth="1"/>
    <col min="7691" max="7691" width="11.7109375" style="1817" customWidth="1"/>
    <col min="7692" max="7936" width="9.140625" style="1817"/>
    <col min="7937" max="7937" width="11.28515625" style="1817" customWidth="1"/>
    <col min="7938" max="7938" width="12.7109375" style="1817" customWidth="1"/>
    <col min="7939" max="7939" width="0" style="1817" hidden="1" customWidth="1"/>
    <col min="7940" max="7940" width="10.28515625" style="1817" customWidth="1"/>
    <col min="7941" max="7941" width="12.85546875" style="1817" customWidth="1"/>
    <col min="7942" max="7942" width="0" style="1817" hidden="1" customWidth="1"/>
    <col min="7943" max="7943" width="13" style="1817" customWidth="1"/>
    <col min="7944" max="7944" width="12.140625" style="1817" customWidth="1"/>
    <col min="7945" max="7945" width="13.42578125" style="1817" customWidth="1"/>
    <col min="7946" max="7946" width="15.7109375" style="1817" customWidth="1"/>
    <col min="7947" max="7947" width="11.7109375" style="1817" customWidth="1"/>
    <col min="7948" max="8192" width="9.140625" style="1817"/>
    <col min="8193" max="8193" width="11.28515625" style="1817" customWidth="1"/>
    <col min="8194" max="8194" width="12.7109375" style="1817" customWidth="1"/>
    <col min="8195" max="8195" width="0" style="1817" hidden="1" customWidth="1"/>
    <col min="8196" max="8196" width="10.28515625" style="1817" customWidth="1"/>
    <col min="8197" max="8197" width="12.85546875" style="1817" customWidth="1"/>
    <col min="8198" max="8198" width="0" style="1817" hidden="1" customWidth="1"/>
    <col min="8199" max="8199" width="13" style="1817" customWidth="1"/>
    <col min="8200" max="8200" width="12.140625" style="1817" customWidth="1"/>
    <col min="8201" max="8201" width="13.42578125" style="1817" customWidth="1"/>
    <col min="8202" max="8202" width="15.7109375" style="1817" customWidth="1"/>
    <col min="8203" max="8203" width="11.7109375" style="1817" customWidth="1"/>
    <col min="8204" max="8448" width="9.140625" style="1817"/>
    <col min="8449" max="8449" width="11.28515625" style="1817" customWidth="1"/>
    <col min="8450" max="8450" width="12.7109375" style="1817" customWidth="1"/>
    <col min="8451" max="8451" width="0" style="1817" hidden="1" customWidth="1"/>
    <col min="8452" max="8452" width="10.28515625" style="1817" customWidth="1"/>
    <col min="8453" max="8453" width="12.85546875" style="1817" customWidth="1"/>
    <col min="8454" max="8454" width="0" style="1817" hidden="1" customWidth="1"/>
    <col min="8455" max="8455" width="13" style="1817" customWidth="1"/>
    <col min="8456" max="8456" width="12.140625" style="1817" customWidth="1"/>
    <col min="8457" max="8457" width="13.42578125" style="1817" customWidth="1"/>
    <col min="8458" max="8458" width="15.7109375" style="1817" customWidth="1"/>
    <col min="8459" max="8459" width="11.7109375" style="1817" customWidth="1"/>
    <col min="8460" max="8704" width="9.140625" style="1817"/>
    <col min="8705" max="8705" width="11.28515625" style="1817" customWidth="1"/>
    <col min="8706" max="8706" width="12.7109375" style="1817" customWidth="1"/>
    <col min="8707" max="8707" width="0" style="1817" hidden="1" customWidth="1"/>
    <col min="8708" max="8708" width="10.28515625" style="1817" customWidth="1"/>
    <col min="8709" max="8709" width="12.85546875" style="1817" customWidth="1"/>
    <col min="8710" max="8710" width="0" style="1817" hidden="1" customWidth="1"/>
    <col min="8711" max="8711" width="13" style="1817" customWidth="1"/>
    <col min="8712" max="8712" width="12.140625" style="1817" customWidth="1"/>
    <col min="8713" max="8713" width="13.42578125" style="1817" customWidth="1"/>
    <col min="8714" max="8714" width="15.7109375" style="1817" customWidth="1"/>
    <col min="8715" max="8715" width="11.7109375" style="1817" customWidth="1"/>
    <col min="8716" max="8960" width="9.140625" style="1817"/>
    <col min="8961" max="8961" width="11.28515625" style="1817" customWidth="1"/>
    <col min="8962" max="8962" width="12.7109375" style="1817" customWidth="1"/>
    <col min="8963" max="8963" width="0" style="1817" hidden="1" customWidth="1"/>
    <col min="8964" max="8964" width="10.28515625" style="1817" customWidth="1"/>
    <col min="8965" max="8965" width="12.85546875" style="1817" customWidth="1"/>
    <col min="8966" max="8966" width="0" style="1817" hidden="1" customWidth="1"/>
    <col min="8967" max="8967" width="13" style="1817" customWidth="1"/>
    <col min="8968" max="8968" width="12.140625" style="1817" customWidth="1"/>
    <col min="8969" max="8969" width="13.42578125" style="1817" customWidth="1"/>
    <col min="8970" max="8970" width="15.7109375" style="1817" customWidth="1"/>
    <col min="8971" max="8971" width="11.7109375" style="1817" customWidth="1"/>
    <col min="8972" max="9216" width="9.140625" style="1817"/>
    <col min="9217" max="9217" width="11.28515625" style="1817" customWidth="1"/>
    <col min="9218" max="9218" width="12.7109375" style="1817" customWidth="1"/>
    <col min="9219" max="9219" width="0" style="1817" hidden="1" customWidth="1"/>
    <col min="9220" max="9220" width="10.28515625" style="1817" customWidth="1"/>
    <col min="9221" max="9221" width="12.85546875" style="1817" customWidth="1"/>
    <col min="9222" max="9222" width="0" style="1817" hidden="1" customWidth="1"/>
    <col min="9223" max="9223" width="13" style="1817" customWidth="1"/>
    <col min="9224" max="9224" width="12.140625" style="1817" customWidth="1"/>
    <col min="9225" max="9225" width="13.42578125" style="1817" customWidth="1"/>
    <col min="9226" max="9226" width="15.7109375" style="1817" customWidth="1"/>
    <col min="9227" max="9227" width="11.7109375" style="1817" customWidth="1"/>
    <col min="9228" max="9472" width="9.140625" style="1817"/>
    <col min="9473" max="9473" width="11.28515625" style="1817" customWidth="1"/>
    <col min="9474" max="9474" width="12.7109375" style="1817" customWidth="1"/>
    <col min="9475" max="9475" width="0" style="1817" hidden="1" customWidth="1"/>
    <col min="9476" max="9476" width="10.28515625" style="1817" customWidth="1"/>
    <col min="9477" max="9477" width="12.85546875" style="1817" customWidth="1"/>
    <col min="9478" max="9478" width="0" style="1817" hidden="1" customWidth="1"/>
    <col min="9479" max="9479" width="13" style="1817" customWidth="1"/>
    <col min="9480" max="9480" width="12.140625" style="1817" customWidth="1"/>
    <col min="9481" max="9481" width="13.42578125" style="1817" customWidth="1"/>
    <col min="9482" max="9482" width="15.7109375" style="1817" customWidth="1"/>
    <col min="9483" max="9483" width="11.7109375" style="1817" customWidth="1"/>
    <col min="9484" max="9728" width="9.140625" style="1817"/>
    <col min="9729" max="9729" width="11.28515625" style="1817" customWidth="1"/>
    <col min="9730" max="9730" width="12.7109375" style="1817" customWidth="1"/>
    <col min="9731" max="9731" width="0" style="1817" hidden="1" customWidth="1"/>
    <col min="9732" max="9732" width="10.28515625" style="1817" customWidth="1"/>
    <col min="9733" max="9733" width="12.85546875" style="1817" customWidth="1"/>
    <col min="9734" max="9734" width="0" style="1817" hidden="1" customWidth="1"/>
    <col min="9735" max="9735" width="13" style="1817" customWidth="1"/>
    <col min="9736" max="9736" width="12.140625" style="1817" customWidth="1"/>
    <col min="9737" max="9737" width="13.42578125" style="1817" customWidth="1"/>
    <col min="9738" max="9738" width="15.7109375" style="1817" customWidth="1"/>
    <col min="9739" max="9739" width="11.7109375" style="1817" customWidth="1"/>
    <col min="9740" max="9984" width="9.140625" style="1817"/>
    <col min="9985" max="9985" width="11.28515625" style="1817" customWidth="1"/>
    <col min="9986" max="9986" width="12.7109375" style="1817" customWidth="1"/>
    <col min="9987" max="9987" width="0" style="1817" hidden="1" customWidth="1"/>
    <col min="9988" max="9988" width="10.28515625" style="1817" customWidth="1"/>
    <col min="9989" max="9989" width="12.85546875" style="1817" customWidth="1"/>
    <col min="9990" max="9990" width="0" style="1817" hidden="1" customWidth="1"/>
    <col min="9991" max="9991" width="13" style="1817" customWidth="1"/>
    <col min="9992" max="9992" width="12.140625" style="1817" customWidth="1"/>
    <col min="9993" max="9993" width="13.42578125" style="1817" customWidth="1"/>
    <col min="9994" max="9994" width="15.7109375" style="1817" customWidth="1"/>
    <col min="9995" max="9995" width="11.7109375" style="1817" customWidth="1"/>
    <col min="9996" max="10240" width="9.140625" style="1817"/>
    <col min="10241" max="10241" width="11.28515625" style="1817" customWidth="1"/>
    <col min="10242" max="10242" width="12.7109375" style="1817" customWidth="1"/>
    <col min="10243" max="10243" width="0" style="1817" hidden="1" customWidth="1"/>
    <col min="10244" max="10244" width="10.28515625" style="1817" customWidth="1"/>
    <col min="10245" max="10245" width="12.85546875" style="1817" customWidth="1"/>
    <col min="10246" max="10246" width="0" style="1817" hidden="1" customWidth="1"/>
    <col min="10247" max="10247" width="13" style="1817" customWidth="1"/>
    <col min="10248" max="10248" width="12.140625" style="1817" customWidth="1"/>
    <col min="10249" max="10249" width="13.42578125" style="1817" customWidth="1"/>
    <col min="10250" max="10250" width="15.7109375" style="1817" customWidth="1"/>
    <col min="10251" max="10251" width="11.7109375" style="1817" customWidth="1"/>
    <col min="10252" max="10496" width="9.140625" style="1817"/>
    <col min="10497" max="10497" width="11.28515625" style="1817" customWidth="1"/>
    <col min="10498" max="10498" width="12.7109375" style="1817" customWidth="1"/>
    <col min="10499" max="10499" width="0" style="1817" hidden="1" customWidth="1"/>
    <col min="10500" max="10500" width="10.28515625" style="1817" customWidth="1"/>
    <col min="10501" max="10501" width="12.85546875" style="1817" customWidth="1"/>
    <col min="10502" max="10502" width="0" style="1817" hidden="1" customWidth="1"/>
    <col min="10503" max="10503" width="13" style="1817" customWidth="1"/>
    <col min="10504" max="10504" width="12.140625" style="1817" customWidth="1"/>
    <col min="10505" max="10505" width="13.42578125" style="1817" customWidth="1"/>
    <col min="10506" max="10506" width="15.7109375" style="1817" customWidth="1"/>
    <col min="10507" max="10507" width="11.7109375" style="1817" customWidth="1"/>
    <col min="10508" max="10752" width="9.140625" style="1817"/>
    <col min="10753" max="10753" width="11.28515625" style="1817" customWidth="1"/>
    <col min="10754" max="10754" width="12.7109375" style="1817" customWidth="1"/>
    <col min="10755" max="10755" width="0" style="1817" hidden="1" customWidth="1"/>
    <col min="10756" max="10756" width="10.28515625" style="1817" customWidth="1"/>
    <col min="10757" max="10757" width="12.85546875" style="1817" customWidth="1"/>
    <col min="10758" max="10758" width="0" style="1817" hidden="1" customWidth="1"/>
    <col min="10759" max="10759" width="13" style="1817" customWidth="1"/>
    <col min="10760" max="10760" width="12.140625" style="1817" customWidth="1"/>
    <col min="10761" max="10761" width="13.42578125" style="1817" customWidth="1"/>
    <col min="10762" max="10762" width="15.7109375" style="1817" customWidth="1"/>
    <col min="10763" max="10763" width="11.7109375" style="1817" customWidth="1"/>
    <col min="10764" max="11008" width="9.140625" style="1817"/>
    <col min="11009" max="11009" width="11.28515625" style="1817" customWidth="1"/>
    <col min="11010" max="11010" width="12.7109375" style="1817" customWidth="1"/>
    <col min="11011" max="11011" width="0" style="1817" hidden="1" customWidth="1"/>
    <col min="11012" max="11012" width="10.28515625" style="1817" customWidth="1"/>
    <col min="11013" max="11013" width="12.85546875" style="1817" customWidth="1"/>
    <col min="11014" max="11014" width="0" style="1817" hidden="1" customWidth="1"/>
    <col min="11015" max="11015" width="13" style="1817" customWidth="1"/>
    <col min="11016" max="11016" width="12.140625" style="1817" customWidth="1"/>
    <col min="11017" max="11017" width="13.42578125" style="1817" customWidth="1"/>
    <col min="11018" max="11018" width="15.7109375" style="1817" customWidth="1"/>
    <col min="11019" max="11019" width="11.7109375" style="1817" customWidth="1"/>
    <col min="11020" max="11264" width="9.140625" style="1817"/>
    <col min="11265" max="11265" width="11.28515625" style="1817" customWidth="1"/>
    <col min="11266" max="11266" width="12.7109375" style="1817" customWidth="1"/>
    <col min="11267" max="11267" width="0" style="1817" hidden="1" customWidth="1"/>
    <col min="11268" max="11268" width="10.28515625" style="1817" customWidth="1"/>
    <col min="11269" max="11269" width="12.85546875" style="1817" customWidth="1"/>
    <col min="11270" max="11270" width="0" style="1817" hidden="1" customWidth="1"/>
    <col min="11271" max="11271" width="13" style="1817" customWidth="1"/>
    <col min="11272" max="11272" width="12.140625" style="1817" customWidth="1"/>
    <col min="11273" max="11273" width="13.42578125" style="1817" customWidth="1"/>
    <col min="11274" max="11274" width="15.7109375" style="1817" customWidth="1"/>
    <col min="11275" max="11275" width="11.7109375" style="1817" customWidth="1"/>
    <col min="11276" max="11520" width="9.140625" style="1817"/>
    <col min="11521" max="11521" width="11.28515625" style="1817" customWidth="1"/>
    <col min="11522" max="11522" width="12.7109375" style="1817" customWidth="1"/>
    <col min="11523" max="11523" width="0" style="1817" hidden="1" customWidth="1"/>
    <col min="11524" max="11524" width="10.28515625" style="1817" customWidth="1"/>
    <col min="11525" max="11525" width="12.85546875" style="1817" customWidth="1"/>
    <col min="11526" max="11526" width="0" style="1817" hidden="1" customWidth="1"/>
    <col min="11527" max="11527" width="13" style="1817" customWidth="1"/>
    <col min="11528" max="11528" width="12.140625" style="1817" customWidth="1"/>
    <col min="11529" max="11529" width="13.42578125" style="1817" customWidth="1"/>
    <col min="11530" max="11530" width="15.7109375" style="1817" customWidth="1"/>
    <col min="11531" max="11531" width="11.7109375" style="1817" customWidth="1"/>
    <col min="11532" max="11776" width="9.140625" style="1817"/>
    <col min="11777" max="11777" width="11.28515625" style="1817" customWidth="1"/>
    <col min="11778" max="11778" width="12.7109375" style="1817" customWidth="1"/>
    <col min="11779" max="11779" width="0" style="1817" hidden="1" customWidth="1"/>
    <col min="11780" max="11780" width="10.28515625" style="1817" customWidth="1"/>
    <col min="11781" max="11781" width="12.85546875" style="1817" customWidth="1"/>
    <col min="11782" max="11782" width="0" style="1817" hidden="1" customWidth="1"/>
    <col min="11783" max="11783" width="13" style="1817" customWidth="1"/>
    <col min="11784" max="11784" width="12.140625" style="1817" customWidth="1"/>
    <col min="11785" max="11785" width="13.42578125" style="1817" customWidth="1"/>
    <col min="11786" max="11786" width="15.7109375" style="1817" customWidth="1"/>
    <col min="11787" max="11787" width="11.7109375" style="1817" customWidth="1"/>
    <col min="11788" max="12032" width="9.140625" style="1817"/>
    <col min="12033" max="12033" width="11.28515625" style="1817" customWidth="1"/>
    <col min="12034" max="12034" width="12.7109375" style="1817" customWidth="1"/>
    <col min="12035" max="12035" width="0" style="1817" hidden="1" customWidth="1"/>
    <col min="12036" max="12036" width="10.28515625" style="1817" customWidth="1"/>
    <col min="12037" max="12037" width="12.85546875" style="1817" customWidth="1"/>
    <col min="12038" max="12038" width="0" style="1817" hidden="1" customWidth="1"/>
    <col min="12039" max="12039" width="13" style="1817" customWidth="1"/>
    <col min="12040" max="12040" width="12.140625" style="1817" customWidth="1"/>
    <col min="12041" max="12041" width="13.42578125" style="1817" customWidth="1"/>
    <col min="12042" max="12042" width="15.7109375" style="1817" customWidth="1"/>
    <col min="12043" max="12043" width="11.7109375" style="1817" customWidth="1"/>
    <col min="12044" max="12288" width="9.140625" style="1817"/>
    <col min="12289" max="12289" width="11.28515625" style="1817" customWidth="1"/>
    <col min="12290" max="12290" width="12.7109375" style="1817" customWidth="1"/>
    <col min="12291" max="12291" width="0" style="1817" hidden="1" customWidth="1"/>
    <col min="12292" max="12292" width="10.28515625" style="1817" customWidth="1"/>
    <col min="12293" max="12293" width="12.85546875" style="1817" customWidth="1"/>
    <col min="12294" max="12294" width="0" style="1817" hidden="1" customWidth="1"/>
    <col min="12295" max="12295" width="13" style="1817" customWidth="1"/>
    <col min="12296" max="12296" width="12.140625" style="1817" customWidth="1"/>
    <col min="12297" max="12297" width="13.42578125" style="1817" customWidth="1"/>
    <col min="12298" max="12298" width="15.7109375" style="1817" customWidth="1"/>
    <col min="12299" max="12299" width="11.7109375" style="1817" customWidth="1"/>
    <col min="12300" max="12544" width="9.140625" style="1817"/>
    <col min="12545" max="12545" width="11.28515625" style="1817" customWidth="1"/>
    <col min="12546" max="12546" width="12.7109375" style="1817" customWidth="1"/>
    <col min="12547" max="12547" width="0" style="1817" hidden="1" customWidth="1"/>
    <col min="12548" max="12548" width="10.28515625" style="1817" customWidth="1"/>
    <col min="12549" max="12549" width="12.85546875" style="1817" customWidth="1"/>
    <col min="12550" max="12550" width="0" style="1817" hidden="1" customWidth="1"/>
    <col min="12551" max="12551" width="13" style="1817" customWidth="1"/>
    <col min="12552" max="12552" width="12.140625" style="1817" customWidth="1"/>
    <col min="12553" max="12553" width="13.42578125" style="1817" customWidth="1"/>
    <col min="12554" max="12554" width="15.7109375" style="1817" customWidth="1"/>
    <col min="12555" max="12555" width="11.7109375" style="1817" customWidth="1"/>
    <col min="12556" max="12800" width="9.140625" style="1817"/>
    <col min="12801" max="12801" width="11.28515625" style="1817" customWidth="1"/>
    <col min="12802" max="12802" width="12.7109375" style="1817" customWidth="1"/>
    <col min="12803" max="12803" width="0" style="1817" hidden="1" customWidth="1"/>
    <col min="12804" max="12804" width="10.28515625" style="1817" customWidth="1"/>
    <col min="12805" max="12805" width="12.85546875" style="1817" customWidth="1"/>
    <col min="12806" max="12806" width="0" style="1817" hidden="1" customWidth="1"/>
    <col min="12807" max="12807" width="13" style="1817" customWidth="1"/>
    <col min="12808" max="12808" width="12.140625" style="1817" customWidth="1"/>
    <col min="12809" max="12809" width="13.42578125" style="1817" customWidth="1"/>
    <col min="12810" max="12810" width="15.7109375" style="1817" customWidth="1"/>
    <col min="12811" max="12811" width="11.7109375" style="1817" customWidth="1"/>
    <col min="12812" max="13056" width="9.140625" style="1817"/>
    <col min="13057" max="13057" width="11.28515625" style="1817" customWidth="1"/>
    <col min="13058" max="13058" width="12.7109375" style="1817" customWidth="1"/>
    <col min="13059" max="13059" width="0" style="1817" hidden="1" customWidth="1"/>
    <col min="13060" max="13060" width="10.28515625" style="1817" customWidth="1"/>
    <col min="13061" max="13061" width="12.85546875" style="1817" customWidth="1"/>
    <col min="13062" max="13062" width="0" style="1817" hidden="1" customWidth="1"/>
    <col min="13063" max="13063" width="13" style="1817" customWidth="1"/>
    <col min="13064" max="13064" width="12.140625" style="1817" customWidth="1"/>
    <col min="13065" max="13065" width="13.42578125" style="1817" customWidth="1"/>
    <col min="13066" max="13066" width="15.7109375" style="1817" customWidth="1"/>
    <col min="13067" max="13067" width="11.7109375" style="1817" customWidth="1"/>
    <col min="13068" max="13312" width="9.140625" style="1817"/>
    <col min="13313" max="13313" width="11.28515625" style="1817" customWidth="1"/>
    <col min="13314" max="13314" width="12.7109375" style="1817" customWidth="1"/>
    <col min="13315" max="13315" width="0" style="1817" hidden="1" customWidth="1"/>
    <col min="13316" max="13316" width="10.28515625" style="1817" customWidth="1"/>
    <col min="13317" max="13317" width="12.85546875" style="1817" customWidth="1"/>
    <col min="13318" max="13318" width="0" style="1817" hidden="1" customWidth="1"/>
    <col min="13319" max="13319" width="13" style="1817" customWidth="1"/>
    <col min="13320" max="13320" width="12.140625" style="1817" customWidth="1"/>
    <col min="13321" max="13321" width="13.42578125" style="1817" customWidth="1"/>
    <col min="13322" max="13322" width="15.7109375" style="1817" customWidth="1"/>
    <col min="13323" max="13323" width="11.7109375" style="1817" customWidth="1"/>
    <col min="13324" max="13568" width="9.140625" style="1817"/>
    <col min="13569" max="13569" width="11.28515625" style="1817" customWidth="1"/>
    <col min="13570" max="13570" width="12.7109375" style="1817" customWidth="1"/>
    <col min="13571" max="13571" width="0" style="1817" hidden="1" customWidth="1"/>
    <col min="13572" max="13572" width="10.28515625" style="1817" customWidth="1"/>
    <col min="13573" max="13573" width="12.85546875" style="1817" customWidth="1"/>
    <col min="13574" max="13574" width="0" style="1817" hidden="1" customWidth="1"/>
    <col min="13575" max="13575" width="13" style="1817" customWidth="1"/>
    <col min="13576" max="13576" width="12.140625" style="1817" customWidth="1"/>
    <col min="13577" max="13577" width="13.42578125" style="1817" customWidth="1"/>
    <col min="13578" max="13578" width="15.7109375" style="1817" customWidth="1"/>
    <col min="13579" max="13579" width="11.7109375" style="1817" customWidth="1"/>
    <col min="13580" max="13824" width="9.140625" style="1817"/>
    <col min="13825" max="13825" width="11.28515625" style="1817" customWidth="1"/>
    <col min="13826" max="13826" width="12.7109375" style="1817" customWidth="1"/>
    <col min="13827" max="13827" width="0" style="1817" hidden="1" customWidth="1"/>
    <col min="13828" max="13828" width="10.28515625" style="1817" customWidth="1"/>
    <col min="13829" max="13829" width="12.85546875" style="1817" customWidth="1"/>
    <col min="13830" max="13830" width="0" style="1817" hidden="1" customWidth="1"/>
    <col min="13831" max="13831" width="13" style="1817" customWidth="1"/>
    <col min="13832" max="13832" width="12.140625" style="1817" customWidth="1"/>
    <col min="13833" max="13833" width="13.42578125" style="1817" customWidth="1"/>
    <col min="13834" max="13834" width="15.7109375" style="1817" customWidth="1"/>
    <col min="13835" max="13835" width="11.7109375" style="1817" customWidth="1"/>
    <col min="13836" max="14080" width="9.140625" style="1817"/>
    <col min="14081" max="14081" width="11.28515625" style="1817" customWidth="1"/>
    <col min="14082" max="14082" width="12.7109375" style="1817" customWidth="1"/>
    <col min="14083" max="14083" width="0" style="1817" hidden="1" customWidth="1"/>
    <col min="14084" max="14084" width="10.28515625" style="1817" customWidth="1"/>
    <col min="14085" max="14085" width="12.85546875" style="1817" customWidth="1"/>
    <col min="14086" max="14086" width="0" style="1817" hidden="1" customWidth="1"/>
    <col min="14087" max="14087" width="13" style="1817" customWidth="1"/>
    <col min="14088" max="14088" width="12.140625" style="1817" customWidth="1"/>
    <col min="14089" max="14089" width="13.42578125" style="1817" customWidth="1"/>
    <col min="14090" max="14090" width="15.7109375" style="1817" customWidth="1"/>
    <col min="14091" max="14091" width="11.7109375" style="1817" customWidth="1"/>
    <col min="14092" max="14336" width="9.140625" style="1817"/>
    <col min="14337" max="14337" width="11.28515625" style="1817" customWidth="1"/>
    <col min="14338" max="14338" width="12.7109375" style="1817" customWidth="1"/>
    <col min="14339" max="14339" width="0" style="1817" hidden="1" customWidth="1"/>
    <col min="14340" max="14340" width="10.28515625" style="1817" customWidth="1"/>
    <col min="14341" max="14341" width="12.85546875" style="1817" customWidth="1"/>
    <col min="14342" max="14342" width="0" style="1817" hidden="1" customWidth="1"/>
    <col min="14343" max="14343" width="13" style="1817" customWidth="1"/>
    <col min="14344" max="14344" width="12.140625" style="1817" customWidth="1"/>
    <col min="14345" max="14345" width="13.42578125" style="1817" customWidth="1"/>
    <col min="14346" max="14346" width="15.7109375" style="1817" customWidth="1"/>
    <col min="14347" max="14347" width="11.7109375" style="1817" customWidth="1"/>
    <col min="14348" max="14592" width="9.140625" style="1817"/>
    <col min="14593" max="14593" width="11.28515625" style="1817" customWidth="1"/>
    <col min="14594" max="14594" width="12.7109375" style="1817" customWidth="1"/>
    <col min="14595" max="14595" width="0" style="1817" hidden="1" customWidth="1"/>
    <col min="14596" max="14596" width="10.28515625" style="1817" customWidth="1"/>
    <col min="14597" max="14597" width="12.85546875" style="1817" customWidth="1"/>
    <col min="14598" max="14598" width="0" style="1817" hidden="1" customWidth="1"/>
    <col min="14599" max="14599" width="13" style="1817" customWidth="1"/>
    <col min="14600" max="14600" width="12.140625" style="1817" customWidth="1"/>
    <col min="14601" max="14601" width="13.42578125" style="1817" customWidth="1"/>
    <col min="14602" max="14602" width="15.7109375" style="1817" customWidth="1"/>
    <col min="14603" max="14603" width="11.7109375" style="1817" customWidth="1"/>
    <col min="14604" max="14848" width="9.140625" style="1817"/>
    <col min="14849" max="14849" width="11.28515625" style="1817" customWidth="1"/>
    <col min="14850" max="14850" width="12.7109375" style="1817" customWidth="1"/>
    <col min="14851" max="14851" width="0" style="1817" hidden="1" customWidth="1"/>
    <col min="14852" max="14852" width="10.28515625" style="1817" customWidth="1"/>
    <col min="14853" max="14853" width="12.85546875" style="1817" customWidth="1"/>
    <col min="14854" max="14854" width="0" style="1817" hidden="1" customWidth="1"/>
    <col min="14855" max="14855" width="13" style="1817" customWidth="1"/>
    <col min="14856" max="14856" width="12.140625" style="1817" customWidth="1"/>
    <col min="14857" max="14857" width="13.42578125" style="1817" customWidth="1"/>
    <col min="14858" max="14858" width="15.7109375" style="1817" customWidth="1"/>
    <col min="14859" max="14859" width="11.7109375" style="1817" customWidth="1"/>
    <col min="14860" max="15104" width="9.140625" style="1817"/>
    <col min="15105" max="15105" width="11.28515625" style="1817" customWidth="1"/>
    <col min="15106" max="15106" width="12.7109375" style="1817" customWidth="1"/>
    <col min="15107" max="15107" width="0" style="1817" hidden="1" customWidth="1"/>
    <col min="15108" max="15108" width="10.28515625" style="1817" customWidth="1"/>
    <col min="15109" max="15109" width="12.85546875" style="1817" customWidth="1"/>
    <col min="15110" max="15110" width="0" style="1817" hidden="1" customWidth="1"/>
    <col min="15111" max="15111" width="13" style="1817" customWidth="1"/>
    <col min="15112" max="15112" width="12.140625" style="1817" customWidth="1"/>
    <col min="15113" max="15113" width="13.42578125" style="1817" customWidth="1"/>
    <col min="15114" max="15114" width="15.7109375" style="1817" customWidth="1"/>
    <col min="15115" max="15115" width="11.7109375" style="1817" customWidth="1"/>
    <col min="15116" max="15360" width="9.140625" style="1817"/>
    <col min="15361" max="15361" width="11.28515625" style="1817" customWidth="1"/>
    <col min="15362" max="15362" width="12.7109375" style="1817" customWidth="1"/>
    <col min="15363" max="15363" width="0" style="1817" hidden="1" customWidth="1"/>
    <col min="15364" max="15364" width="10.28515625" style="1817" customWidth="1"/>
    <col min="15365" max="15365" width="12.85546875" style="1817" customWidth="1"/>
    <col min="15366" max="15366" width="0" style="1817" hidden="1" customWidth="1"/>
    <col min="15367" max="15367" width="13" style="1817" customWidth="1"/>
    <col min="15368" max="15368" width="12.140625" style="1817" customWidth="1"/>
    <col min="15369" max="15369" width="13.42578125" style="1817" customWidth="1"/>
    <col min="15370" max="15370" width="15.7109375" style="1817" customWidth="1"/>
    <col min="15371" max="15371" width="11.7109375" style="1817" customWidth="1"/>
    <col min="15372" max="15616" width="9.140625" style="1817"/>
    <col min="15617" max="15617" width="11.28515625" style="1817" customWidth="1"/>
    <col min="15618" max="15618" width="12.7109375" style="1817" customWidth="1"/>
    <col min="15619" max="15619" width="0" style="1817" hidden="1" customWidth="1"/>
    <col min="15620" max="15620" width="10.28515625" style="1817" customWidth="1"/>
    <col min="15621" max="15621" width="12.85546875" style="1817" customWidth="1"/>
    <col min="15622" max="15622" width="0" style="1817" hidden="1" customWidth="1"/>
    <col min="15623" max="15623" width="13" style="1817" customWidth="1"/>
    <col min="15624" max="15624" width="12.140625" style="1817" customWidth="1"/>
    <col min="15625" max="15625" width="13.42578125" style="1817" customWidth="1"/>
    <col min="15626" max="15626" width="15.7109375" style="1817" customWidth="1"/>
    <col min="15627" max="15627" width="11.7109375" style="1817" customWidth="1"/>
    <col min="15628" max="15872" width="9.140625" style="1817"/>
    <col min="15873" max="15873" width="11.28515625" style="1817" customWidth="1"/>
    <col min="15874" max="15874" width="12.7109375" style="1817" customWidth="1"/>
    <col min="15875" max="15875" width="0" style="1817" hidden="1" customWidth="1"/>
    <col min="15876" max="15876" width="10.28515625" style="1817" customWidth="1"/>
    <col min="15877" max="15877" width="12.85546875" style="1817" customWidth="1"/>
    <col min="15878" max="15878" width="0" style="1817" hidden="1" customWidth="1"/>
    <col min="15879" max="15879" width="13" style="1817" customWidth="1"/>
    <col min="15880" max="15880" width="12.140625" style="1817" customWidth="1"/>
    <col min="15881" max="15881" width="13.42578125" style="1817" customWidth="1"/>
    <col min="15882" max="15882" width="15.7109375" style="1817" customWidth="1"/>
    <col min="15883" max="15883" width="11.7109375" style="1817" customWidth="1"/>
    <col min="15884" max="16128" width="9.140625" style="1817"/>
    <col min="16129" max="16129" width="11.28515625" style="1817" customWidth="1"/>
    <col min="16130" max="16130" width="12.7109375" style="1817" customWidth="1"/>
    <col min="16131" max="16131" width="0" style="1817" hidden="1" customWidth="1"/>
    <col min="16132" max="16132" width="10.28515625" style="1817" customWidth="1"/>
    <col min="16133" max="16133" width="12.85546875" style="1817" customWidth="1"/>
    <col min="16134" max="16134" width="0" style="1817" hidden="1" customWidth="1"/>
    <col min="16135" max="16135" width="13" style="1817" customWidth="1"/>
    <col min="16136" max="16136" width="12.140625" style="1817" customWidth="1"/>
    <col min="16137" max="16137" width="13.42578125" style="1817" customWidth="1"/>
    <col min="16138" max="16138" width="15.7109375" style="1817" customWidth="1"/>
    <col min="16139" max="16139" width="11.7109375" style="1817" customWidth="1"/>
    <col min="16140" max="16384" width="9.140625" style="1817"/>
  </cols>
  <sheetData>
    <row r="1" spans="1:13" ht="18.75">
      <c r="A1" s="1813" t="s">
        <v>2940</v>
      </c>
      <c r="B1" s="1814"/>
      <c r="C1" s="1814"/>
      <c r="D1" s="1814"/>
      <c r="E1" s="1814"/>
      <c r="F1" s="1815"/>
      <c r="G1" s="1816"/>
      <c r="H1" s="1816"/>
      <c r="I1" s="1816"/>
      <c r="J1" s="1816"/>
      <c r="K1" s="1816"/>
    </row>
    <row r="2" spans="1:13">
      <c r="B2" s="1816"/>
      <c r="C2" s="1816"/>
      <c r="D2" s="1816"/>
      <c r="E2" s="1816"/>
      <c r="F2" s="1816"/>
      <c r="G2" s="1816"/>
      <c r="H2" s="1816"/>
      <c r="I2" s="1816"/>
      <c r="J2" s="1816"/>
      <c r="K2" s="1816"/>
    </row>
    <row r="3" spans="1:13" ht="13.5" thickBot="1">
      <c r="A3" s="1816"/>
      <c r="B3" s="1816"/>
      <c r="C3" s="1816"/>
      <c r="D3" s="1816"/>
      <c r="E3" s="1816"/>
      <c r="F3" s="1816"/>
      <c r="G3" s="1816"/>
      <c r="H3" s="1816"/>
      <c r="I3" s="1816"/>
      <c r="J3" s="1818" t="s">
        <v>788</v>
      </c>
      <c r="K3" s="1819"/>
    </row>
    <row r="4" spans="1:13" ht="16.5" thickTop="1">
      <c r="A4" s="1820"/>
      <c r="B4" s="1821" t="s">
        <v>777</v>
      </c>
      <c r="C4" s="1822" t="s">
        <v>1028</v>
      </c>
      <c r="D4" s="1822" t="s">
        <v>2941</v>
      </c>
      <c r="E4" s="1822" t="s">
        <v>777</v>
      </c>
      <c r="F4" s="1822" t="s">
        <v>2942</v>
      </c>
      <c r="G4" s="1822" t="s">
        <v>2942</v>
      </c>
      <c r="H4" s="1822" t="s">
        <v>2942</v>
      </c>
      <c r="I4" s="1822" t="s">
        <v>2942</v>
      </c>
      <c r="J4" s="1822" t="s">
        <v>1028</v>
      </c>
      <c r="K4" s="1823" t="s">
        <v>1028</v>
      </c>
    </row>
    <row r="5" spans="1:13" ht="15.75">
      <c r="A5" s="1824"/>
      <c r="B5" s="1825" t="s">
        <v>1230</v>
      </c>
      <c r="C5" s="1826" t="s">
        <v>2943</v>
      </c>
      <c r="D5" s="1826" t="s">
        <v>1230</v>
      </c>
      <c r="E5" s="1826" t="s">
        <v>1230</v>
      </c>
      <c r="F5" s="1826" t="s">
        <v>2944</v>
      </c>
      <c r="G5" s="1826" t="s">
        <v>2945</v>
      </c>
      <c r="H5" s="1826" t="s">
        <v>2946</v>
      </c>
      <c r="I5" s="1826" t="s">
        <v>2947</v>
      </c>
      <c r="J5" s="1826" t="s">
        <v>2948</v>
      </c>
      <c r="K5" s="1827" t="s">
        <v>2948</v>
      </c>
    </row>
    <row r="6" spans="1:13" ht="15.75">
      <c r="A6" s="1824"/>
      <c r="B6" s="1825" t="s">
        <v>782</v>
      </c>
      <c r="C6" s="1826" t="s">
        <v>2949</v>
      </c>
      <c r="D6" s="1826" t="s">
        <v>2950</v>
      </c>
      <c r="E6" s="1826" t="s">
        <v>1064</v>
      </c>
      <c r="F6" s="1826" t="s">
        <v>197</v>
      </c>
      <c r="G6" s="1826" t="s">
        <v>2951</v>
      </c>
      <c r="H6" s="1826" t="s">
        <v>2951</v>
      </c>
      <c r="I6" s="1826" t="s">
        <v>2952</v>
      </c>
      <c r="J6" s="1826" t="s">
        <v>2951</v>
      </c>
      <c r="K6" s="1827" t="s">
        <v>2951</v>
      </c>
    </row>
    <row r="7" spans="1:13" ht="15.75">
      <c r="A7" s="1824"/>
      <c r="B7" s="1825" t="s">
        <v>2953</v>
      </c>
      <c r="C7" s="1826" t="s">
        <v>2953</v>
      </c>
      <c r="D7" s="1826" t="s">
        <v>764</v>
      </c>
      <c r="E7" s="1826" t="s">
        <v>2942</v>
      </c>
      <c r="F7" s="1826" t="s">
        <v>215</v>
      </c>
      <c r="G7" s="1826" t="s">
        <v>2954</v>
      </c>
      <c r="H7" s="1826" t="s">
        <v>2955</v>
      </c>
      <c r="I7" s="1826" t="s">
        <v>2956</v>
      </c>
      <c r="J7" s="1826" t="s">
        <v>2957</v>
      </c>
      <c r="K7" s="1827" t="s">
        <v>2958</v>
      </c>
    </row>
    <row r="8" spans="1:13" ht="15.75">
      <c r="A8" s="1824"/>
      <c r="B8" s="1825" t="s">
        <v>786</v>
      </c>
      <c r="C8" s="1826" t="s">
        <v>2959</v>
      </c>
      <c r="D8" s="1826"/>
      <c r="E8" s="1826" t="s">
        <v>764</v>
      </c>
      <c r="F8" s="1826" t="s">
        <v>2960</v>
      </c>
      <c r="G8" s="1826" t="s">
        <v>49</v>
      </c>
      <c r="H8" s="1826" t="s">
        <v>49</v>
      </c>
      <c r="I8" s="1826" t="s">
        <v>204</v>
      </c>
      <c r="J8" s="1826" t="s">
        <v>2961</v>
      </c>
      <c r="K8" s="1827" t="s">
        <v>2962</v>
      </c>
    </row>
    <row r="9" spans="1:13" ht="17.25" customHeight="1">
      <c r="A9" s="1824"/>
      <c r="B9" s="1825" t="s">
        <v>2963</v>
      </c>
      <c r="C9" s="1826" t="s">
        <v>2964</v>
      </c>
      <c r="D9" s="1826"/>
      <c r="E9" s="1826"/>
      <c r="F9" s="1826" t="s">
        <v>2965</v>
      </c>
      <c r="G9" s="1826" t="s">
        <v>2966</v>
      </c>
      <c r="H9" s="1826" t="s">
        <v>2966</v>
      </c>
      <c r="I9" s="1826" t="s">
        <v>2967</v>
      </c>
      <c r="J9" s="1826"/>
      <c r="K9" s="1827" t="s">
        <v>225</v>
      </c>
    </row>
    <row r="10" spans="1:13" ht="18.75" customHeight="1" thickBot="1">
      <c r="A10" s="1828"/>
      <c r="B10" s="1829" t="s">
        <v>2968</v>
      </c>
      <c r="C10" s="1830"/>
      <c r="D10" s="1830"/>
      <c r="E10" s="1830"/>
      <c r="F10" s="1830"/>
      <c r="G10" s="1830"/>
      <c r="H10" s="1830"/>
      <c r="I10" s="1830"/>
      <c r="J10" s="1830"/>
      <c r="K10" s="1831"/>
    </row>
    <row r="11" spans="1:13" ht="13.5" hidden="1" thickTop="1">
      <c r="A11" s="1832">
        <v>38687</v>
      </c>
      <c r="B11" s="1833">
        <v>7.45</v>
      </c>
      <c r="C11" s="1834" t="s">
        <v>661</v>
      </c>
      <c r="D11" s="1835">
        <v>7.16</v>
      </c>
      <c r="E11" s="1835">
        <v>3.87</v>
      </c>
      <c r="F11" s="1834" t="s">
        <v>661</v>
      </c>
      <c r="G11" s="1835" t="s">
        <v>2386</v>
      </c>
      <c r="H11" s="1836" t="s">
        <v>2969</v>
      </c>
      <c r="I11" s="1836" t="s">
        <v>2970</v>
      </c>
      <c r="J11" s="1835">
        <v>5.7</v>
      </c>
      <c r="K11" s="1837">
        <v>10.81</v>
      </c>
    </row>
    <row r="12" spans="1:13" ht="13.5" hidden="1" thickTop="1">
      <c r="A12" s="1832">
        <v>38718</v>
      </c>
      <c r="B12" s="1833">
        <v>7.52</v>
      </c>
      <c r="C12" s="1834" t="s">
        <v>661</v>
      </c>
      <c r="D12" s="1835">
        <v>7.53</v>
      </c>
      <c r="E12" s="1835">
        <v>5.68</v>
      </c>
      <c r="F12" s="1834" t="s">
        <v>661</v>
      </c>
      <c r="G12" s="1835" t="s">
        <v>2386</v>
      </c>
      <c r="H12" s="1836" t="s">
        <v>2969</v>
      </c>
      <c r="I12" s="1836" t="s">
        <v>2970</v>
      </c>
      <c r="J12" s="1835">
        <v>5.76</v>
      </c>
      <c r="K12" s="1837">
        <v>10.85</v>
      </c>
      <c r="M12" s="1838">
        <f t="shared" ref="M12:M22" si="0">K12-J12</f>
        <v>5.09</v>
      </c>
    </row>
    <row r="13" spans="1:13" ht="13.5" hidden="1" thickTop="1">
      <c r="A13" s="1832">
        <v>38749</v>
      </c>
      <c r="B13" s="1833">
        <v>7.49</v>
      </c>
      <c r="C13" s="1834" t="s">
        <v>661</v>
      </c>
      <c r="D13" s="1835">
        <v>7.44</v>
      </c>
      <c r="E13" s="1835">
        <v>3.87</v>
      </c>
      <c r="F13" s="1834" t="s">
        <v>661</v>
      </c>
      <c r="G13" s="1835" t="s">
        <v>2386</v>
      </c>
      <c r="H13" s="1836" t="s">
        <v>2969</v>
      </c>
      <c r="I13" s="1836" t="s">
        <v>2970</v>
      </c>
      <c r="J13" s="1835">
        <v>6.34</v>
      </c>
      <c r="K13" s="1837">
        <v>10.84</v>
      </c>
      <c r="M13" s="1838">
        <f t="shared" si="0"/>
        <v>4.5</v>
      </c>
    </row>
    <row r="14" spans="1:13" ht="13.5" hidden="1" thickTop="1">
      <c r="A14" s="1832">
        <v>38777</v>
      </c>
      <c r="B14" s="1833">
        <v>7.53</v>
      </c>
      <c r="C14" s="1834" t="s">
        <v>661</v>
      </c>
      <c r="D14" s="1835">
        <v>7.52</v>
      </c>
      <c r="E14" s="1835">
        <v>3.83</v>
      </c>
      <c r="F14" s="1834" t="s">
        <v>661</v>
      </c>
      <c r="G14" s="1835" t="s">
        <v>2386</v>
      </c>
      <c r="H14" s="1836" t="s">
        <v>2969</v>
      </c>
      <c r="I14" s="1836" t="s">
        <v>2970</v>
      </c>
      <c r="J14" s="1835">
        <v>5.76</v>
      </c>
      <c r="K14" s="1837">
        <v>10.73</v>
      </c>
      <c r="M14" s="1838">
        <f t="shared" si="0"/>
        <v>4.9700000000000006</v>
      </c>
    </row>
    <row r="15" spans="1:13" ht="13.5" hidden="1" thickTop="1">
      <c r="A15" s="1832">
        <v>38808</v>
      </c>
      <c r="B15" s="1833">
        <v>7.49</v>
      </c>
      <c r="C15" s="1834" t="s">
        <v>661</v>
      </c>
      <c r="D15" s="1835">
        <v>7.51</v>
      </c>
      <c r="E15" s="1835">
        <v>3.88</v>
      </c>
      <c r="F15" s="1834" t="s">
        <v>661</v>
      </c>
      <c r="G15" s="1835" t="s">
        <v>2386</v>
      </c>
      <c r="H15" s="1836" t="s">
        <v>2969</v>
      </c>
      <c r="I15" s="1836" t="s">
        <v>2970</v>
      </c>
      <c r="J15" s="1835">
        <v>5.79</v>
      </c>
      <c r="K15" s="1837">
        <v>10.74</v>
      </c>
      <c r="M15" s="1838">
        <f t="shared" si="0"/>
        <v>4.95</v>
      </c>
    </row>
    <row r="16" spans="1:13" ht="13.5" hidden="1" thickTop="1">
      <c r="A16" s="1832">
        <v>38838</v>
      </c>
      <c r="B16" s="1833">
        <v>7.47</v>
      </c>
      <c r="C16" s="1834" t="s">
        <v>661</v>
      </c>
      <c r="D16" s="1835">
        <v>7.47</v>
      </c>
      <c r="E16" s="1835">
        <v>3.52</v>
      </c>
      <c r="F16" s="1834" t="s">
        <v>661</v>
      </c>
      <c r="G16" s="1835" t="s">
        <v>2386</v>
      </c>
      <c r="H16" s="1836" t="s">
        <v>2969</v>
      </c>
      <c r="I16" s="1836" t="s">
        <v>2970</v>
      </c>
      <c r="J16" s="1835">
        <v>5.8</v>
      </c>
      <c r="K16" s="1837">
        <v>10.8</v>
      </c>
      <c r="M16" s="1838">
        <f t="shared" si="0"/>
        <v>5.0000000000000009</v>
      </c>
    </row>
    <row r="17" spans="1:13" ht="13.5" hidden="1" thickTop="1">
      <c r="A17" s="1832">
        <v>38869</v>
      </c>
      <c r="B17" s="1833">
        <v>7.33</v>
      </c>
      <c r="C17" s="1834" t="s">
        <v>661</v>
      </c>
      <c r="D17" s="1835">
        <v>7.34</v>
      </c>
      <c r="E17" s="1835">
        <v>3.54</v>
      </c>
      <c r="F17" s="1834" t="s">
        <v>661</v>
      </c>
      <c r="G17" s="1835" t="s">
        <v>2386</v>
      </c>
      <c r="H17" s="1836" t="s">
        <v>2969</v>
      </c>
      <c r="I17" s="1836" t="s">
        <v>2970</v>
      </c>
      <c r="J17" s="1835">
        <v>5.52</v>
      </c>
      <c r="K17" s="1837">
        <v>11.08</v>
      </c>
      <c r="M17" s="1838">
        <f t="shared" si="0"/>
        <v>5.5600000000000005</v>
      </c>
    </row>
    <row r="18" spans="1:13" ht="13.5" hidden="1" thickTop="1">
      <c r="A18" s="1832">
        <v>38899</v>
      </c>
      <c r="B18" s="1833">
        <v>7.35</v>
      </c>
      <c r="C18" s="1834" t="s">
        <v>661</v>
      </c>
      <c r="D18" s="1835">
        <v>7.34</v>
      </c>
      <c r="E18" s="1835">
        <v>3.65</v>
      </c>
      <c r="F18" s="1834" t="s">
        <v>661</v>
      </c>
      <c r="G18" s="1835" t="s">
        <v>2387</v>
      </c>
      <c r="H18" s="1836" t="s">
        <v>2971</v>
      </c>
      <c r="I18" s="1836" t="s">
        <v>2972</v>
      </c>
      <c r="J18" s="1835">
        <v>6.24</v>
      </c>
      <c r="K18" s="1837">
        <v>11.51</v>
      </c>
      <c r="M18" s="1838">
        <f t="shared" si="0"/>
        <v>5.27</v>
      </c>
    </row>
    <row r="19" spans="1:13" ht="13.5" hidden="1" thickTop="1">
      <c r="A19" s="1832">
        <v>38930</v>
      </c>
      <c r="B19" s="1833">
        <v>7.3</v>
      </c>
      <c r="C19" s="1834" t="s">
        <v>661</v>
      </c>
      <c r="D19" s="1835">
        <v>7.26</v>
      </c>
      <c r="E19" s="1835">
        <v>5.15</v>
      </c>
      <c r="F19" s="1834">
        <v>12</v>
      </c>
      <c r="G19" s="1835" t="s">
        <v>2387</v>
      </c>
      <c r="H19" s="1836" t="s">
        <v>2971</v>
      </c>
      <c r="I19" s="1836" t="s">
        <v>2972</v>
      </c>
      <c r="J19" s="1835">
        <v>6.24</v>
      </c>
      <c r="K19" s="1837">
        <v>11.48</v>
      </c>
      <c r="M19" s="1838">
        <f t="shared" si="0"/>
        <v>5.24</v>
      </c>
    </row>
    <row r="20" spans="1:13" ht="13.5" hidden="1" thickTop="1">
      <c r="A20" s="1832">
        <v>38961</v>
      </c>
      <c r="B20" s="1833">
        <v>9.2100000000000009</v>
      </c>
      <c r="C20" s="1834" t="s">
        <v>661</v>
      </c>
      <c r="D20" s="1835">
        <v>8.7899999999999991</v>
      </c>
      <c r="E20" s="1835">
        <v>8.0399999999999991</v>
      </c>
      <c r="F20" s="1834">
        <v>12</v>
      </c>
      <c r="G20" s="1835" t="s">
        <v>2388</v>
      </c>
      <c r="H20" s="1836" t="s">
        <v>2973</v>
      </c>
      <c r="I20" s="1836" t="s">
        <v>2974</v>
      </c>
      <c r="J20" s="1835">
        <v>7</v>
      </c>
      <c r="K20" s="1837">
        <v>12.29</v>
      </c>
      <c r="M20" s="1838">
        <f t="shared" si="0"/>
        <v>5.2899999999999991</v>
      </c>
    </row>
    <row r="21" spans="1:13" ht="13.5" hidden="1" thickTop="1">
      <c r="A21" s="1832">
        <v>38991</v>
      </c>
      <c r="B21" s="1833">
        <v>10.210000000000001</v>
      </c>
      <c r="C21" s="1834" t="s">
        <v>661</v>
      </c>
      <c r="D21" s="1835">
        <v>10.17</v>
      </c>
      <c r="E21" s="1835">
        <v>10.83</v>
      </c>
      <c r="F21" s="1834">
        <v>13</v>
      </c>
      <c r="G21" s="1835" t="s">
        <v>2388</v>
      </c>
      <c r="H21" s="1836" t="s">
        <v>2973</v>
      </c>
      <c r="I21" s="1836" t="s">
        <v>2974</v>
      </c>
      <c r="J21" s="1835">
        <v>7.04</v>
      </c>
      <c r="K21" s="1837">
        <v>12.28</v>
      </c>
      <c r="M21" s="1838">
        <f t="shared" si="0"/>
        <v>5.2399999999999993</v>
      </c>
    </row>
    <row r="22" spans="1:13" ht="13.5" hidden="1" thickTop="1">
      <c r="A22" s="1832">
        <v>39022</v>
      </c>
      <c r="B22" s="1833">
        <v>10.74</v>
      </c>
      <c r="C22" s="1834" t="s">
        <v>661</v>
      </c>
      <c r="D22" s="1835">
        <v>10.66</v>
      </c>
      <c r="E22" s="1835">
        <v>8.98</v>
      </c>
      <c r="F22" s="1834" t="s">
        <v>661</v>
      </c>
      <c r="G22" s="1835" t="s">
        <v>2388</v>
      </c>
      <c r="H22" s="1836" t="s">
        <v>2973</v>
      </c>
      <c r="I22" s="1836" t="s">
        <v>2974</v>
      </c>
      <c r="J22" s="1835">
        <v>7.13</v>
      </c>
      <c r="K22" s="1837">
        <v>12.2</v>
      </c>
      <c r="M22" s="1838">
        <f t="shared" si="0"/>
        <v>5.0699999999999994</v>
      </c>
    </row>
    <row r="23" spans="1:13" ht="18" hidden="1" customHeight="1" thickTop="1">
      <c r="A23" s="1832">
        <v>39052</v>
      </c>
      <c r="B23" s="1833">
        <v>11.98</v>
      </c>
      <c r="C23" s="1834" t="s">
        <v>661</v>
      </c>
      <c r="D23" s="1835">
        <v>11.84</v>
      </c>
      <c r="E23" s="1835">
        <v>8.86</v>
      </c>
      <c r="F23" s="1834" t="s">
        <v>661</v>
      </c>
      <c r="G23" s="1835" t="s">
        <v>2388</v>
      </c>
      <c r="H23" s="1836" t="s">
        <v>2975</v>
      </c>
      <c r="I23" s="1836" t="s">
        <v>2974</v>
      </c>
      <c r="J23" s="1835">
        <v>7.12</v>
      </c>
      <c r="K23" s="1837">
        <v>12.2</v>
      </c>
      <c r="M23" s="1838"/>
    </row>
    <row r="24" spans="1:13" ht="18" hidden="1" customHeight="1">
      <c r="A24" s="1832">
        <v>39083</v>
      </c>
      <c r="B24" s="1833">
        <v>13.07</v>
      </c>
      <c r="C24" s="1834" t="s">
        <v>661</v>
      </c>
      <c r="D24" s="1835">
        <v>12.99</v>
      </c>
      <c r="E24" s="1835">
        <v>8.5500000000000007</v>
      </c>
      <c r="F24" s="1834" t="s">
        <v>661</v>
      </c>
      <c r="G24" s="1835" t="s">
        <v>2388</v>
      </c>
      <c r="H24" s="1836" t="s">
        <v>2976</v>
      </c>
      <c r="I24" s="1836" t="s">
        <v>2974</v>
      </c>
      <c r="J24" s="1835">
        <v>7.26</v>
      </c>
      <c r="K24" s="1837">
        <v>12.22</v>
      </c>
      <c r="M24" s="1838"/>
    </row>
    <row r="25" spans="1:13" ht="18" hidden="1" customHeight="1">
      <c r="A25" s="1832">
        <v>39114</v>
      </c>
      <c r="B25" s="1833">
        <v>13.13</v>
      </c>
      <c r="C25" s="1834" t="s">
        <v>661</v>
      </c>
      <c r="D25" s="1835">
        <v>13.25</v>
      </c>
      <c r="E25" s="1835">
        <v>9.0399999999999991</v>
      </c>
      <c r="F25" s="1834" t="s">
        <v>661</v>
      </c>
      <c r="G25" s="1835" t="s">
        <v>2388</v>
      </c>
      <c r="H25" s="1836" t="s">
        <v>2976</v>
      </c>
      <c r="I25" s="1836" t="s">
        <v>2974</v>
      </c>
      <c r="J25" s="1835">
        <v>7.26</v>
      </c>
      <c r="K25" s="1837">
        <v>12.23</v>
      </c>
      <c r="M25" s="1838"/>
    </row>
    <row r="26" spans="1:13" ht="18" hidden="1" customHeight="1">
      <c r="A26" s="1832">
        <v>39142</v>
      </c>
      <c r="B26" s="1833">
        <v>11.94</v>
      </c>
      <c r="C26" s="1834" t="s">
        <v>661</v>
      </c>
      <c r="D26" s="1835">
        <v>12.11</v>
      </c>
      <c r="E26" s="1835">
        <v>8.31</v>
      </c>
      <c r="F26" s="1834" t="s">
        <v>661</v>
      </c>
      <c r="G26" s="1835" t="s">
        <v>2388</v>
      </c>
      <c r="H26" s="1836" t="s">
        <v>2977</v>
      </c>
      <c r="I26" s="1836" t="s">
        <v>2974</v>
      </c>
      <c r="J26" s="1835">
        <v>7.35</v>
      </c>
      <c r="K26" s="1837">
        <v>12.31</v>
      </c>
      <c r="M26" s="1838"/>
    </row>
    <row r="27" spans="1:13" ht="18" hidden="1" customHeight="1">
      <c r="A27" s="1832">
        <v>39173</v>
      </c>
      <c r="B27" s="1833">
        <v>11.52</v>
      </c>
      <c r="C27" s="1834" t="s">
        <v>661</v>
      </c>
      <c r="D27" s="1835">
        <v>11.47</v>
      </c>
      <c r="E27" s="1835">
        <v>8.1</v>
      </c>
      <c r="F27" s="1834" t="s">
        <v>661</v>
      </c>
      <c r="G27" s="1835" t="s">
        <v>2388</v>
      </c>
      <c r="H27" s="1836" t="s">
        <v>2978</v>
      </c>
      <c r="I27" s="1836" t="s">
        <v>2974</v>
      </c>
      <c r="J27" s="1835">
        <v>7.36</v>
      </c>
      <c r="K27" s="1837">
        <v>12.43</v>
      </c>
      <c r="M27" s="1838"/>
    </row>
    <row r="28" spans="1:13" ht="18" hidden="1" customHeight="1">
      <c r="A28" s="1832">
        <v>39203</v>
      </c>
      <c r="B28" s="1833">
        <v>11.65</v>
      </c>
      <c r="C28" s="1834" t="s">
        <v>661</v>
      </c>
      <c r="D28" s="1835">
        <v>11.67</v>
      </c>
      <c r="E28" s="1835">
        <v>8.3699999999999992</v>
      </c>
      <c r="F28" s="1834" t="s">
        <v>661</v>
      </c>
      <c r="G28" s="1835" t="s">
        <v>2388</v>
      </c>
      <c r="H28" s="1836" t="s">
        <v>2976</v>
      </c>
      <c r="I28" s="1836" t="s">
        <v>2974</v>
      </c>
      <c r="J28" s="1835">
        <v>7.3</v>
      </c>
      <c r="K28" s="1837">
        <v>12.35</v>
      </c>
      <c r="M28" s="1838"/>
    </row>
    <row r="29" spans="1:13" ht="18" hidden="1" customHeight="1">
      <c r="A29" s="1832">
        <v>39234</v>
      </c>
      <c r="B29" s="1833">
        <v>11.04</v>
      </c>
      <c r="C29" s="1834" t="s">
        <v>661</v>
      </c>
      <c r="D29" s="1835">
        <v>11.08</v>
      </c>
      <c r="E29" s="1835">
        <v>8.31</v>
      </c>
      <c r="F29" s="1834" t="s">
        <v>661</v>
      </c>
      <c r="G29" s="1835" t="s">
        <v>2388</v>
      </c>
      <c r="H29" s="1836" t="s">
        <v>2979</v>
      </c>
      <c r="I29" s="1836" t="s">
        <v>2974</v>
      </c>
      <c r="J29" s="1835">
        <v>7.21</v>
      </c>
      <c r="K29" s="1837">
        <v>12.35</v>
      </c>
      <c r="L29" s="1838"/>
      <c r="M29" s="1838"/>
    </row>
    <row r="30" spans="1:13" ht="18" hidden="1" customHeight="1">
      <c r="A30" s="1832">
        <v>39264</v>
      </c>
      <c r="B30" s="1833">
        <v>11.29</v>
      </c>
      <c r="C30" s="1834" t="s">
        <v>661</v>
      </c>
      <c r="D30" s="1835">
        <v>11.23</v>
      </c>
      <c r="E30" s="1835">
        <v>8.77</v>
      </c>
      <c r="F30" s="1834" t="s">
        <v>661</v>
      </c>
      <c r="G30" s="1835" t="s">
        <v>2389</v>
      </c>
      <c r="H30" s="1836" t="s">
        <v>2976</v>
      </c>
      <c r="I30" s="1836" t="s">
        <v>2980</v>
      </c>
      <c r="J30" s="1835">
        <v>7.79</v>
      </c>
      <c r="K30" s="1837">
        <v>12.73</v>
      </c>
      <c r="L30" s="1838"/>
      <c r="M30" s="1838"/>
    </row>
    <row r="31" spans="1:13" ht="18" hidden="1" customHeight="1">
      <c r="A31" s="1832">
        <v>39295</v>
      </c>
      <c r="B31" s="1833">
        <v>10.029999999999999</v>
      </c>
      <c r="C31" s="1834" t="s">
        <v>661</v>
      </c>
      <c r="D31" s="1835">
        <v>10.199999999999999</v>
      </c>
      <c r="E31" s="1835">
        <v>8.77</v>
      </c>
      <c r="F31" s="1834" t="s">
        <v>661</v>
      </c>
      <c r="G31" s="1835" t="s">
        <v>2389</v>
      </c>
      <c r="H31" s="1836" t="s">
        <v>2976</v>
      </c>
      <c r="I31" s="1836" t="s">
        <v>2972</v>
      </c>
      <c r="J31" s="1835">
        <v>7.88</v>
      </c>
      <c r="K31" s="1837">
        <v>12.76</v>
      </c>
      <c r="L31" s="1838"/>
      <c r="M31" s="1838"/>
    </row>
    <row r="32" spans="1:13" ht="18" hidden="1" customHeight="1">
      <c r="A32" s="1832">
        <v>39326</v>
      </c>
      <c r="B32" s="1833">
        <v>9.4499999999999993</v>
      </c>
      <c r="C32" s="1834" t="s">
        <v>661</v>
      </c>
      <c r="D32" s="1835">
        <v>9.49</v>
      </c>
      <c r="E32" s="1835">
        <v>8.94</v>
      </c>
      <c r="F32" s="1834" t="s">
        <v>661</v>
      </c>
      <c r="G32" s="1835" t="s">
        <v>2389</v>
      </c>
      <c r="H32" s="1836" t="s">
        <v>2976</v>
      </c>
      <c r="I32" s="1836" t="s">
        <v>2981</v>
      </c>
      <c r="J32" s="1835">
        <v>7.79</v>
      </c>
      <c r="K32" s="1837">
        <v>12.72</v>
      </c>
      <c r="L32" s="1838"/>
      <c r="M32" s="1838"/>
    </row>
    <row r="33" spans="1:13" ht="18" hidden="1" customHeight="1">
      <c r="A33" s="1832">
        <v>39356</v>
      </c>
      <c r="B33" s="1833">
        <v>9.14</v>
      </c>
      <c r="C33" s="1834" t="s">
        <v>661</v>
      </c>
      <c r="D33" s="1835">
        <v>9.24</v>
      </c>
      <c r="E33" s="1835">
        <v>9.2200000000000006</v>
      </c>
      <c r="F33" s="1834" t="s">
        <v>661</v>
      </c>
      <c r="G33" s="1835" t="s">
        <v>2389</v>
      </c>
      <c r="H33" s="1836" t="s">
        <v>2978</v>
      </c>
      <c r="I33" s="1836" t="s">
        <v>2982</v>
      </c>
      <c r="J33" s="1835">
        <v>7.72</v>
      </c>
      <c r="K33" s="1837">
        <v>12.77</v>
      </c>
      <c r="L33" s="1838"/>
      <c r="M33" s="1838"/>
    </row>
    <row r="34" spans="1:13" ht="18" hidden="1" customHeight="1">
      <c r="A34" s="1832">
        <v>39387</v>
      </c>
      <c r="B34" s="1833">
        <v>9.16</v>
      </c>
      <c r="C34" s="1834" t="s">
        <v>661</v>
      </c>
      <c r="D34" s="1835">
        <v>9.07</v>
      </c>
      <c r="E34" s="1835">
        <v>8.6</v>
      </c>
      <c r="F34" s="1834" t="s">
        <v>661</v>
      </c>
      <c r="G34" s="1835" t="s">
        <v>2389</v>
      </c>
      <c r="H34" s="1836" t="s">
        <v>2983</v>
      </c>
      <c r="I34" s="1836" t="s">
        <v>2981</v>
      </c>
      <c r="J34" s="1835">
        <v>7.72</v>
      </c>
      <c r="K34" s="1837">
        <v>12.82</v>
      </c>
      <c r="L34" s="1838"/>
      <c r="M34" s="1838"/>
    </row>
    <row r="35" spans="1:13" ht="18" hidden="1" customHeight="1">
      <c r="A35" s="1832">
        <v>39417</v>
      </c>
      <c r="B35" s="1833">
        <v>10.029999999999999</v>
      </c>
      <c r="C35" s="1834" t="s">
        <v>661</v>
      </c>
      <c r="D35" s="1835">
        <v>9.93</v>
      </c>
      <c r="E35" s="1835">
        <v>8.75</v>
      </c>
      <c r="F35" s="1834" t="s">
        <v>661</v>
      </c>
      <c r="G35" s="1835" t="s">
        <v>2389</v>
      </c>
      <c r="H35" s="1836" t="s">
        <v>2983</v>
      </c>
      <c r="I35" s="1836" t="s">
        <v>2981</v>
      </c>
      <c r="J35" s="1835">
        <v>7.43</v>
      </c>
      <c r="K35" s="1837">
        <v>12.84</v>
      </c>
      <c r="L35" s="1838"/>
      <c r="M35" s="1838"/>
    </row>
    <row r="36" spans="1:13" ht="18" hidden="1" customHeight="1">
      <c r="A36" s="1832">
        <v>39455</v>
      </c>
      <c r="B36" s="1833">
        <v>9.85</v>
      </c>
      <c r="C36" s="1834" t="s">
        <v>661</v>
      </c>
      <c r="D36" s="1835">
        <v>9.82</v>
      </c>
      <c r="E36" s="1835">
        <v>8.67</v>
      </c>
      <c r="F36" s="1834" t="s">
        <v>661</v>
      </c>
      <c r="G36" s="1835" t="s">
        <v>2389</v>
      </c>
      <c r="H36" s="1836" t="s">
        <v>2976</v>
      </c>
      <c r="I36" s="1836" t="s">
        <v>2981</v>
      </c>
      <c r="J36" s="1835">
        <v>7.58</v>
      </c>
      <c r="K36" s="1837">
        <v>13.03</v>
      </c>
      <c r="L36" s="1838"/>
      <c r="M36" s="1838"/>
    </row>
    <row r="37" spans="1:13" ht="18" hidden="1" customHeight="1">
      <c r="A37" s="1832">
        <v>39486</v>
      </c>
      <c r="B37" s="1833">
        <v>8.26</v>
      </c>
      <c r="C37" s="1834" t="s">
        <v>661</v>
      </c>
      <c r="D37" s="1835">
        <v>8.6300000000000008</v>
      </c>
      <c r="E37" s="1835">
        <v>8.0500000000000007</v>
      </c>
      <c r="F37" s="1834" t="s">
        <v>661</v>
      </c>
      <c r="G37" s="1835" t="s">
        <v>2390</v>
      </c>
      <c r="H37" s="1836" t="s">
        <v>2984</v>
      </c>
      <c r="I37" s="1836" t="s">
        <v>1744</v>
      </c>
      <c r="J37" s="1835">
        <v>7.36</v>
      </c>
      <c r="K37" s="1837">
        <v>12.87</v>
      </c>
      <c r="L37" s="1838"/>
      <c r="M37" s="1838"/>
    </row>
    <row r="38" spans="1:13" ht="18" hidden="1" customHeight="1">
      <c r="A38" s="1832">
        <v>39515</v>
      </c>
      <c r="B38" s="1833">
        <v>7.51</v>
      </c>
      <c r="C38" s="1834" t="s">
        <v>661</v>
      </c>
      <c r="D38" s="1835">
        <v>7.6</v>
      </c>
      <c r="E38" s="1835">
        <v>7.48</v>
      </c>
      <c r="F38" s="1834" t="s">
        <v>661</v>
      </c>
      <c r="G38" s="1835" t="s">
        <v>2391</v>
      </c>
      <c r="H38" s="1836" t="s">
        <v>2984</v>
      </c>
      <c r="I38" s="1836" t="s">
        <v>2985</v>
      </c>
      <c r="J38" s="1835">
        <v>7.08</v>
      </c>
      <c r="K38" s="1837">
        <v>12.46</v>
      </c>
      <c r="L38" s="1838"/>
      <c r="M38" s="1838"/>
    </row>
    <row r="39" spans="1:13" ht="18" hidden="1" customHeight="1">
      <c r="A39" s="1832">
        <v>39546</v>
      </c>
      <c r="B39" s="1833">
        <v>7.56</v>
      </c>
      <c r="C39" s="1834" t="s">
        <v>661</v>
      </c>
      <c r="D39" s="1835">
        <v>7.49</v>
      </c>
      <c r="E39" s="1835">
        <v>6.84</v>
      </c>
      <c r="F39" s="1834" t="s">
        <v>661</v>
      </c>
      <c r="G39" s="1835" t="s">
        <v>1085</v>
      </c>
      <c r="H39" s="1836" t="s">
        <v>2984</v>
      </c>
      <c r="I39" s="1836" t="s">
        <v>1413</v>
      </c>
      <c r="J39" s="1835">
        <v>6.91</v>
      </c>
      <c r="K39" s="1837">
        <v>12.49</v>
      </c>
      <c r="L39" s="1838"/>
      <c r="M39" s="1838"/>
    </row>
    <row r="40" spans="1:13" ht="18" hidden="1" customHeight="1">
      <c r="A40" s="1832">
        <v>39576</v>
      </c>
      <c r="B40" s="1833">
        <v>7.33</v>
      </c>
      <c r="C40" s="1834" t="s">
        <v>661</v>
      </c>
      <c r="D40" s="1835">
        <v>7.34</v>
      </c>
      <c r="E40" s="1835">
        <v>6.67</v>
      </c>
      <c r="F40" s="1834" t="s">
        <v>661</v>
      </c>
      <c r="G40" s="1835" t="s">
        <v>1100</v>
      </c>
      <c r="H40" s="1836" t="s">
        <v>2984</v>
      </c>
      <c r="I40" s="1836" t="s">
        <v>2986</v>
      </c>
      <c r="J40" s="1835">
        <v>6.54</v>
      </c>
      <c r="K40" s="1837">
        <v>12.03</v>
      </c>
      <c r="L40" s="1838"/>
      <c r="M40" s="1838"/>
    </row>
    <row r="41" spans="1:13" ht="18" hidden="1" customHeight="1">
      <c r="A41" s="1832">
        <v>39607</v>
      </c>
      <c r="B41" s="1833">
        <v>7.37</v>
      </c>
      <c r="C41" s="1834" t="s">
        <v>661</v>
      </c>
      <c r="D41" s="1835">
        <v>7.35</v>
      </c>
      <c r="E41" s="1835">
        <v>6.54</v>
      </c>
      <c r="F41" s="1834" t="s">
        <v>661</v>
      </c>
      <c r="G41" s="1835" t="s">
        <v>1100</v>
      </c>
      <c r="H41" s="1836" t="s">
        <v>2987</v>
      </c>
      <c r="I41" s="1836" t="s">
        <v>2988</v>
      </c>
      <c r="J41" s="1835">
        <v>6.4</v>
      </c>
      <c r="K41" s="1837">
        <v>12.03</v>
      </c>
      <c r="L41" s="1838"/>
      <c r="M41" s="1838"/>
    </row>
    <row r="42" spans="1:13" ht="13.5" hidden="1" thickTop="1">
      <c r="A42" s="1832">
        <v>39637</v>
      </c>
      <c r="B42" s="1833">
        <v>7.36</v>
      </c>
      <c r="C42" s="1834" t="s">
        <v>661</v>
      </c>
      <c r="D42" s="1835">
        <v>7.37</v>
      </c>
      <c r="E42" s="1835">
        <v>6.82</v>
      </c>
      <c r="F42" s="1834" t="s">
        <v>661</v>
      </c>
      <c r="G42" s="1835" t="s">
        <v>2392</v>
      </c>
      <c r="H42" s="1836" t="s">
        <v>2987</v>
      </c>
      <c r="I42" s="1836" t="s">
        <v>2989</v>
      </c>
      <c r="J42" s="1835">
        <v>6.6</v>
      </c>
      <c r="K42" s="1837">
        <v>12.04</v>
      </c>
      <c r="L42" s="1838"/>
      <c r="M42" s="1838"/>
    </row>
    <row r="43" spans="1:13" ht="13.5" hidden="1" thickTop="1">
      <c r="A43" s="1832">
        <v>39668</v>
      </c>
      <c r="B43" s="1833">
        <v>7.93</v>
      </c>
      <c r="C43" s="1834" t="s">
        <v>661</v>
      </c>
      <c r="D43" s="1835">
        <v>7.83</v>
      </c>
      <c r="E43" s="1835">
        <v>6.78</v>
      </c>
      <c r="F43" s="1834" t="s">
        <v>661</v>
      </c>
      <c r="G43" s="1835" t="s">
        <v>2392</v>
      </c>
      <c r="H43" s="1836" t="s">
        <v>2987</v>
      </c>
      <c r="I43" s="1836" t="s">
        <v>2990</v>
      </c>
      <c r="J43" s="1835">
        <v>6.65</v>
      </c>
      <c r="K43" s="1837">
        <v>12.31</v>
      </c>
      <c r="L43" s="1838"/>
      <c r="M43" s="1838"/>
    </row>
    <row r="44" spans="1:13" ht="18" hidden="1" customHeight="1">
      <c r="A44" s="1832">
        <v>39699</v>
      </c>
      <c r="B44" s="1833">
        <v>8.91</v>
      </c>
      <c r="C44" s="1834" t="s">
        <v>661</v>
      </c>
      <c r="D44" s="1835">
        <v>8.6999999999999993</v>
      </c>
      <c r="E44" s="1835">
        <v>8.9700000000000006</v>
      </c>
      <c r="F44" s="1834" t="s">
        <v>661</v>
      </c>
      <c r="G44" s="1835" t="s">
        <v>2392</v>
      </c>
      <c r="H44" s="1836" t="s">
        <v>2987</v>
      </c>
      <c r="I44" s="1836" t="s">
        <v>2991</v>
      </c>
      <c r="J44" s="1835">
        <v>6.7</v>
      </c>
      <c r="K44" s="1837">
        <v>12.27</v>
      </c>
      <c r="L44" s="1838"/>
      <c r="M44" s="1838"/>
    </row>
    <row r="45" spans="1:13" s="1840" customFormat="1" ht="18" hidden="1" customHeight="1">
      <c r="A45" s="1832">
        <v>39729</v>
      </c>
      <c r="B45" s="1833">
        <v>9.4</v>
      </c>
      <c r="C45" s="1834" t="s">
        <v>661</v>
      </c>
      <c r="D45" s="1835">
        <v>9.39</v>
      </c>
      <c r="E45" s="1835">
        <v>8.94</v>
      </c>
      <c r="F45" s="1834" t="s">
        <v>661</v>
      </c>
      <c r="G45" s="1835" t="s">
        <v>2392</v>
      </c>
      <c r="H45" s="1836" t="s">
        <v>2987</v>
      </c>
      <c r="I45" s="1836" t="s">
        <v>2991</v>
      </c>
      <c r="J45" s="1835">
        <v>6.76</v>
      </c>
      <c r="K45" s="1837">
        <v>12.26</v>
      </c>
      <c r="L45" s="1839"/>
      <c r="M45" s="1838"/>
    </row>
    <row r="46" spans="1:13" s="1840" customFormat="1" ht="18" hidden="1" customHeight="1">
      <c r="A46" s="1832">
        <v>39760</v>
      </c>
      <c r="B46" s="1833">
        <v>9.24</v>
      </c>
      <c r="C46" s="1834" t="s">
        <v>661</v>
      </c>
      <c r="D46" s="1835">
        <v>9.2799999999999994</v>
      </c>
      <c r="E46" s="1835">
        <v>8.89</v>
      </c>
      <c r="F46" s="1834" t="s">
        <v>661</v>
      </c>
      <c r="G46" s="1835" t="s">
        <v>2393</v>
      </c>
      <c r="H46" s="1836" t="s">
        <v>2885</v>
      </c>
      <c r="I46" s="1836" t="s">
        <v>1748</v>
      </c>
      <c r="J46" s="1835">
        <v>6.38</v>
      </c>
      <c r="K46" s="1837">
        <v>11.74</v>
      </c>
      <c r="L46" s="1839"/>
      <c r="M46" s="1838"/>
    </row>
    <row r="47" spans="1:13" s="1840" customFormat="1" ht="18" hidden="1" customHeight="1">
      <c r="A47" s="1832">
        <v>39790</v>
      </c>
      <c r="B47" s="1833">
        <v>8.9600000000000009</v>
      </c>
      <c r="C47" s="1834" t="s">
        <v>661</v>
      </c>
      <c r="D47" s="1835">
        <v>9.06</v>
      </c>
      <c r="E47" s="1835">
        <v>7.24</v>
      </c>
      <c r="F47" s="1834" t="s">
        <v>661</v>
      </c>
      <c r="G47" s="1835" t="s">
        <v>964</v>
      </c>
      <c r="H47" s="1836" t="s">
        <v>2987</v>
      </c>
      <c r="I47" s="1836" t="s">
        <v>1414</v>
      </c>
      <c r="J47" s="1835">
        <v>5.77</v>
      </c>
      <c r="K47" s="1837">
        <v>11.04</v>
      </c>
      <c r="L47" s="1839"/>
      <c r="M47" s="1838"/>
    </row>
    <row r="48" spans="1:13" s="1840" customFormat="1" ht="18" hidden="1" customHeight="1">
      <c r="A48" s="1832">
        <v>39821</v>
      </c>
      <c r="B48" s="1833">
        <v>8.0399999999999991</v>
      </c>
      <c r="C48" s="1834" t="s">
        <v>661</v>
      </c>
      <c r="D48" s="1835">
        <v>8.2100000000000009</v>
      </c>
      <c r="E48" s="1835">
        <v>6.96</v>
      </c>
      <c r="F48" s="1834" t="s">
        <v>661</v>
      </c>
      <c r="G48" s="1835" t="s">
        <v>964</v>
      </c>
      <c r="H48" s="1836" t="s">
        <v>2987</v>
      </c>
      <c r="I48" s="1836" t="s">
        <v>1414</v>
      </c>
      <c r="J48" s="1835">
        <v>5.79</v>
      </c>
      <c r="K48" s="1837">
        <v>10.99</v>
      </c>
      <c r="L48" s="1839"/>
      <c r="M48" s="1839"/>
    </row>
    <row r="49" spans="1:13" s="1840" customFormat="1" ht="18" hidden="1" customHeight="1">
      <c r="A49" s="1832">
        <v>39852</v>
      </c>
      <c r="B49" s="1833">
        <v>7.02</v>
      </c>
      <c r="C49" s="1834" t="s">
        <v>661</v>
      </c>
      <c r="D49" s="1835">
        <v>7.17</v>
      </c>
      <c r="E49" s="1835">
        <v>6.53</v>
      </c>
      <c r="F49" s="1834" t="s">
        <v>661</v>
      </c>
      <c r="G49" s="1835" t="s">
        <v>964</v>
      </c>
      <c r="H49" s="1836" t="s">
        <v>2987</v>
      </c>
      <c r="I49" s="1836" t="s">
        <v>1414</v>
      </c>
      <c r="J49" s="1835">
        <v>5.79</v>
      </c>
      <c r="K49" s="1837">
        <v>10.98</v>
      </c>
      <c r="L49" s="1839"/>
      <c r="M49" s="1839"/>
    </row>
    <row r="50" spans="1:13" s="1840" customFormat="1" ht="18" hidden="1" customHeight="1">
      <c r="A50" s="1832">
        <v>39880</v>
      </c>
      <c r="B50" s="1833">
        <v>6.07</v>
      </c>
      <c r="C50" s="1834" t="s">
        <v>661</v>
      </c>
      <c r="D50" s="1835">
        <v>6.31</v>
      </c>
      <c r="E50" s="1835">
        <v>5.77</v>
      </c>
      <c r="F50" s="1834" t="s">
        <v>661</v>
      </c>
      <c r="G50" s="1835" t="s">
        <v>2394</v>
      </c>
      <c r="H50" s="1836" t="s">
        <v>2984</v>
      </c>
      <c r="I50" s="1836" t="s">
        <v>1414</v>
      </c>
      <c r="J50" s="1835">
        <v>5.44</v>
      </c>
      <c r="K50" s="1837">
        <v>10.54</v>
      </c>
      <c r="L50" s="1839"/>
      <c r="M50" s="1839"/>
    </row>
    <row r="51" spans="1:13" s="1840" customFormat="1" ht="18" hidden="1" customHeight="1">
      <c r="A51" s="1832">
        <v>39911</v>
      </c>
      <c r="B51" s="1833">
        <v>5.09</v>
      </c>
      <c r="C51" s="1834" t="s">
        <v>661</v>
      </c>
      <c r="D51" s="1835">
        <v>5.0999999999999996</v>
      </c>
      <c r="E51" s="1835">
        <v>4.8099999999999996</v>
      </c>
      <c r="F51" s="1834" t="s">
        <v>661</v>
      </c>
      <c r="G51" s="1835" t="s">
        <v>2395</v>
      </c>
      <c r="H51" s="1836" t="s">
        <v>2187</v>
      </c>
      <c r="I51" s="1836" t="s">
        <v>1414</v>
      </c>
      <c r="J51" s="1835">
        <v>4.79</v>
      </c>
      <c r="K51" s="1837">
        <v>10.220000000000001</v>
      </c>
      <c r="L51" s="1839"/>
      <c r="M51" s="1839"/>
    </row>
    <row r="52" spans="1:13" s="1840" customFormat="1" ht="18" hidden="1" customHeight="1">
      <c r="A52" s="1832">
        <v>39941</v>
      </c>
      <c r="B52" s="1833">
        <v>4.79</v>
      </c>
      <c r="C52" s="1834" t="s">
        <v>661</v>
      </c>
      <c r="D52" s="1835">
        <v>4.8099999999999996</v>
      </c>
      <c r="E52" s="1835">
        <v>4.7</v>
      </c>
      <c r="F52" s="1834" t="s">
        <v>661</v>
      </c>
      <c r="G52" s="1835" t="s">
        <v>2395</v>
      </c>
      <c r="H52" s="1836" t="s">
        <v>2187</v>
      </c>
      <c r="I52" s="1836" t="s">
        <v>1414</v>
      </c>
      <c r="J52" s="1835">
        <v>4.8099999999999996</v>
      </c>
      <c r="K52" s="1837">
        <v>10.210000000000001</v>
      </c>
      <c r="L52" s="1839"/>
      <c r="M52" s="1839"/>
    </row>
    <row r="53" spans="1:13" s="1840" customFormat="1" ht="18" hidden="1" customHeight="1">
      <c r="A53" s="1832">
        <v>39972</v>
      </c>
      <c r="B53" s="1833">
        <v>4.72</v>
      </c>
      <c r="C53" s="1834" t="s">
        <v>661</v>
      </c>
      <c r="D53" s="1835">
        <v>4.75</v>
      </c>
      <c r="E53" s="1835">
        <v>4.28</v>
      </c>
      <c r="F53" s="1834" t="s">
        <v>661</v>
      </c>
      <c r="G53" s="1835" t="s">
        <v>2395</v>
      </c>
      <c r="H53" s="1836" t="s">
        <v>2187</v>
      </c>
      <c r="I53" s="1836" t="s">
        <v>1414</v>
      </c>
      <c r="J53" s="1835">
        <v>4.78</v>
      </c>
      <c r="K53" s="1837">
        <v>10.119999999999999</v>
      </c>
      <c r="L53" s="1839"/>
      <c r="M53" s="1839"/>
    </row>
    <row r="54" spans="1:13" s="1840" customFormat="1" ht="18" hidden="1" customHeight="1" thickTop="1">
      <c r="A54" s="1832">
        <v>40002</v>
      </c>
      <c r="B54" s="1833">
        <v>4.66</v>
      </c>
      <c r="C54" s="1834" t="s">
        <v>661</v>
      </c>
      <c r="D54" s="1835">
        <v>4.6900000000000004</v>
      </c>
      <c r="E54" s="1835">
        <v>4.05</v>
      </c>
      <c r="F54" s="1834" t="s">
        <v>661</v>
      </c>
      <c r="G54" s="1835" t="s">
        <v>2395</v>
      </c>
      <c r="H54" s="1836" t="s">
        <v>2187</v>
      </c>
      <c r="I54" s="1836" t="s">
        <v>1414</v>
      </c>
      <c r="J54" s="1835">
        <v>4.75</v>
      </c>
      <c r="K54" s="1837">
        <v>10.16</v>
      </c>
      <c r="L54" s="1839"/>
      <c r="M54" s="1839"/>
    </row>
    <row r="55" spans="1:13" s="1840" customFormat="1" ht="18" hidden="1" customHeight="1">
      <c r="A55" s="1832">
        <v>40033</v>
      </c>
      <c r="B55" s="1833">
        <v>4.5</v>
      </c>
      <c r="C55" s="1834" t="s">
        <v>661</v>
      </c>
      <c r="D55" s="1835">
        <v>4.51</v>
      </c>
      <c r="E55" s="1835">
        <v>4.0199999999999996</v>
      </c>
      <c r="F55" s="1834" t="s">
        <v>661</v>
      </c>
      <c r="G55" s="1835" t="s">
        <v>2395</v>
      </c>
      <c r="H55" s="1836" t="s">
        <v>2187</v>
      </c>
      <c r="I55" s="1836" t="s">
        <v>1414</v>
      </c>
      <c r="J55" s="1835">
        <v>4.74</v>
      </c>
      <c r="K55" s="1837">
        <v>10.119999999999999</v>
      </c>
      <c r="L55" s="1839"/>
      <c r="M55" s="1839"/>
    </row>
    <row r="56" spans="1:13" s="1840" customFormat="1" ht="18" hidden="1" customHeight="1">
      <c r="A56" s="1832">
        <v>40064</v>
      </c>
      <c r="B56" s="1833">
        <v>4.45</v>
      </c>
      <c r="C56" s="1834" t="s">
        <v>661</v>
      </c>
      <c r="D56" s="1835">
        <v>4.4400000000000004</v>
      </c>
      <c r="E56" s="1835">
        <v>4.0599999999999996</v>
      </c>
      <c r="F56" s="1834" t="s">
        <v>661</v>
      </c>
      <c r="G56" s="1835" t="s">
        <v>2395</v>
      </c>
      <c r="H56" s="1836" t="s">
        <v>2187</v>
      </c>
      <c r="I56" s="1836" t="s">
        <v>1414</v>
      </c>
      <c r="J56" s="1835">
        <v>4.66</v>
      </c>
      <c r="K56" s="1837">
        <v>10.09</v>
      </c>
      <c r="L56" s="1839"/>
      <c r="M56" s="1839"/>
    </row>
    <row r="57" spans="1:13" s="1840" customFormat="1" ht="18" hidden="1" customHeight="1">
      <c r="A57" s="1832">
        <v>40094</v>
      </c>
      <c r="B57" s="1833">
        <v>4.71</v>
      </c>
      <c r="C57" s="1834" t="s">
        <v>661</v>
      </c>
      <c r="D57" s="1835">
        <v>4.7300000000000004</v>
      </c>
      <c r="E57" s="1835">
        <v>4.04</v>
      </c>
      <c r="F57" s="1834" t="s">
        <v>661</v>
      </c>
      <c r="G57" s="1835" t="s">
        <v>2395</v>
      </c>
      <c r="H57" s="1836" t="s">
        <v>2187</v>
      </c>
      <c r="I57" s="1836" t="s">
        <v>1414</v>
      </c>
      <c r="J57" s="1835">
        <v>4.6500000000000004</v>
      </c>
      <c r="K57" s="1837">
        <v>10.15</v>
      </c>
      <c r="L57" s="1839"/>
      <c r="M57" s="1839"/>
    </row>
    <row r="58" spans="1:13" s="1840" customFormat="1" ht="18" hidden="1" customHeight="1">
      <c r="A58" s="1832">
        <v>40125</v>
      </c>
      <c r="B58" s="1833">
        <v>4.49</v>
      </c>
      <c r="C58" s="1834" t="s">
        <v>661</v>
      </c>
      <c r="D58" s="1835">
        <v>4.53</v>
      </c>
      <c r="E58" s="1835">
        <v>4.0199999999999996</v>
      </c>
      <c r="F58" s="1834" t="s">
        <v>661</v>
      </c>
      <c r="G58" s="1835" t="s">
        <v>2395</v>
      </c>
      <c r="H58" s="1836" t="s">
        <v>2187</v>
      </c>
      <c r="I58" s="1836" t="s">
        <v>1414</v>
      </c>
      <c r="J58" s="1835">
        <v>4.66</v>
      </c>
      <c r="K58" s="1837">
        <v>10.08</v>
      </c>
      <c r="L58" s="1839"/>
      <c r="M58" s="1839"/>
    </row>
    <row r="59" spans="1:13" s="1840" customFormat="1" ht="18" hidden="1" customHeight="1">
      <c r="A59" s="1832">
        <v>40155</v>
      </c>
      <c r="B59" s="1833">
        <v>4.4000000000000004</v>
      </c>
      <c r="C59" s="1834" t="s">
        <v>661</v>
      </c>
      <c r="D59" s="1835">
        <v>4.4000000000000004</v>
      </c>
      <c r="E59" s="1835">
        <v>4.26</v>
      </c>
      <c r="F59" s="1834" t="s">
        <v>661</v>
      </c>
      <c r="G59" s="1835" t="s">
        <v>2395</v>
      </c>
      <c r="H59" s="1836" t="s">
        <v>2187</v>
      </c>
      <c r="I59" s="1836" t="s">
        <v>1414</v>
      </c>
      <c r="J59" s="1835">
        <v>4.57</v>
      </c>
      <c r="K59" s="1837">
        <v>10.08</v>
      </c>
      <c r="L59" s="1839"/>
      <c r="M59" s="1839"/>
    </row>
    <row r="60" spans="1:13" s="1840" customFormat="1" ht="18" hidden="1" customHeight="1" thickTop="1">
      <c r="A60" s="1832">
        <v>40186</v>
      </c>
      <c r="B60" s="1833">
        <v>4.5199999999999996</v>
      </c>
      <c r="C60" s="1834" t="s">
        <v>661</v>
      </c>
      <c r="D60" s="1835">
        <v>4.51</v>
      </c>
      <c r="E60" s="1835">
        <v>4.26</v>
      </c>
      <c r="F60" s="1834" t="s">
        <v>661</v>
      </c>
      <c r="G60" s="1835" t="s">
        <v>2395</v>
      </c>
      <c r="H60" s="1836" t="s">
        <v>2187</v>
      </c>
      <c r="I60" s="1836" t="s">
        <v>1417</v>
      </c>
      <c r="J60" s="1835" t="s">
        <v>2992</v>
      </c>
      <c r="K60" s="1837">
        <v>10.050000000000001</v>
      </c>
      <c r="L60" s="1839"/>
      <c r="M60" s="1839"/>
    </row>
    <row r="61" spans="1:13" s="1840" customFormat="1" ht="18" hidden="1" customHeight="1" thickTop="1">
      <c r="A61" s="1832">
        <v>40217</v>
      </c>
      <c r="B61" s="1833">
        <v>4.4800000000000004</v>
      </c>
      <c r="C61" s="1834" t="s">
        <v>661</v>
      </c>
      <c r="D61" s="1835">
        <v>4.5</v>
      </c>
      <c r="E61" s="1835">
        <v>3.91</v>
      </c>
      <c r="F61" s="1834" t="s">
        <v>661</v>
      </c>
      <c r="G61" s="1835" t="s">
        <v>2395</v>
      </c>
      <c r="H61" s="1836" t="s">
        <v>2187</v>
      </c>
      <c r="I61" s="1836" t="s">
        <v>1417</v>
      </c>
      <c r="J61" s="1835">
        <v>4.55</v>
      </c>
      <c r="K61" s="1837">
        <v>10.01</v>
      </c>
      <c r="L61" s="1839"/>
      <c r="M61" s="1839"/>
    </row>
    <row r="62" spans="1:13" s="1840" customFormat="1" ht="18" hidden="1" customHeight="1" thickTop="1">
      <c r="A62" s="1832">
        <v>40245</v>
      </c>
      <c r="B62" s="1833">
        <v>4.24</v>
      </c>
      <c r="C62" s="1834" t="s">
        <v>661</v>
      </c>
      <c r="D62" s="1835">
        <v>4.3099999999999996</v>
      </c>
      <c r="E62" s="1835">
        <v>3.88</v>
      </c>
      <c r="F62" s="1834" t="s">
        <v>661</v>
      </c>
      <c r="G62" s="1835" t="s">
        <v>2395</v>
      </c>
      <c r="H62" s="1836" t="s">
        <v>2187</v>
      </c>
      <c r="I62" s="1836" t="s">
        <v>1417</v>
      </c>
      <c r="J62" s="1835">
        <v>4.5199999999999996</v>
      </c>
      <c r="K62" s="1837">
        <v>9.99</v>
      </c>
      <c r="L62" s="1839"/>
      <c r="M62" s="1839"/>
    </row>
    <row r="63" spans="1:13" s="1840" customFormat="1" ht="18" hidden="1" customHeight="1" thickTop="1">
      <c r="A63" s="1832">
        <v>40276</v>
      </c>
      <c r="B63" s="1833">
        <v>4.49</v>
      </c>
      <c r="C63" s="1834" t="s">
        <v>661</v>
      </c>
      <c r="D63" s="1835">
        <v>4.51</v>
      </c>
      <c r="E63" s="1835">
        <v>3.94</v>
      </c>
      <c r="F63" s="1834" t="s">
        <v>661</v>
      </c>
      <c r="G63" s="1835" t="s">
        <v>2395</v>
      </c>
      <c r="H63" s="1836" t="s">
        <v>2187</v>
      </c>
      <c r="I63" s="1836" t="s">
        <v>1417</v>
      </c>
      <c r="J63" s="1835">
        <v>4.5599999999999996</v>
      </c>
      <c r="K63" s="1837">
        <v>10.029999999999999</v>
      </c>
      <c r="L63" s="1839"/>
      <c r="M63" s="1839"/>
    </row>
    <row r="64" spans="1:13" s="1840" customFormat="1" ht="18" hidden="1" customHeight="1" thickTop="1">
      <c r="A64" s="1832">
        <v>40306</v>
      </c>
      <c r="B64" s="1833">
        <v>3.91</v>
      </c>
      <c r="C64" s="1841" t="s">
        <v>661</v>
      </c>
      <c r="D64" s="1835">
        <v>4.04</v>
      </c>
      <c r="E64" s="1835">
        <v>3.74</v>
      </c>
      <c r="F64" s="1841" t="s">
        <v>661</v>
      </c>
      <c r="G64" s="1835" t="s">
        <v>2395</v>
      </c>
      <c r="H64" s="1836" t="s">
        <v>2187</v>
      </c>
      <c r="I64" s="1836" t="s">
        <v>1417</v>
      </c>
      <c r="J64" s="1835">
        <v>4.5199999999999996</v>
      </c>
      <c r="K64" s="1837">
        <v>10.02</v>
      </c>
      <c r="L64" s="1839"/>
      <c r="M64" s="1839"/>
    </row>
    <row r="65" spans="1:13" s="1840" customFormat="1" ht="18" hidden="1" customHeight="1" thickTop="1">
      <c r="A65" s="1832">
        <v>40337</v>
      </c>
      <c r="B65" s="1833">
        <v>3.48</v>
      </c>
      <c r="C65" s="1841" t="s">
        <v>661</v>
      </c>
      <c r="D65" s="1835">
        <v>3.47</v>
      </c>
      <c r="E65" s="1835">
        <v>3.36</v>
      </c>
      <c r="F65" s="1841" t="s">
        <v>661</v>
      </c>
      <c r="G65" s="1835" t="s">
        <v>2395</v>
      </c>
      <c r="H65" s="1836" t="s">
        <v>2187</v>
      </c>
      <c r="I65" s="1836" t="s">
        <v>1417</v>
      </c>
      <c r="J65" s="1835">
        <v>4.57</v>
      </c>
      <c r="K65" s="1837">
        <v>10.06</v>
      </c>
      <c r="L65" s="1839"/>
      <c r="M65" s="1839"/>
    </row>
    <row r="66" spans="1:13" s="1840" customFormat="1" ht="18" hidden="1" customHeight="1" thickTop="1">
      <c r="A66" s="1832">
        <v>40367</v>
      </c>
      <c r="B66" s="1833">
        <v>3.77</v>
      </c>
      <c r="C66" s="1841" t="s">
        <v>661</v>
      </c>
      <c r="D66" s="1835">
        <v>3.87</v>
      </c>
      <c r="E66" s="1835">
        <v>3.45</v>
      </c>
      <c r="F66" s="1841" t="s">
        <v>661</v>
      </c>
      <c r="G66" s="1835" t="s">
        <v>2395</v>
      </c>
      <c r="H66" s="1836" t="s">
        <v>2187</v>
      </c>
      <c r="I66" s="1836" t="s">
        <v>1417</v>
      </c>
      <c r="J66" s="1842">
        <v>4.58</v>
      </c>
      <c r="K66" s="1837">
        <v>9.98</v>
      </c>
      <c r="L66" s="1839"/>
      <c r="M66" s="1839"/>
    </row>
    <row r="67" spans="1:13" s="1840" customFormat="1" ht="18" hidden="1" customHeight="1" thickTop="1">
      <c r="A67" s="1832">
        <v>40398</v>
      </c>
      <c r="B67" s="1833">
        <v>2.92</v>
      </c>
      <c r="C67" s="1841" t="s">
        <v>661</v>
      </c>
      <c r="D67" s="1835">
        <v>3.02</v>
      </c>
      <c r="E67" s="1835">
        <v>2.52</v>
      </c>
      <c r="F67" s="1841" t="s">
        <v>661</v>
      </c>
      <c r="G67" s="1835" t="s">
        <v>2395</v>
      </c>
      <c r="H67" s="1836" t="s">
        <v>2187</v>
      </c>
      <c r="I67" s="1836" t="s">
        <v>1417</v>
      </c>
      <c r="J67" s="1842">
        <v>4.5599999999999996</v>
      </c>
      <c r="K67" s="1837">
        <v>9.91</v>
      </c>
      <c r="L67" s="1839"/>
      <c r="M67" s="1839"/>
    </row>
    <row r="68" spans="1:13" s="1840" customFormat="1" ht="18" hidden="1" customHeight="1" thickTop="1">
      <c r="A68" s="1832">
        <v>40429</v>
      </c>
      <c r="B68" s="1833">
        <v>2.81</v>
      </c>
      <c r="C68" s="1841" t="s">
        <v>661</v>
      </c>
      <c r="D68" s="1835">
        <v>2.73</v>
      </c>
      <c r="E68" s="1835">
        <v>2.0699999999999998</v>
      </c>
      <c r="F68" s="1841" t="s">
        <v>661</v>
      </c>
      <c r="G68" s="1835" t="s">
        <v>2396</v>
      </c>
      <c r="H68" s="1836" t="s">
        <v>2993</v>
      </c>
      <c r="I68" s="1836" t="s">
        <v>1417</v>
      </c>
      <c r="J68" s="1835">
        <v>4.5</v>
      </c>
      <c r="K68" s="1837">
        <v>9.9</v>
      </c>
      <c r="L68" s="1839"/>
      <c r="M68" s="1839"/>
    </row>
    <row r="69" spans="1:13" s="1840" customFormat="1" ht="18" hidden="1" customHeight="1" thickTop="1">
      <c r="A69" s="1843" t="s">
        <v>236</v>
      </c>
      <c r="B69" s="1833">
        <v>4.42</v>
      </c>
      <c r="C69" s="1841">
        <v>4.3099999999999996</v>
      </c>
      <c r="D69" s="1835">
        <v>4.3099999999999996</v>
      </c>
      <c r="E69" s="1835">
        <v>2.27</v>
      </c>
      <c r="F69" s="1841" t="s">
        <v>661</v>
      </c>
      <c r="G69" s="1835" t="s">
        <v>980</v>
      </c>
      <c r="H69" s="1836" t="s">
        <v>2993</v>
      </c>
      <c r="I69" s="1836" t="s">
        <v>1619</v>
      </c>
      <c r="J69" s="1835">
        <v>3.85</v>
      </c>
      <c r="K69" s="1837">
        <v>9.23</v>
      </c>
      <c r="L69" s="1839"/>
      <c r="M69" s="1839"/>
    </row>
    <row r="70" spans="1:13" s="1840" customFormat="1" ht="18" hidden="1" customHeight="1" thickTop="1">
      <c r="A70" s="1843" t="s">
        <v>2994</v>
      </c>
      <c r="B70" s="1833">
        <v>3.85</v>
      </c>
      <c r="C70" s="1841"/>
      <c r="D70" s="1835">
        <v>3.95</v>
      </c>
      <c r="E70" s="1835">
        <v>2.17</v>
      </c>
      <c r="F70" s="1841"/>
      <c r="G70" s="1835" t="s">
        <v>980</v>
      </c>
      <c r="H70" s="1836" t="s">
        <v>2995</v>
      </c>
      <c r="I70" s="1836" t="s">
        <v>1420</v>
      </c>
      <c r="J70" s="1835">
        <v>3.78</v>
      </c>
      <c r="K70" s="1837">
        <v>9.26</v>
      </c>
      <c r="L70" s="1839"/>
      <c r="M70" s="1839"/>
    </row>
    <row r="71" spans="1:13" s="1840" customFormat="1" ht="18" hidden="1" customHeight="1" thickTop="1">
      <c r="A71" s="1843" t="s">
        <v>1350</v>
      </c>
      <c r="B71" s="1833">
        <v>3.07</v>
      </c>
      <c r="C71" s="1841"/>
      <c r="D71" s="1835">
        <v>3.11</v>
      </c>
      <c r="E71" s="1835">
        <v>2.04</v>
      </c>
      <c r="F71" s="1841"/>
      <c r="G71" s="1835" t="s">
        <v>980</v>
      </c>
      <c r="H71" s="1836" t="s">
        <v>2995</v>
      </c>
      <c r="I71" s="1836" t="s">
        <v>1420</v>
      </c>
      <c r="J71" s="1835">
        <v>3.65</v>
      </c>
      <c r="K71" s="1837">
        <v>9.2200000000000006</v>
      </c>
      <c r="L71" s="1839"/>
      <c r="M71" s="1839"/>
    </row>
    <row r="72" spans="1:13" s="1840" customFormat="1" ht="18" hidden="1" customHeight="1" thickTop="1">
      <c r="A72" s="1843" t="s">
        <v>376</v>
      </c>
      <c r="B72" s="1833">
        <v>3.04</v>
      </c>
      <c r="C72" s="1841"/>
      <c r="D72" s="1835">
        <v>3.02</v>
      </c>
      <c r="E72" s="1835">
        <v>2.0099999999999998</v>
      </c>
      <c r="F72" s="1841"/>
      <c r="G72" s="1835" t="s">
        <v>980</v>
      </c>
      <c r="H72" s="1836" t="s">
        <v>2995</v>
      </c>
      <c r="I72" s="1836" t="s">
        <v>1420</v>
      </c>
      <c r="J72" s="1835">
        <v>3.59</v>
      </c>
      <c r="K72" s="1837">
        <v>9.17</v>
      </c>
      <c r="L72" s="1839"/>
      <c r="M72" s="1839"/>
    </row>
    <row r="73" spans="1:13" s="1840" customFormat="1" ht="18.75" hidden="1" customHeight="1" thickTop="1">
      <c r="A73" s="1843" t="s">
        <v>2996</v>
      </c>
      <c r="B73" s="1833">
        <v>2.77</v>
      </c>
      <c r="C73" s="1841"/>
      <c r="D73" s="1835">
        <v>2.83</v>
      </c>
      <c r="E73" s="1835">
        <v>1.86</v>
      </c>
      <c r="F73" s="1841"/>
      <c r="G73" s="1835" t="s">
        <v>980</v>
      </c>
      <c r="H73" s="1836" t="s">
        <v>2995</v>
      </c>
      <c r="I73" s="1836" t="s">
        <v>1420</v>
      </c>
      <c r="J73" s="1835">
        <v>3.56</v>
      </c>
      <c r="K73" s="1837">
        <v>9.1199999999999992</v>
      </c>
      <c r="L73" s="1839"/>
      <c r="M73" s="1839"/>
    </row>
    <row r="74" spans="1:13" s="1840" customFormat="1" ht="18.75" hidden="1" customHeight="1" thickTop="1">
      <c r="A74" s="1844" t="s">
        <v>2997</v>
      </c>
      <c r="B74" s="1845">
        <v>2.39</v>
      </c>
      <c r="C74" s="1846"/>
      <c r="D74" s="1847">
        <v>2.41</v>
      </c>
      <c r="E74" s="1847">
        <v>1.64</v>
      </c>
      <c r="F74" s="1846"/>
      <c r="G74" s="1847" t="s">
        <v>980</v>
      </c>
      <c r="H74" s="1848" t="s">
        <v>2995</v>
      </c>
      <c r="I74" s="1848" t="s">
        <v>1420</v>
      </c>
      <c r="J74" s="1847">
        <v>3.81</v>
      </c>
      <c r="K74" s="1849">
        <v>9.14</v>
      </c>
      <c r="L74" s="1850"/>
      <c r="M74" s="1839"/>
    </row>
    <row r="75" spans="1:13" s="1840" customFormat="1" ht="18.75" hidden="1" customHeight="1" thickTop="1">
      <c r="A75" s="1851">
        <v>40634</v>
      </c>
      <c r="B75" s="1845">
        <v>4.1500000000000004</v>
      </c>
      <c r="C75" s="1846"/>
      <c r="D75" s="1847">
        <v>4.12</v>
      </c>
      <c r="E75" s="1847">
        <v>1.51</v>
      </c>
      <c r="F75" s="1846"/>
      <c r="G75" s="1847" t="s">
        <v>980</v>
      </c>
      <c r="H75" s="1848" t="s">
        <v>2995</v>
      </c>
      <c r="I75" s="1848" t="s">
        <v>1420</v>
      </c>
      <c r="J75" s="1847">
        <v>4.13</v>
      </c>
      <c r="K75" s="1849">
        <v>9.4700000000000006</v>
      </c>
      <c r="L75" s="1850"/>
      <c r="M75" s="1839"/>
    </row>
    <row r="76" spans="1:13" s="1840" customFormat="1" ht="18.75" hidden="1" customHeight="1" thickTop="1">
      <c r="A76" s="1851">
        <v>40664</v>
      </c>
      <c r="B76" s="1845">
        <v>4.0599999999999996</v>
      </c>
      <c r="C76" s="1846"/>
      <c r="D76" s="1847">
        <v>4.0599999999999996</v>
      </c>
      <c r="E76" s="1847">
        <v>1.4</v>
      </c>
      <c r="F76" s="1846"/>
      <c r="G76" s="1847" t="s">
        <v>980</v>
      </c>
      <c r="H76" s="1848" t="s">
        <v>2995</v>
      </c>
      <c r="I76" s="1848" t="s">
        <v>1420</v>
      </c>
      <c r="J76" s="1847">
        <v>4.12</v>
      </c>
      <c r="K76" s="1849">
        <v>9.4499999999999993</v>
      </c>
      <c r="L76" s="1850"/>
      <c r="M76" s="1839"/>
    </row>
    <row r="77" spans="1:13" s="1840" customFormat="1" ht="18.75" customHeight="1" thickTop="1">
      <c r="A77" s="1851">
        <v>40695</v>
      </c>
      <c r="B77" s="1852">
        <v>4.33</v>
      </c>
      <c r="C77" s="1846"/>
      <c r="D77" s="1847">
        <v>4.29</v>
      </c>
      <c r="E77" s="1847">
        <v>2.63</v>
      </c>
      <c r="F77" s="1846"/>
      <c r="G77" s="1847" t="s">
        <v>2397</v>
      </c>
      <c r="H77" s="1848" t="s">
        <v>2995</v>
      </c>
      <c r="I77" s="1848" t="s">
        <v>1420</v>
      </c>
      <c r="J77" s="1847">
        <v>4.25</v>
      </c>
      <c r="K77" s="1849">
        <v>9.58</v>
      </c>
      <c r="L77" s="1850"/>
      <c r="M77" s="1839"/>
    </row>
    <row r="78" spans="1:13" s="1840" customFormat="1" ht="18.75" customHeight="1">
      <c r="A78" s="1851">
        <v>40725</v>
      </c>
      <c r="B78" s="1852">
        <v>4.4000000000000004</v>
      </c>
      <c r="C78" s="1846"/>
      <c r="D78" s="1847">
        <v>4.41</v>
      </c>
      <c r="E78" s="1847">
        <v>1.95</v>
      </c>
      <c r="F78" s="1846"/>
      <c r="G78" s="1847" t="s">
        <v>2397</v>
      </c>
      <c r="H78" s="1848" t="s">
        <v>2995</v>
      </c>
      <c r="I78" s="1848" t="s">
        <v>1420</v>
      </c>
      <c r="J78" s="1847">
        <v>4.37</v>
      </c>
      <c r="K78" s="1849">
        <v>9.65</v>
      </c>
      <c r="L78" s="1850"/>
      <c r="M78" s="1839"/>
    </row>
    <row r="79" spans="1:13" s="1840" customFormat="1" ht="18.75" customHeight="1">
      <c r="A79" s="1851">
        <v>40756</v>
      </c>
      <c r="B79" s="1852">
        <v>4.42</v>
      </c>
      <c r="C79" s="1846"/>
      <c r="D79" s="1847">
        <v>4.3899999999999997</v>
      </c>
      <c r="E79" s="1847">
        <v>3.58</v>
      </c>
      <c r="F79" s="1846"/>
      <c r="G79" s="1847" t="s">
        <v>2397</v>
      </c>
      <c r="H79" s="1848" t="s">
        <v>2995</v>
      </c>
      <c r="I79" s="1848" t="s">
        <v>1517</v>
      </c>
      <c r="J79" s="1847">
        <v>4.33</v>
      </c>
      <c r="K79" s="1849">
        <v>9.66</v>
      </c>
      <c r="L79" s="1850"/>
      <c r="M79" s="1839"/>
    </row>
    <row r="80" spans="1:13" s="1840" customFormat="1" ht="18.75" customHeight="1">
      <c r="A80" s="1851">
        <v>40787</v>
      </c>
      <c r="B80" s="1852">
        <v>4.45</v>
      </c>
      <c r="C80" s="1846"/>
      <c r="D80" s="1847">
        <v>4.46</v>
      </c>
      <c r="E80" s="1847">
        <v>3.27</v>
      </c>
      <c r="F80" s="1846"/>
      <c r="G80" s="1847" t="s">
        <v>2397</v>
      </c>
      <c r="H80" s="1848" t="s">
        <v>2995</v>
      </c>
      <c r="I80" s="1848" t="s">
        <v>1517</v>
      </c>
      <c r="J80" s="1847">
        <v>4.34</v>
      </c>
      <c r="K80" s="1849">
        <v>9.33</v>
      </c>
      <c r="L80" s="1850"/>
      <c r="M80" s="1839"/>
    </row>
    <row r="81" spans="1:13" ht="18.75" customHeight="1">
      <c r="A81" s="1851">
        <v>40817</v>
      </c>
      <c r="B81" s="1845">
        <v>4.42</v>
      </c>
      <c r="C81" s="1853"/>
      <c r="D81" s="1847">
        <v>4.43</v>
      </c>
      <c r="E81" s="1847">
        <v>2.61</v>
      </c>
      <c r="F81" s="1853"/>
      <c r="G81" s="1847" t="s">
        <v>2397</v>
      </c>
      <c r="H81" s="1848" t="s">
        <v>2995</v>
      </c>
      <c r="I81" s="1848" t="s">
        <v>1517</v>
      </c>
      <c r="J81" s="1847">
        <v>4.34</v>
      </c>
      <c r="K81" s="1849">
        <v>9.32</v>
      </c>
      <c r="L81" s="1854"/>
      <c r="M81" s="1855"/>
    </row>
    <row r="82" spans="1:13" ht="18.75" customHeight="1">
      <c r="A82" s="1856">
        <v>40848</v>
      </c>
      <c r="B82" s="1845">
        <v>4.51</v>
      </c>
      <c r="C82" s="1853"/>
      <c r="D82" s="1847">
        <v>4.42</v>
      </c>
      <c r="E82" s="1847">
        <v>2.96</v>
      </c>
      <c r="F82" s="1853"/>
      <c r="G82" s="1847" t="s">
        <v>2397</v>
      </c>
      <c r="H82" s="1848" t="s">
        <v>2995</v>
      </c>
      <c r="I82" s="1848" t="s">
        <v>2998</v>
      </c>
      <c r="J82" s="1847">
        <v>4.32</v>
      </c>
      <c r="K82" s="1849">
        <v>9.27</v>
      </c>
      <c r="L82" s="1854"/>
      <c r="M82" s="1855"/>
    </row>
    <row r="83" spans="1:13" s="1859" customFormat="1" ht="18.75" customHeight="1">
      <c r="A83" s="1856">
        <v>40878</v>
      </c>
      <c r="B83" s="1857">
        <v>4.59</v>
      </c>
      <c r="C83" s="1853"/>
      <c r="D83" s="1847">
        <v>4.5199999999999996</v>
      </c>
      <c r="E83" s="1847">
        <v>3.32</v>
      </c>
      <c r="F83" s="1853"/>
      <c r="G83" s="1847" t="s">
        <v>2397</v>
      </c>
      <c r="H83" s="1848" t="s">
        <v>2995</v>
      </c>
      <c r="I83" s="1848" t="s">
        <v>2999</v>
      </c>
      <c r="J83" s="1847">
        <v>4.29</v>
      </c>
      <c r="K83" s="1849">
        <v>9.1999999999999993</v>
      </c>
      <c r="L83" s="1858"/>
    </row>
    <row r="84" spans="1:13" s="1859" customFormat="1" ht="18.75" customHeight="1">
      <c r="A84" s="1856">
        <v>40910</v>
      </c>
      <c r="B84" s="1857">
        <v>4.33</v>
      </c>
      <c r="C84" s="1853"/>
      <c r="D84" s="1847">
        <v>4.33</v>
      </c>
      <c r="E84" s="1847">
        <v>2.4</v>
      </c>
      <c r="F84" s="1853"/>
      <c r="G84" s="1847" t="s">
        <v>2397</v>
      </c>
      <c r="H84" s="1848" t="s">
        <v>2995</v>
      </c>
      <c r="I84" s="1848" t="s">
        <v>2999</v>
      </c>
      <c r="J84" s="1847">
        <v>4.1500000000000004</v>
      </c>
      <c r="K84" s="1849">
        <v>9.09</v>
      </c>
      <c r="L84" s="1858"/>
    </row>
    <row r="85" spans="1:13" s="1859" customFormat="1" ht="18.75" customHeight="1">
      <c r="A85" s="1856">
        <v>40941</v>
      </c>
      <c r="B85" s="1857">
        <v>4.25</v>
      </c>
      <c r="C85" s="1853"/>
      <c r="D85" s="1847">
        <v>4.22</v>
      </c>
      <c r="E85" s="1847">
        <v>2.34</v>
      </c>
      <c r="F85" s="1853"/>
      <c r="G85" s="1847" t="s">
        <v>2397</v>
      </c>
      <c r="H85" s="1848" t="s">
        <v>2995</v>
      </c>
      <c r="I85" s="1848" t="s">
        <v>2999</v>
      </c>
      <c r="J85" s="1847">
        <v>4.13</v>
      </c>
      <c r="K85" s="1849">
        <v>9.06</v>
      </c>
      <c r="L85" s="1858"/>
    </row>
    <row r="86" spans="1:13" s="1859" customFormat="1" ht="18.75" customHeight="1">
      <c r="A86" s="1856">
        <v>40970</v>
      </c>
      <c r="B86" s="1857">
        <v>4.08</v>
      </c>
      <c r="C86" s="1853"/>
      <c r="D86" s="1847">
        <v>4.0999999999999996</v>
      </c>
      <c r="E86" s="1847">
        <v>1.97</v>
      </c>
      <c r="F86" s="1853"/>
      <c r="G86" s="1847" t="s">
        <v>2398</v>
      </c>
      <c r="H86" s="1848" t="s">
        <v>3000</v>
      </c>
      <c r="I86" s="1848" t="s">
        <v>3001</v>
      </c>
      <c r="J86" s="1847">
        <v>3.86</v>
      </c>
      <c r="K86" s="1849">
        <v>8.9600000000000009</v>
      </c>
      <c r="L86" s="1858"/>
    </row>
    <row r="87" spans="1:13" s="1859" customFormat="1" ht="18.75" customHeight="1">
      <c r="A87" s="1856">
        <v>41001</v>
      </c>
      <c r="B87" s="1857">
        <v>3.77</v>
      </c>
      <c r="C87" s="1853"/>
      <c r="D87" s="1847">
        <v>3.7</v>
      </c>
      <c r="E87" s="1847">
        <v>1.87</v>
      </c>
      <c r="F87" s="1853"/>
      <c r="G87" s="1847" t="s">
        <v>2399</v>
      </c>
      <c r="H87" s="1848" t="s">
        <v>3002</v>
      </c>
      <c r="I87" s="1848" t="s">
        <v>3003</v>
      </c>
      <c r="J87" s="1847">
        <v>3.8</v>
      </c>
      <c r="K87" s="1849">
        <v>8.57</v>
      </c>
      <c r="L87" s="1858"/>
    </row>
    <row r="88" spans="1:13" s="1859" customFormat="1" ht="18.75" customHeight="1">
      <c r="A88" s="1856">
        <v>41031</v>
      </c>
      <c r="B88" s="1857">
        <v>3.71</v>
      </c>
      <c r="C88" s="1853"/>
      <c r="D88" s="1847">
        <v>3.64</v>
      </c>
      <c r="E88" s="1847">
        <v>1.59</v>
      </c>
      <c r="F88" s="1853"/>
      <c r="G88" s="1847" t="s">
        <v>2399</v>
      </c>
      <c r="H88" s="1848" t="s">
        <v>3002</v>
      </c>
      <c r="I88" s="1848" t="s">
        <v>3004</v>
      </c>
      <c r="J88" s="1847">
        <v>3.82</v>
      </c>
      <c r="K88" s="1849">
        <v>8.59</v>
      </c>
      <c r="L88" s="1858"/>
    </row>
    <row r="89" spans="1:13" s="1859" customFormat="1" ht="18.75" customHeight="1">
      <c r="A89" s="1856">
        <v>41062</v>
      </c>
      <c r="B89" s="1857">
        <v>3.44</v>
      </c>
      <c r="C89" s="1853"/>
      <c r="D89" s="1847">
        <v>3.51</v>
      </c>
      <c r="E89" s="1847">
        <v>1.75</v>
      </c>
      <c r="F89" s="1853"/>
      <c r="G89" s="1847" t="s">
        <v>2399</v>
      </c>
      <c r="H89" s="1848" t="s">
        <v>3005</v>
      </c>
      <c r="I89" s="1848" t="s">
        <v>3003</v>
      </c>
      <c r="J89" s="1847">
        <v>3.65</v>
      </c>
      <c r="K89" s="1849">
        <v>8.5299999999999994</v>
      </c>
      <c r="L89" s="1858"/>
    </row>
    <row r="90" spans="1:13" s="1859" customFormat="1" ht="18.75" customHeight="1">
      <c r="A90" s="1856">
        <v>41092</v>
      </c>
      <c r="B90" s="1857">
        <v>3.55</v>
      </c>
      <c r="C90" s="1853"/>
      <c r="D90" s="1847">
        <v>3.39</v>
      </c>
      <c r="E90" s="1847">
        <v>1.91</v>
      </c>
      <c r="F90" s="1853"/>
      <c r="G90" s="1847" t="s">
        <v>2399</v>
      </c>
      <c r="H90" s="1848" t="s">
        <v>3005</v>
      </c>
      <c r="I90" s="1848" t="s">
        <v>3003</v>
      </c>
      <c r="J90" s="1847">
        <v>3.64</v>
      </c>
      <c r="K90" s="1849">
        <v>8.52</v>
      </c>
      <c r="L90" s="1858"/>
    </row>
    <row r="91" spans="1:13" s="1859" customFormat="1" ht="18.75" customHeight="1">
      <c r="A91" s="1856">
        <v>41123</v>
      </c>
      <c r="B91" s="1857">
        <v>3.56</v>
      </c>
      <c r="C91" s="1853"/>
      <c r="D91" s="1847">
        <v>3.43</v>
      </c>
      <c r="E91" s="1847">
        <v>1.85</v>
      </c>
      <c r="F91" s="1853"/>
      <c r="G91" s="1847" t="s">
        <v>2399</v>
      </c>
      <c r="H91" s="1848" t="s">
        <v>3005</v>
      </c>
      <c r="I91" s="1848" t="s">
        <v>3003</v>
      </c>
      <c r="J91" s="1847">
        <v>3.67</v>
      </c>
      <c r="K91" s="1849">
        <v>8.5399999999999991</v>
      </c>
      <c r="L91" s="1858"/>
    </row>
    <row r="92" spans="1:13" s="1859" customFormat="1" ht="18.75" customHeight="1">
      <c r="A92" s="1856">
        <v>41154</v>
      </c>
      <c r="B92" s="1857">
        <v>3.6</v>
      </c>
      <c r="C92" s="1853"/>
      <c r="D92" s="1847">
        <v>3.47</v>
      </c>
      <c r="E92" s="1847">
        <v>1.67</v>
      </c>
      <c r="F92" s="1853"/>
      <c r="G92" s="1847" t="s">
        <v>2399</v>
      </c>
      <c r="H92" s="1848" t="s">
        <v>3005</v>
      </c>
      <c r="I92" s="1848" t="s">
        <v>3003</v>
      </c>
      <c r="J92" s="1847">
        <v>3.63</v>
      </c>
      <c r="K92" s="1849">
        <v>8.49</v>
      </c>
      <c r="L92" s="1858"/>
    </row>
    <row r="93" spans="1:13" s="1859" customFormat="1" ht="18.75" customHeight="1">
      <c r="A93" s="1856">
        <v>41184</v>
      </c>
      <c r="B93" s="1857">
        <v>3.23</v>
      </c>
      <c r="C93" s="1853"/>
      <c r="D93" s="1847">
        <v>3.26</v>
      </c>
      <c r="E93" s="1847">
        <v>1.57</v>
      </c>
      <c r="F93" s="1853"/>
      <c r="G93" s="1847" t="s">
        <v>2399</v>
      </c>
      <c r="H93" s="1848" t="s">
        <v>3005</v>
      </c>
      <c r="I93" s="1848" t="s">
        <v>3003</v>
      </c>
      <c r="J93" s="1847">
        <v>3.65</v>
      </c>
      <c r="K93" s="1849">
        <v>8.52</v>
      </c>
      <c r="L93" s="1858"/>
    </row>
    <row r="94" spans="1:13" s="1859" customFormat="1" ht="18.75" customHeight="1">
      <c r="A94" s="1856">
        <v>41215</v>
      </c>
      <c r="B94" s="1857">
        <v>3.09</v>
      </c>
      <c r="C94" s="1853"/>
      <c r="D94" s="1847">
        <v>3.08</v>
      </c>
      <c r="E94" s="1847">
        <v>1.53</v>
      </c>
      <c r="F94" s="1853"/>
      <c r="G94" s="1847" t="s">
        <v>2399</v>
      </c>
      <c r="H94" s="1848" t="s">
        <v>3006</v>
      </c>
      <c r="I94" s="1848" t="s">
        <v>3003</v>
      </c>
      <c r="J94" s="1860">
        <v>3.64</v>
      </c>
      <c r="K94" s="1861">
        <v>8.48</v>
      </c>
      <c r="L94" s="1858"/>
    </row>
    <row r="95" spans="1:13" s="1859" customFormat="1" ht="18.75" customHeight="1">
      <c r="A95" s="1856">
        <v>41245</v>
      </c>
      <c r="B95" s="1857">
        <v>2.92</v>
      </c>
      <c r="C95" s="1853"/>
      <c r="D95" s="1847">
        <v>2.95</v>
      </c>
      <c r="E95" s="1847">
        <v>1.61</v>
      </c>
      <c r="F95" s="1853"/>
      <c r="G95" s="1847" t="s">
        <v>2399</v>
      </c>
      <c r="H95" s="1848" t="s">
        <v>3006</v>
      </c>
      <c r="I95" s="1848" t="s">
        <v>3003</v>
      </c>
      <c r="J95" s="1860">
        <v>3.48</v>
      </c>
      <c r="K95" s="1861">
        <v>8.42</v>
      </c>
      <c r="L95" s="1858"/>
    </row>
    <row r="96" spans="1:13" s="1859" customFormat="1" ht="18.75" customHeight="1">
      <c r="A96" s="1856">
        <v>41276</v>
      </c>
      <c r="B96" s="1857">
        <v>2.88</v>
      </c>
      <c r="C96" s="1853"/>
      <c r="D96" s="1847">
        <v>2.84</v>
      </c>
      <c r="E96" s="1847">
        <v>1.49</v>
      </c>
      <c r="F96" s="1853"/>
      <c r="G96" s="1847" t="s">
        <v>2399</v>
      </c>
      <c r="H96" s="1848" t="s">
        <v>3006</v>
      </c>
      <c r="I96" s="1848" t="s">
        <v>3003</v>
      </c>
      <c r="J96" s="1860">
        <v>3.32</v>
      </c>
      <c r="K96" s="1861">
        <v>8.42</v>
      </c>
      <c r="L96" s="1858"/>
    </row>
    <row r="97" spans="1:12" s="1859" customFormat="1" ht="18.75" customHeight="1">
      <c r="A97" s="1856">
        <v>41307</v>
      </c>
      <c r="B97" s="1857">
        <v>2.67</v>
      </c>
      <c r="C97" s="1853"/>
      <c r="D97" s="1847">
        <v>2.74</v>
      </c>
      <c r="E97" s="1847">
        <v>1.42</v>
      </c>
      <c r="F97" s="1853"/>
      <c r="G97" s="1847" t="s">
        <v>2399</v>
      </c>
      <c r="H97" s="1848" t="s">
        <v>3007</v>
      </c>
      <c r="I97" s="1848" t="s">
        <v>1759</v>
      </c>
      <c r="J97" s="1860">
        <v>3.42</v>
      </c>
      <c r="K97" s="1861">
        <v>8.39</v>
      </c>
      <c r="L97" s="1858"/>
    </row>
    <row r="98" spans="1:12" s="1859" customFormat="1" ht="18.75" customHeight="1">
      <c r="A98" s="1856">
        <v>41335</v>
      </c>
      <c r="B98" s="1857">
        <v>2.37</v>
      </c>
      <c r="C98" s="1853"/>
      <c r="D98" s="1847">
        <v>2.46</v>
      </c>
      <c r="E98" s="1847">
        <v>1.36</v>
      </c>
      <c r="F98" s="1853"/>
      <c r="G98" s="1847" t="s">
        <v>2399</v>
      </c>
      <c r="H98" s="1848" t="s">
        <v>3008</v>
      </c>
      <c r="I98" s="1848" t="s">
        <v>3009</v>
      </c>
      <c r="J98" s="1860">
        <v>3.41</v>
      </c>
      <c r="K98" s="1861">
        <v>8.36</v>
      </c>
      <c r="L98" s="1858"/>
    </row>
    <row r="99" spans="1:12" s="1859" customFormat="1" ht="18.75" customHeight="1">
      <c r="A99" s="1856">
        <v>41366</v>
      </c>
      <c r="B99" s="1857">
        <v>2.33</v>
      </c>
      <c r="C99" s="1853"/>
      <c r="D99" s="1847">
        <v>2.33</v>
      </c>
      <c r="E99" s="1847">
        <v>1.36</v>
      </c>
      <c r="F99" s="1853"/>
      <c r="G99" s="1847" t="s">
        <v>2399</v>
      </c>
      <c r="H99" s="1848" t="s">
        <v>3010</v>
      </c>
      <c r="I99" s="1848" t="s">
        <v>1764</v>
      </c>
      <c r="J99" s="1860">
        <v>3.45</v>
      </c>
      <c r="K99" s="1861">
        <v>8.33</v>
      </c>
      <c r="L99" s="1858"/>
    </row>
    <row r="100" spans="1:12" s="1859" customFormat="1" ht="18.75" customHeight="1">
      <c r="A100" s="1856">
        <v>41396</v>
      </c>
      <c r="B100" s="1857">
        <v>2.3199999999999998</v>
      </c>
      <c r="C100" s="1853"/>
      <c r="D100" s="1847">
        <v>2.29</v>
      </c>
      <c r="E100" s="1847">
        <v>1.36</v>
      </c>
      <c r="F100" s="1853"/>
      <c r="G100" s="1847" t="s">
        <v>2399</v>
      </c>
      <c r="H100" s="1848" t="s">
        <v>3007</v>
      </c>
      <c r="I100" s="1848" t="s">
        <v>3011</v>
      </c>
      <c r="J100" s="1861">
        <v>3.47</v>
      </c>
      <c r="K100" s="1861">
        <v>8.42</v>
      </c>
      <c r="L100" s="1858"/>
    </row>
    <row r="101" spans="1:12" s="1859" customFormat="1" ht="18.75" customHeight="1">
      <c r="A101" s="1856">
        <v>41427</v>
      </c>
      <c r="B101" s="1857">
        <v>2.72</v>
      </c>
      <c r="C101" s="1853"/>
      <c r="D101" s="1847">
        <v>2.52</v>
      </c>
      <c r="E101" s="1847">
        <v>1.99</v>
      </c>
      <c r="F101" s="1853"/>
      <c r="G101" s="1847" t="s">
        <v>2400</v>
      </c>
      <c r="H101" s="1848" t="s">
        <v>3007</v>
      </c>
      <c r="I101" s="1848" t="s">
        <v>3012</v>
      </c>
      <c r="J101" s="1861">
        <v>3.28</v>
      </c>
      <c r="K101" s="1861">
        <v>8.26</v>
      </c>
      <c r="L101" s="1858"/>
    </row>
    <row r="102" spans="1:12" s="1859" customFormat="1" ht="18.75" customHeight="1">
      <c r="A102" s="1856">
        <v>41457</v>
      </c>
      <c r="B102" s="1857">
        <v>2.94</v>
      </c>
      <c r="C102" s="1853">
        <v>2.77</v>
      </c>
      <c r="D102" s="1847">
        <v>2.77</v>
      </c>
      <c r="E102" s="1847">
        <v>2.0099999999999998</v>
      </c>
      <c r="F102" s="1853"/>
      <c r="G102" s="1847" t="s">
        <v>2401</v>
      </c>
      <c r="H102" s="1848" t="s">
        <v>3007</v>
      </c>
      <c r="I102" s="1848" t="s">
        <v>3013</v>
      </c>
      <c r="J102" s="1861">
        <v>3.21</v>
      </c>
      <c r="K102" s="1861">
        <v>8.2200000000000006</v>
      </c>
      <c r="L102" s="1858"/>
    </row>
    <row r="103" spans="1:12" s="1859" customFormat="1" ht="18.75" customHeight="1">
      <c r="A103" s="1856">
        <v>41488</v>
      </c>
      <c r="B103" s="1857">
        <v>2.85</v>
      </c>
      <c r="C103" s="1853">
        <v>2.8</v>
      </c>
      <c r="D103" s="1847">
        <v>2.8</v>
      </c>
      <c r="E103" s="1847">
        <v>1.68</v>
      </c>
      <c r="F103" s="1853"/>
      <c r="G103" s="1847" t="s">
        <v>2401</v>
      </c>
      <c r="H103" s="1848" t="s">
        <v>3014</v>
      </c>
      <c r="I103" s="1848" t="s">
        <v>3015</v>
      </c>
      <c r="J103" s="1861">
        <v>3.24</v>
      </c>
      <c r="K103" s="1861">
        <v>8.18</v>
      </c>
      <c r="L103" s="1858"/>
    </row>
    <row r="104" spans="1:12" s="1859" customFormat="1" ht="18.75" customHeight="1">
      <c r="A104" s="1856">
        <v>41519</v>
      </c>
      <c r="B104" s="1857">
        <v>2.73</v>
      </c>
      <c r="C104" s="1853"/>
      <c r="D104" s="1847">
        <v>2.75</v>
      </c>
      <c r="E104" s="1847">
        <v>1.64</v>
      </c>
      <c r="F104" s="1853"/>
      <c r="G104" s="1847" t="s">
        <v>2401</v>
      </c>
      <c r="H104" s="1848" t="s">
        <v>3007</v>
      </c>
      <c r="I104" s="1848" t="s">
        <v>3016</v>
      </c>
      <c r="J104" s="1861">
        <v>3.26</v>
      </c>
      <c r="K104" s="1861">
        <v>8.15</v>
      </c>
      <c r="L104" s="1858"/>
    </row>
    <row r="105" spans="1:12" s="1859" customFormat="1" ht="18.75" customHeight="1">
      <c r="A105" s="1856">
        <v>41549</v>
      </c>
      <c r="B105" s="1857">
        <v>3.29</v>
      </c>
      <c r="C105" s="1853">
        <v>2.87</v>
      </c>
      <c r="D105" s="1847">
        <v>2.87</v>
      </c>
      <c r="E105" s="1847">
        <v>2.5299999999999998</v>
      </c>
      <c r="F105" s="1853"/>
      <c r="G105" s="1847" t="s">
        <v>2402</v>
      </c>
      <c r="H105" s="1848" t="s">
        <v>3007</v>
      </c>
      <c r="I105" s="1848" t="s">
        <v>1765</v>
      </c>
      <c r="J105" s="1861">
        <v>3.26</v>
      </c>
      <c r="K105" s="1862">
        <v>8.1</v>
      </c>
      <c r="L105" s="1858"/>
    </row>
    <row r="106" spans="1:12" s="1859" customFormat="1" ht="18.75" customHeight="1">
      <c r="A106" s="1856">
        <v>41580</v>
      </c>
      <c r="B106" s="1857">
        <v>3.52</v>
      </c>
      <c r="C106" s="1853"/>
      <c r="D106" s="1847">
        <v>3.35</v>
      </c>
      <c r="E106" s="1847">
        <v>3.58</v>
      </c>
      <c r="F106" s="1853"/>
      <c r="G106" s="1847" t="s">
        <v>2402</v>
      </c>
      <c r="H106" s="1848" t="s">
        <v>3017</v>
      </c>
      <c r="I106" s="1848" t="s">
        <v>3016</v>
      </c>
      <c r="J106" s="1861">
        <v>3.25</v>
      </c>
      <c r="K106" s="1862">
        <v>8.09</v>
      </c>
      <c r="L106" s="1858"/>
    </row>
    <row r="107" spans="1:12" s="1859" customFormat="1" ht="18.75" customHeight="1">
      <c r="A107" s="1856">
        <v>41610</v>
      </c>
      <c r="B107" s="1857">
        <v>3.64</v>
      </c>
      <c r="C107" s="1853"/>
      <c r="D107" s="1847">
        <v>3.54</v>
      </c>
      <c r="E107" s="1847">
        <v>3.52</v>
      </c>
      <c r="F107" s="1853"/>
      <c r="G107" s="1847" t="s">
        <v>2402</v>
      </c>
      <c r="H107" s="1848" t="s">
        <v>3018</v>
      </c>
      <c r="I107" s="1848" t="s">
        <v>3019</v>
      </c>
      <c r="J107" s="1862">
        <v>3.2174550585821531</v>
      </c>
      <c r="K107" s="1862">
        <v>8.07</v>
      </c>
      <c r="L107" s="1858"/>
    </row>
    <row r="108" spans="1:12" s="1859" customFormat="1" ht="18.75" customHeight="1">
      <c r="A108" s="1856">
        <v>41641</v>
      </c>
      <c r="B108" s="1857">
        <v>3.53</v>
      </c>
      <c r="C108" s="1853"/>
      <c r="D108" s="1847">
        <v>3.54</v>
      </c>
      <c r="E108" s="1847">
        <v>3.63</v>
      </c>
      <c r="F108" s="1853"/>
      <c r="G108" s="1847" t="s">
        <v>2402</v>
      </c>
      <c r="H108" s="1848" t="s">
        <v>3020</v>
      </c>
      <c r="I108" s="1848" t="s">
        <v>2209</v>
      </c>
      <c r="J108" s="1862">
        <v>3.27</v>
      </c>
      <c r="K108" s="1862">
        <v>8.14</v>
      </c>
      <c r="L108" s="1858"/>
    </row>
    <row r="109" spans="1:12" s="1859" customFormat="1" ht="18.75" customHeight="1">
      <c r="A109" s="1856">
        <v>41672</v>
      </c>
      <c r="B109" s="1857">
        <v>3.23</v>
      </c>
      <c r="C109" s="1853"/>
      <c r="D109" s="1847">
        <v>3.36</v>
      </c>
      <c r="E109" s="1847">
        <v>2.6</v>
      </c>
      <c r="F109" s="1853"/>
      <c r="G109" s="1847" t="s">
        <v>2402</v>
      </c>
      <c r="H109" s="1848" t="s">
        <v>3018</v>
      </c>
      <c r="I109" s="1848" t="s">
        <v>2210</v>
      </c>
      <c r="J109" s="1862">
        <v>3.16</v>
      </c>
      <c r="K109" s="1862">
        <v>8.1199999999999992</v>
      </c>
      <c r="L109" s="1858"/>
    </row>
    <row r="110" spans="1:12" s="1859" customFormat="1" ht="18.75" customHeight="1">
      <c r="A110" s="1856">
        <v>41700</v>
      </c>
      <c r="B110" s="1857">
        <v>3.05</v>
      </c>
      <c r="C110" s="1853"/>
      <c r="D110" s="1847">
        <v>3.16</v>
      </c>
      <c r="E110" s="1847">
        <v>2.35</v>
      </c>
      <c r="F110" s="1853"/>
      <c r="G110" s="1847" t="s">
        <v>2403</v>
      </c>
      <c r="H110" s="1848" t="s">
        <v>3018</v>
      </c>
      <c r="I110" s="1848" t="s">
        <v>2211</v>
      </c>
      <c r="J110" s="1862">
        <v>3.18</v>
      </c>
      <c r="K110" s="1862">
        <v>8.1199999999999992</v>
      </c>
      <c r="L110" s="1858"/>
    </row>
    <row r="111" spans="1:12" s="1859" customFormat="1" ht="18.75" customHeight="1">
      <c r="A111" s="1856">
        <v>41731</v>
      </c>
      <c r="B111" s="1857">
        <v>2.98</v>
      </c>
      <c r="C111" s="1853"/>
      <c r="D111" s="1847">
        <v>2.95</v>
      </c>
      <c r="E111" s="1847">
        <v>2.0299999999999998</v>
      </c>
      <c r="F111" s="1853"/>
      <c r="G111" s="1847" t="s">
        <v>2403</v>
      </c>
      <c r="H111" s="1848" t="s">
        <v>3021</v>
      </c>
      <c r="I111" s="1848" t="s">
        <v>2212</v>
      </c>
      <c r="J111" s="1862">
        <v>3.1551113181666208</v>
      </c>
      <c r="K111" s="1862">
        <v>8.0825323835957139</v>
      </c>
      <c r="L111" s="1858"/>
    </row>
    <row r="112" spans="1:12" s="1859" customFormat="1" ht="18.75" customHeight="1">
      <c r="A112" s="1856">
        <v>41761</v>
      </c>
      <c r="B112" s="1857">
        <v>2.78</v>
      </c>
      <c r="C112" s="1853"/>
      <c r="D112" s="1847">
        <v>2.83</v>
      </c>
      <c r="E112" s="1847">
        <v>1.77</v>
      </c>
      <c r="F112" s="1853"/>
      <c r="G112" s="1847" t="s">
        <v>2403</v>
      </c>
      <c r="H112" s="1848" t="s">
        <v>3018</v>
      </c>
      <c r="I112" s="1848" t="s">
        <v>2213</v>
      </c>
      <c r="J112" s="1862">
        <v>3.38</v>
      </c>
      <c r="K112" s="1862">
        <v>8.11</v>
      </c>
      <c r="L112" s="1858"/>
    </row>
    <row r="113" spans="1:12" s="1859" customFormat="1" ht="18.75" customHeight="1" thickBot="1">
      <c r="A113" s="1863">
        <v>41792</v>
      </c>
      <c r="B113" s="1864">
        <v>2.48</v>
      </c>
      <c r="C113" s="1865"/>
      <c r="D113" s="1866">
        <v>2.61</v>
      </c>
      <c r="E113" s="1866">
        <v>1.49</v>
      </c>
      <c r="F113" s="1865"/>
      <c r="G113" s="1866" t="s">
        <v>2403</v>
      </c>
      <c r="H113" s="1867" t="s">
        <v>3021</v>
      </c>
      <c r="I113" s="1867" t="s">
        <v>3022</v>
      </c>
      <c r="J113" s="1868">
        <v>3.3</v>
      </c>
      <c r="K113" s="1868">
        <v>8.0399999999999991</v>
      </c>
      <c r="L113" s="1858"/>
    </row>
    <row r="114" spans="1:12">
      <c r="A114" s="1869"/>
      <c r="B114" s="1870"/>
      <c r="C114" s="1870"/>
      <c r="D114" s="1870"/>
      <c r="E114" s="1870"/>
      <c r="F114" s="1870"/>
      <c r="G114" s="1870"/>
      <c r="H114" s="1871"/>
      <c r="I114" s="1871"/>
      <c r="J114" s="1870"/>
      <c r="K114" s="1870"/>
    </row>
    <row r="115" spans="1:12" s="1814" customFormat="1" ht="15">
      <c r="A115" s="1872" t="s">
        <v>180</v>
      </c>
      <c r="I115" s="1871"/>
      <c r="J115" s="1873"/>
    </row>
    <row r="116" spans="1:12">
      <c r="A116" s="1816"/>
      <c r="B116" s="1816"/>
      <c r="C116" s="1816"/>
      <c r="D116" s="1816"/>
      <c r="E116" s="1816"/>
      <c r="F116" s="1816"/>
      <c r="G116" s="1816"/>
      <c r="H116" s="1816"/>
      <c r="I116" s="1816"/>
      <c r="J116" s="1816"/>
      <c r="K116" s="1816"/>
    </row>
    <row r="117" spans="1:12">
      <c r="A117" s="1816"/>
      <c r="B117" s="1816"/>
      <c r="C117" s="1816"/>
      <c r="D117" s="1816"/>
      <c r="E117" s="1816"/>
      <c r="F117" s="1816" t="s">
        <v>3023</v>
      </c>
      <c r="G117" s="1816"/>
      <c r="H117" s="1816"/>
      <c r="I117" s="1816"/>
      <c r="J117" s="1816"/>
      <c r="K117" s="1816"/>
    </row>
    <row r="118" spans="1:12">
      <c r="A118" s="1816"/>
      <c r="B118" s="1816"/>
      <c r="C118" s="1816"/>
      <c r="D118" s="1816"/>
      <c r="E118" s="1816"/>
      <c r="F118" s="1816"/>
      <c r="G118" s="1816"/>
      <c r="H118" s="1816"/>
      <c r="I118" s="1816"/>
      <c r="J118" s="1816"/>
      <c r="K118" s="1816"/>
    </row>
    <row r="119" spans="1:12">
      <c r="A119" s="1816"/>
      <c r="B119" s="1816"/>
      <c r="C119" s="1816"/>
      <c r="D119" s="1816"/>
      <c r="E119" s="1816"/>
      <c r="F119" s="1816"/>
      <c r="G119" s="1816"/>
      <c r="H119" s="1816"/>
      <c r="I119" s="1816"/>
      <c r="J119" s="1816"/>
      <c r="K119" s="1816"/>
    </row>
    <row r="120" spans="1:12">
      <c r="A120" s="1816"/>
      <c r="B120" s="1816"/>
      <c r="C120" s="1816"/>
      <c r="D120" s="1816"/>
      <c r="E120" s="1816"/>
      <c r="F120" s="1816"/>
      <c r="G120" s="1816"/>
      <c r="H120" s="1816"/>
      <c r="I120" s="1816"/>
      <c r="J120" s="1816"/>
      <c r="K120" s="1816"/>
    </row>
    <row r="121" spans="1:12">
      <c r="A121" s="1816"/>
      <c r="B121" s="1816"/>
      <c r="C121" s="1816"/>
      <c r="D121" s="1816"/>
      <c r="E121" s="1816"/>
      <c r="F121" s="1816"/>
      <c r="G121" s="1816"/>
      <c r="H121" s="1816"/>
      <c r="I121" s="1816"/>
      <c r="J121" s="1816"/>
      <c r="K121" s="1816"/>
    </row>
    <row r="122" spans="1:12">
      <c r="A122" s="1816"/>
      <c r="B122" s="1816"/>
      <c r="C122" s="1816"/>
      <c r="D122" s="1816"/>
      <c r="E122" s="1816"/>
      <c r="F122" s="1816"/>
      <c r="G122" s="1816"/>
      <c r="H122" s="1816"/>
      <c r="I122" s="1816"/>
      <c r="J122" s="1816"/>
      <c r="K122" s="1816"/>
    </row>
    <row r="123" spans="1:12">
      <c r="A123" s="1816"/>
      <c r="B123" s="1816"/>
      <c r="C123" s="1816"/>
      <c r="D123" s="1816"/>
      <c r="E123" s="1816"/>
      <c r="F123" s="1816"/>
      <c r="G123" s="1816"/>
      <c r="H123" s="1816"/>
      <c r="I123" s="1816"/>
      <c r="J123" s="1816"/>
      <c r="K123" s="1816"/>
    </row>
    <row r="124" spans="1:12">
      <c r="A124" s="1816"/>
      <c r="B124" s="1816"/>
      <c r="C124" s="1816"/>
      <c r="D124" s="1816"/>
      <c r="E124" s="1816"/>
      <c r="F124" s="1816"/>
      <c r="G124" s="1816"/>
      <c r="H124" s="1816"/>
      <c r="I124" s="1816"/>
      <c r="J124" s="1816"/>
      <c r="K124" s="1816"/>
    </row>
    <row r="125" spans="1:12">
      <c r="A125" s="1816"/>
      <c r="B125" s="1816"/>
      <c r="C125" s="1816"/>
      <c r="D125" s="1816"/>
      <c r="E125" s="1816"/>
      <c r="F125" s="1816"/>
      <c r="G125" s="1816"/>
      <c r="H125" s="1816"/>
      <c r="I125" s="1816"/>
      <c r="J125" s="1816"/>
      <c r="K125" s="1816"/>
    </row>
    <row r="126" spans="1:12">
      <c r="A126" s="1816"/>
      <c r="B126" s="1816"/>
      <c r="C126" s="1816"/>
      <c r="D126" s="1816"/>
      <c r="E126" s="1816"/>
      <c r="F126" s="1816"/>
      <c r="G126" s="1816"/>
      <c r="H126" s="1816"/>
      <c r="I126" s="1816"/>
      <c r="J126" s="1816"/>
      <c r="K126" s="1816"/>
    </row>
    <row r="127" spans="1:12">
      <c r="A127" s="1816"/>
      <c r="B127" s="1816"/>
      <c r="C127" s="1816"/>
      <c r="D127" s="1816"/>
      <c r="E127" s="1816"/>
      <c r="F127" s="1816"/>
      <c r="G127" s="1816"/>
      <c r="H127" s="1816"/>
      <c r="I127" s="1816"/>
      <c r="J127" s="1816"/>
      <c r="K127" s="1816"/>
    </row>
    <row r="128" spans="1:12">
      <c r="A128" s="1816"/>
      <c r="B128" s="1816"/>
      <c r="C128" s="1816"/>
      <c r="D128" s="1816"/>
      <c r="E128" s="1816"/>
      <c r="F128" s="1816"/>
      <c r="G128" s="1816"/>
      <c r="H128" s="1816"/>
      <c r="I128" s="1816"/>
      <c r="J128" s="1816"/>
      <c r="K128" s="1816"/>
    </row>
    <row r="129" spans="1:11">
      <c r="A129" s="1816"/>
      <c r="B129" s="1816"/>
      <c r="C129" s="1816"/>
      <c r="D129" s="1816"/>
      <c r="E129" s="1816"/>
      <c r="F129" s="1816"/>
      <c r="G129" s="1816"/>
      <c r="H129" s="1816"/>
      <c r="I129" s="1816"/>
      <c r="J129" s="1816"/>
      <c r="K129" s="1816"/>
    </row>
    <row r="130" spans="1:11">
      <c r="A130" s="1816"/>
      <c r="B130" s="1816"/>
      <c r="C130" s="1816"/>
      <c r="D130" s="1816"/>
      <c r="E130" s="1816"/>
      <c r="F130" s="1816"/>
      <c r="G130" s="1816"/>
      <c r="H130" s="1816"/>
      <c r="I130" s="1816"/>
      <c r="J130" s="1816"/>
      <c r="K130" s="1816"/>
    </row>
    <row r="131" spans="1:11">
      <c r="A131" s="1816"/>
      <c r="B131" s="1816"/>
      <c r="C131" s="1816"/>
      <c r="D131" s="1816"/>
      <c r="E131" s="1816"/>
      <c r="F131" s="1816"/>
      <c r="G131" s="1816"/>
      <c r="H131" s="1816"/>
      <c r="I131" s="1816"/>
      <c r="J131" s="1816"/>
      <c r="K131" s="1816"/>
    </row>
    <row r="132" spans="1:11">
      <c r="A132" s="1816"/>
      <c r="B132" s="1816"/>
      <c r="C132" s="1816"/>
      <c r="D132" s="1816"/>
      <c r="E132" s="1816"/>
      <c r="F132" s="1816"/>
      <c r="G132" s="1816"/>
      <c r="H132" s="1816"/>
      <c r="I132" s="1816"/>
      <c r="J132" s="1816"/>
      <c r="K132" s="1816"/>
    </row>
    <row r="133" spans="1:11">
      <c r="A133" s="1816"/>
      <c r="B133" s="1816"/>
      <c r="C133" s="1816"/>
      <c r="D133" s="1816"/>
      <c r="E133" s="1816"/>
      <c r="F133" s="1816"/>
      <c r="G133" s="1816"/>
      <c r="H133" s="1816"/>
      <c r="I133" s="1816"/>
      <c r="J133" s="1816"/>
      <c r="K133" s="1816"/>
    </row>
    <row r="134" spans="1:11">
      <c r="A134" s="1816"/>
      <c r="B134" s="1816"/>
      <c r="C134" s="1816"/>
      <c r="D134" s="1816"/>
      <c r="E134" s="1816"/>
      <c r="F134" s="1816"/>
      <c r="G134" s="1816"/>
      <c r="H134" s="1816"/>
      <c r="I134" s="1816"/>
      <c r="J134" s="1816"/>
      <c r="K134" s="1816"/>
    </row>
    <row r="135" spans="1:11">
      <c r="A135" s="1816"/>
      <c r="B135" s="1816"/>
      <c r="C135" s="1816"/>
      <c r="D135" s="1816"/>
      <c r="E135" s="1816"/>
      <c r="F135" s="1816"/>
      <c r="G135" s="1816"/>
      <c r="H135" s="1816"/>
      <c r="I135" s="1816"/>
      <c r="J135" s="1816"/>
      <c r="K135" s="1816"/>
    </row>
    <row r="136" spans="1:11">
      <c r="A136" s="1816"/>
      <c r="B136" s="1816"/>
      <c r="C136" s="1816"/>
      <c r="D136" s="1816"/>
      <c r="E136" s="1816"/>
      <c r="F136" s="1816"/>
      <c r="G136" s="1816"/>
      <c r="H136" s="1816"/>
      <c r="I136" s="1816"/>
      <c r="J136" s="1816"/>
      <c r="K136" s="1816"/>
    </row>
    <row r="137" spans="1:11">
      <c r="A137" s="1816"/>
      <c r="B137" s="1816"/>
      <c r="C137" s="1816"/>
      <c r="D137" s="1816"/>
      <c r="E137" s="1816"/>
      <c r="F137" s="1816"/>
      <c r="G137" s="1816"/>
      <c r="H137" s="1816"/>
      <c r="I137" s="1816"/>
      <c r="J137" s="1816"/>
      <c r="K137" s="1816"/>
    </row>
    <row r="138" spans="1:11">
      <c r="A138" s="1816"/>
      <c r="B138" s="1816"/>
      <c r="C138" s="1816"/>
      <c r="D138" s="1816"/>
      <c r="E138" s="1816"/>
      <c r="F138" s="1816"/>
      <c r="G138" s="1816"/>
      <c r="H138" s="1816"/>
      <c r="I138" s="1816"/>
      <c r="J138" s="1816"/>
      <c r="K138" s="1816"/>
    </row>
    <row r="139" spans="1:11">
      <c r="A139" s="1816"/>
      <c r="B139" s="1816"/>
      <c r="C139" s="1816"/>
      <c r="D139" s="1816"/>
      <c r="E139" s="1816"/>
      <c r="F139" s="1816"/>
      <c r="G139" s="1816"/>
      <c r="H139" s="1816"/>
      <c r="I139" s="1816"/>
      <c r="J139" s="1816"/>
      <c r="K139" s="1816"/>
    </row>
    <row r="140" spans="1:11">
      <c r="A140" s="1816"/>
      <c r="B140" s="1816"/>
      <c r="C140" s="1816"/>
      <c r="D140" s="1816"/>
      <c r="E140" s="1816"/>
      <c r="F140" s="1816"/>
      <c r="G140" s="1816"/>
      <c r="H140" s="1816"/>
      <c r="I140" s="1816"/>
      <c r="J140" s="1816"/>
      <c r="K140" s="1816"/>
    </row>
    <row r="141" spans="1:11">
      <c r="A141" s="1816"/>
      <c r="B141" s="1816"/>
      <c r="C141" s="1816"/>
      <c r="D141" s="1816"/>
      <c r="E141" s="1816"/>
      <c r="F141" s="1816"/>
      <c r="G141" s="1816"/>
      <c r="H141" s="1816"/>
      <c r="I141" s="1816"/>
      <c r="J141" s="1816"/>
      <c r="K141" s="1816"/>
    </row>
    <row r="142" spans="1:11">
      <c r="A142" s="1816"/>
      <c r="B142" s="1816"/>
      <c r="C142" s="1816"/>
      <c r="D142" s="1816"/>
      <c r="E142" s="1816"/>
      <c r="F142" s="1816"/>
      <c r="G142" s="1816"/>
      <c r="H142" s="1816"/>
      <c r="I142" s="1816"/>
      <c r="J142" s="1816"/>
      <c r="K142" s="1816"/>
    </row>
    <row r="143" spans="1:11">
      <c r="A143" s="1816"/>
      <c r="B143" s="1816"/>
      <c r="C143" s="1816"/>
      <c r="D143" s="1816"/>
      <c r="E143" s="1816"/>
      <c r="F143" s="1816"/>
      <c r="G143" s="1816"/>
      <c r="H143" s="1816"/>
      <c r="I143" s="1816"/>
      <c r="J143" s="1816"/>
      <c r="K143" s="1816"/>
    </row>
    <row r="144" spans="1:11">
      <c r="A144" s="1816"/>
      <c r="B144" s="1816"/>
      <c r="C144" s="1816"/>
      <c r="D144" s="1816"/>
      <c r="E144" s="1816"/>
      <c r="F144" s="1816"/>
      <c r="G144" s="1816"/>
      <c r="H144" s="1816"/>
      <c r="I144" s="1816"/>
      <c r="J144" s="1816"/>
      <c r="K144" s="1816"/>
    </row>
    <row r="145" spans="1:11">
      <c r="A145" s="1816"/>
      <c r="B145" s="1816"/>
      <c r="C145" s="1816"/>
      <c r="D145" s="1816"/>
      <c r="E145" s="1816"/>
      <c r="F145" s="1816"/>
      <c r="G145" s="1816"/>
      <c r="H145" s="1816"/>
      <c r="I145" s="1816"/>
      <c r="J145" s="1816"/>
      <c r="K145" s="1816"/>
    </row>
    <row r="146" spans="1:11">
      <c r="A146" s="1816"/>
      <c r="B146" s="1816"/>
      <c r="C146" s="1816"/>
      <c r="D146" s="1816"/>
      <c r="E146" s="1816"/>
      <c r="F146" s="1816"/>
      <c r="G146" s="1816"/>
      <c r="H146" s="1816"/>
      <c r="I146" s="1816"/>
      <c r="J146" s="1816"/>
      <c r="K146" s="1816"/>
    </row>
    <row r="147" spans="1:11">
      <c r="A147" s="1816"/>
      <c r="B147" s="1816"/>
      <c r="C147" s="1816"/>
      <c r="D147" s="1816"/>
      <c r="E147" s="1816"/>
      <c r="F147" s="1816"/>
      <c r="G147" s="1816"/>
      <c r="H147" s="1816"/>
      <c r="I147" s="1816"/>
      <c r="J147" s="1816"/>
      <c r="K147" s="1816"/>
    </row>
    <row r="148" spans="1:11">
      <c r="A148" s="1816"/>
      <c r="B148" s="1816"/>
      <c r="C148" s="1816"/>
      <c r="D148" s="1816"/>
      <c r="E148" s="1816"/>
      <c r="F148" s="1816"/>
      <c r="G148" s="1816"/>
      <c r="H148" s="1816"/>
      <c r="I148" s="1816"/>
      <c r="J148" s="1816"/>
      <c r="K148" s="1816"/>
    </row>
    <row r="149" spans="1:11">
      <c r="A149" s="1816"/>
      <c r="B149" s="1816"/>
      <c r="C149" s="1816"/>
      <c r="D149" s="1816"/>
      <c r="E149" s="1816"/>
      <c r="F149" s="1816"/>
      <c r="G149" s="1816"/>
      <c r="H149" s="1816"/>
      <c r="I149" s="1816"/>
      <c r="J149" s="1816"/>
      <c r="K149" s="1816"/>
    </row>
    <row r="150" spans="1:11">
      <c r="A150" s="1816"/>
      <c r="B150" s="1816"/>
      <c r="C150" s="1816"/>
      <c r="D150" s="1816"/>
      <c r="E150" s="1816"/>
      <c r="F150" s="1816"/>
      <c r="G150" s="1816"/>
      <c r="H150" s="1816"/>
      <c r="I150" s="1816"/>
      <c r="J150" s="1816"/>
      <c r="K150" s="1816"/>
    </row>
    <row r="151" spans="1:11">
      <c r="A151" s="1816"/>
      <c r="B151" s="1816"/>
      <c r="C151" s="1816"/>
      <c r="D151" s="1816"/>
      <c r="E151" s="1816"/>
      <c r="F151" s="1816"/>
      <c r="G151" s="1816"/>
      <c r="H151" s="1816"/>
      <c r="I151" s="1816"/>
      <c r="J151" s="1816"/>
      <c r="K151" s="1816"/>
    </row>
    <row r="152" spans="1:11">
      <c r="A152" s="1816"/>
      <c r="B152" s="1816"/>
      <c r="C152" s="1816"/>
      <c r="D152" s="1816"/>
      <c r="E152" s="1816"/>
      <c r="F152" s="1816"/>
      <c r="G152" s="1816"/>
      <c r="H152" s="1816"/>
      <c r="I152" s="1816"/>
      <c r="J152" s="1816"/>
      <c r="K152" s="1816"/>
    </row>
    <row r="153" spans="1:11">
      <c r="A153" s="1816"/>
      <c r="B153" s="1816"/>
      <c r="C153" s="1816"/>
      <c r="D153" s="1816"/>
      <c r="E153" s="1816"/>
      <c r="F153" s="1816"/>
      <c r="G153" s="1816"/>
      <c r="H153" s="1816"/>
      <c r="I153" s="1816"/>
      <c r="J153" s="1816"/>
      <c r="K153" s="1816"/>
    </row>
    <row r="154" spans="1:11">
      <c r="A154" s="1816"/>
      <c r="B154" s="1816"/>
      <c r="C154" s="1816"/>
      <c r="D154" s="1816"/>
      <c r="E154" s="1816"/>
      <c r="F154" s="1816"/>
      <c r="G154" s="1816"/>
      <c r="H154" s="1816"/>
      <c r="I154" s="1816"/>
      <c r="J154" s="1816"/>
      <c r="K154" s="1816"/>
    </row>
    <row r="155" spans="1:11">
      <c r="A155" s="1816"/>
      <c r="B155" s="1816"/>
      <c r="C155" s="1816"/>
      <c r="D155" s="1816"/>
      <c r="E155" s="1816"/>
      <c r="F155" s="1816"/>
      <c r="G155" s="1816"/>
      <c r="H155" s="1816"/>
      <c r="I155" s="1816"/>
      <c r="J155" s="1816"/>
      <c r="K155" s="1816"/>
    </row>
    <row r="156" spans="1:11">
      <c r="A156" s="1816"/>
      <c r="B156" s="1816"/>
      <c r="C156" s="1816"/>
      <c r="D156" s="1816"/>
      <c r="E156" s="1816"/>
      <c r="F156" s="1816"/>
      <c r="G156" s="1816"/>
      <c r="H156" s="1816"/>
      <c r="I156" s="1816"/>
      <c r="J156" s="1816"/>
      <c r="K156" s="1816"/>
    </row>
    <row r="157" spans="1:11">
      <c r="A157" s="1816"/>
      <c r="B157" s="1816"/>
      <c r="C157" s="1816"/>
      <c r="D157" s="1816"/>
      <c r="E157" s="1816"/>
      <c r="F157" s="1816"/>
      <c r="G157" s="1816"/>
      <c r="H157" s="1816"/>
      <c r="I157" s="1816"/>
      <c r="J157" s="1816"/>
      <c r="K157" s="1816"/>
    </row>
    <row r="158" spans="1:11">
      <c r="A158" s="1816"/>
      <c r="B158" s="1816"/>
      <c r="C158" s="1816"/>
      <c r="D158" s="1816"/>
      <c r="E158" s="1816"/>
      <c r="F158" s="1816"/>
      <c r="G158" s="1816"/>
      <c r="H158" s="1816"/>
      <c r="I158" s="1816"/>
      <c r="J158" s="1816"/>
      <c r="K158" s="1816"/>
    </row>
    <row r="159" spans="1:11">
      <c r="A159" s="1816"/>
      <c r="B159" s="1816"/>
      <c r="C159" s="1816"/>
      <c r="D159" s="1816"/>
      <c r="E159" s="1816"/>
      <c r="F159" s="1816"/>
      <c r="G159" s="1816"/>
      <c r="H159" s="1816"/>
      <c r="I159" s="1816"/>
      <c r="J159" s="1816"/>
      <c r="K159" s="1816"/>
    </row>
    <row r="160" spans="1:11">
      <c r="A160" s="1816"/>
      <c r="B160" s="1816"/>
      <c r="C160" s="1816"/>
      <c r="D160" s="1816"/>
      <c r="E160" s="1816"/>
      <c r="F160" s="1816"/>
      <c r="G160" s="1816"/>
      <c r="H160" s="1816"/>
      <c r="I160" s="1816"/>
      <c r="J160" s="1816"/>
      <c r="K160" s="1816"/>
    </row>
    <row r="161" spans="1:11">
      <c r="A161" s="1816"/>
      <c r="B161" s="1816"/>
      <c r="C161" s="1816"/>
      <c r="D161" s="1816"/>
      <c r="E161" s="1816"/>
      <c r="F161" s="1816"/>
      <c r="G161" s="1816"/>
      <c r="H161" s="1816"/>
      <c r="I161" s="1816"/>
      <c r="J161" s="1816"/>
      <c r="K161" s="1816"/>
    </row>
    <row r="162" spans="1:11">
      <c r="A162" s="1816"/>
      <c r="B162" s="1816"/>
      <c r="C162" s="1816"/>
      <c r="D162" s="1816"/>
      <c r="E162" s="1816"/>
      <c r="F162" s="1816"/>
      <c r="G162" s="1816"/>
      <c r="H162" s="1816"/>
      <c r="I162" s="1816"/>
      <c r="J162" s="1816"/>
      <c r="K162" s="1816"/>
    </row>
    <row r="163" spans="1:11">
      <c r="A163" s="1816"/>
      <c r="B163" s="1816"/>
      <c r="C163" s="1816"/>
      <c r="D163" s="1816"/>
      <c r="E163" s="1816"/>
      <c r="F163" s="1816"/>
      <c r="G163" s="1816"/>
      <c r="H163" s="1816"/>
      <c r="I163" s="1816"/>
      <c r="J163" s="1816"/>
      <c r="K163" s="1816"/>
    </row>
    <row r="164" spans="1:11">
      <c r="A164" s="1816"/>
      <c r="B164" s="1816"/>
      <c r="C164" s="1816"/>
      <c r="D164" s="1816"/>
      <c r="E164" s="1816"/>
      <c r="F164" s="1816"/>
      <c r="G164" s="1816"/>
      <c r="H164" s="1816"/>
      <c r="I164" s="1816"/>
      <c r="J164" s="1816"/>
      <c r="K164" s="1816"/>
    </row>
    <row r="165" spans="1:11">
      <c r="A165" s="1816"/>
      <c r="B165" s="1816"/>
      <c r="C165" s="1816"/>
      <c r="D165" s="1816"/>
      <c r="E165" s="1816"/>
      <c r="F165" s="1816"/>
      <c r="G165" s="1816"/>
      <c r="H165" s="1816"/>
      <c r="I165" s="1816"/>
      <c r="J165" s="1816"/>
      <c r="K165" s="1816"/>
    </row>
    <row r="166" spans="1:11">
      <c r="A166" s="1816"/>
      <c r="B166" s="1816"/>
      <c r="C166" s="1816"/>
      <c r="D166" s="1816"/>
      <c r="E166" s="1816"/>
      <c r="F166" s="1816"/>
      <c r="G166" s="1816"/>
      <c r="H166" s="1816"/>
      <c r="I166" s="1816"/>
      <c r="J166" s="1816"/>
      <c r="K166" s="1816"/>
    </row>
    <row r="167" spans="1:11">
      <c r="A167" s="1816"/>
      <c r="B167" s="1816"/>
      <c r="C167" s="1816"/>
      <c r="D167" s="1816"/>
      <c r="E167" s="1816"/>
      <c r="F167" s="1816"/>
      <c r="G167" s="1816"/>
      <c r="H167" s="1816"/>
      <c r="I167" s="1816"/>
      <c r="J167" s="1816"/>
      <c r="K167" s="1816"/>
    </row>
    <row r="168" spans="1:11">
      <c r="A168" s="1816"/>
      <c r="B168" s="1816"/>
      <c r="C168" s="1816"/>
      <c r="D168" s="1816"/>
      <c r="E168" s="1816"/>
      <c r="F168" s="1816"/>
      <c r="G168" s="1816"/>
      <c r="H168" s="1816"/>
      <c r="I168" s="1816"/>
      <c r="J168" s="1816"/>
      <c r="K168" s="1816"/>
    </row>
    <row r="169" spans="1:11">
      <c r="A169" s="1816"/>
      <c r="B169" s="1816"/>
      <c r="C169" s="1816"/>
      <c r="D169" s="1816"/>
      <c r="E169" s="1816"/>
      <c r="F169" s="1816"/>
      <c r="G169" s="1816"/>
      <c r="H169" s="1816"/>
      <c r="I169" s="1816"/>
      <c r="J169" s="1816"/>
      <c r="K169" s="1816"/>
    </row>
    <row r="170" spans="1:11">
      <c r="A170" s="1816"/>
      <c r="B170" s="1816"/>
      <c r="C170" s="1816"/>
      <c r="D170" s="1816"/>
      <c r="E170" s="1816"/>
      <c r="F170" s="1816"/>
      <c r="G170" s="1816"/>
      <c r="H170" s="1816"/>
      <c r="I170" s="1816"/>
      <c r="J170" s="1816"/>
      <c r="K170" s="1816"/>
    </row>
    <row r="171" spans="1:11">
      <c r="A171" s="1816"/>
      <c r="B171" s="1816"/>
      <c r="C171" s="1816"/>
      <c r="D171" s="1816"/>
      <c r="E171" s="1816"/>
      <c r="F171" s="1816"/>
      <c r="G171" s="1816"/>
      <c r="H171" s="1816"/>
      <c r="I171" s="1816"/>
      <c r="J171" s="1816"/>
      <c r="K171" s="1816"/>
    </row>
    <row r="172" spans="1:11">
      <c r="A172" s="1816"/>
      <c r="B172" s="1816"/>
      <c r="C172" s="1816"/>
      <c r="D172" s="1816"/>
      <c r="E172" s="1816"/>
      <c r="F172" s="1816"/>
      <c r="G172" s="1816"/>
      <c r="H172" s="1816"/>
      <c r="I172" s="1816"/>
      <c r="J172" s="1816"/>
      <c r="K172" s="1816"/>
    </row>
    <row r="173" spans="1:11">
      <c r="A173" s="1816"/>
      <c r="B173" s="1816"/>
      <c r="C173" s="1816"/>
      <c r="D173" s="1816"/>
      <c r="E173" s="1816"/>
      <c r="F173" s="1816"/>
      <c r="G173" s="1816"/>
      <c r="H173" s="1816"/>
      <c r="I173" s="1816"/>
      <c r="J173" s="1816"/>
      <c r="K173" s="1816"/>
    </row>
    <row r="174" spans="1:11">
      <c r="A174" s="1816"/>
      <c r="B174" s="1816"/>
      <c r="C174" s="1816"/>
      <c r="D174" s="1816"/>
      <c r="E174" s="1816"/>
      <c r="F174" s="1816"/>
      <c r="G174" s="1816"/>
      <c r="H174" s="1816"/>
      <c r="I174" s="1816"/>
      <c r="J174" s="1816"/>
      <c r="K174" s="1816"/>
    </row>
    <row r="175" spans="1:11">
      <c r="A175" s="1816"/>
      <c r="B175" s="1816"/>
      <c r="C175" s="1816"/>
      <c r="D175" s="1816"/>
      <c r="E175" s="1816"/>
      <c r="F175" s="1816"/>
      <c r="G175" s="1816"/>
      <c r="H175" s="1816"/>
      <c r="I175" s="1816"/>
      <c r="J175" s="1816"/>
      <c r="K175" s="1816"/>
    </row>
    <row r="176" spans="1:11">
      <c r="A176" s="1816"/>
      <c r="B176" s="1816"/>
      <c r="C176" s="1816"/>
      <c r="D176" s="1816"/>
      <c r="E176" s="1816"/>
      <c r="F176" s="1816"/>
      <c r="G176" s="1816"/>
      <c r="H176" s="1816"/>
      <c r="I176" s="1816"/>
      <c r="J176" s="1816"/>
      <c r="K176" s="1816"/>
    </row>
    <row r="177" spans="1:11">
      <c r="A177" s="1816"/>
      <c r="B177" s="1816"/>
      <c r="C177" s="1816"/>
      <c r="D177" s="1816"/>
      <c r="E177" s="1816"/>
      <c r="F177" s="1816"/>
      <c r="G177" s="1816"/>
      <c r="H177" s="1816"/>
      <c r="I177" s="1816"/>
      <c r="J177" s="1816"/>
      <c r="K177" s="1816"/>
    </row>
    <row r="178" spans="1:11">
      <c r="A178" s="1816"/>
      <c r="B178" s="1816"/>
      <c r="C178" s="1816"/>
      <c r="D178" s="1816"/>
      <c r="E178" s="1816"/>
      <c r="F178" s="1816"/>
      <c r="G178" s="1816"/>
      <c r="H178" s="1816"/>
      <c r="I178" s="1816"/>
      <c r="J178" s="1816"/>
      <c r="K178" s="1816"/>
    </row>
    <row r="179" spans="1:11">
      <c r="A179" s="1816"/>
      <c r="B179" s="1816"/>
      <c r="C179" s="1816"/>
      <c r="D179" s="1816"/>
      <c r="E179" s="1816"/>
      <c r="F179" s="1816"/>
      <c r="G179" s="1816"/>
      <c r="H179" s="1816"/>
      <c r="I179" s="1816"/>
      <c r="J179" s="1816"/>
      <c r="K179" s="1816"/>
    </row>
    <row r="180" spans="1:11">
      <c r="A180" s="1816"/>
      <c r="B180" s="1816"/>
      <c r="C180" s="1816"/>
      <c r="D180" s="1816"/>
      <c r="E180" s="1816"/>
      <c r="F180" s="1816"/>
      <c r="G180" s="1816"/>
      <c r="H180" s="1816"/>
      <c r="I180" s="1816"/>
      <c r="J180" s="1816"/>
      <c r="K180" s="1816"/>
    </row>
    <row r="181" spans="1:11">
      <c r="A181" s="1816"/>
      <c r="B181" s="1816"/>
      <c r="C181" s="1816"/>
      <c r="D181" s="1816"/>
      <c r="E181" s="1816"/>
      <c r="F181" s="1816"/>
      <c r="G181" s="1816"/>
      <c r="H181" s="1816"/>
      <c r="I181" s="1816"/>
      <c r="J181" s="1816"/>
      <c r="K181" s="1816"/>
    </row>
    <row r="182" spans="1:11">
      <c r="A182" s="1816"/>
      <c r="B182" s="1816"/>
      <c r="C182" s="1816"/>
      <c r="D182" s="1816"/>
      <c r="E182" s="1816"/>
      <c r="F182" s="1816"/>
      <c r="G182" s="1816"/>
      <c r="H182" s="1816"/>
      <c r="I182" s="1816"/>
      <c r="J182" s="1816"/>
      <c r="K182" s="1816"/>
    </row>
    <row r="183" spans="1:11">
      <c r="A183" s="1816"/>
      <c r="B183" s="1816"/>
      <c r="C183" s="1816"/>
      <c r="D183" s="1816"/>
      <c r="E183" s="1816"/>
      <c r="F183" s="1816"/>
      <c r="G183" s="1816"/>
      <c r="H183" s="1816"/>
      <c r="I183" s="1816"/>
      <c r="J183" s="1816"/>
      <c r="K183" s="1816"/>
    </row>
    <row r="184" spans="1:11">
      <c r="A184" s="1816"/>
      <c r="B184" s="1816"/>
      <c r="C184" s="1816"/>
      <c r="D184" s="1816"/>
      <c r="E184" s="1816"/>
      <c r="F184" s="1816"/>
      <c r="G184" s="1816"/>
      <c r="H184" s="1816"/>
      <c r="I184" s="1816"/>
      <c r="J184" s="1816"/>
      <c r="K184" s="1816"/>
    </row>
    <row r="185" spans="1:11">
      <c r="A185" s="1816"/>
      <c r="B185" s="1816"/>
      <c r="C185" s="1816"/>
      <c r="D185" s="1816"/>
      <c r="E185" s="1816"/>
      <c r="F185" s="1816"/>
      <c r="G185" s="1816"/>
      <c r="H185" s="1816"/>
      <c r="I185" s="1816"/>
      <c r="J185" s="1816"/>
      <c r="K185" s="1816"/>
    </row>
    <row r="186" spans="1:11">
      <c r="A186" s="1816"/>
      <c r="B186" s="1816"/>
      <c r="C186" s="1816"/>
      <c r="D186" s="1816"/>
      <c r="E186" s="1816"/>
      <c r="F186" s="1816"/>
      <c r="G186" s="1816"/>
      <c r="H186" s="1816"/>
      <c r="I186" s="1816"/>
      <c r="J186" s="1816"/>
      <c r="K186" s="1816"/>
    </row>
    <row r="187" spans="1:11">
      <c r="A187" s="1816"/>
      <c r="B187" s="1816"/>
      <c r="C187" s="1816"/>
      <c r="D187" s="1816"/>
      <c r="E187" s="1816"/>
      <c r="F187" s="1816"/>
      <c r="G187" s="1816"/>
      <c r="H187" s="1816"/>
      <c r="I187" s="1816"/>
      <c r="J187" s="1816"/>
      <c r="K187" s="1816"/>
    </row>
    <row r="188" spans="1:11">
      <c r="A188" s="1816"/>
      <c r="B188" s="1816"/>
      <c r="C188" s="1816"/>
      <c r="D188" s="1816"/>
      <c r="E188" s="1816"/>
      <c r="F188" s="1816"/>
      <c r="G188" s="1816"/>
      <c r="H188" s="1816"/>
      <c r="I188" s="1816"/>
      <c r="J188" s="1816"/>
      <c r="K188" s="1816"/>
    </row>
    <row r="189" spans="1:11">
      <c r="A189" s="1816"/>
      <c r="B189" s="1816"/>
      <c r="C189" s="1816"/>
      <c r="D189" s="1816"/>
      <c r="E189" s="1816"/>
      <c r="F189" s="1816"/>
      <c r="G189" s="1816"/>
      <c r="H189" s="1816"/>
      <c r="I189" s="1816"/>
      <c r="J189" s="1816"/>
      <c r="K189" s="1816"/>
    </row>
    <row r="190" spans="1:11">
      <c r="A190" s="1816"/>
      <c r="B190" s="1816"/>
      <c r="C190" s="1816"/>
      <c r="D190" s="1816"/>
      <c r="E190" s="1816"/>
      <c r="F190" s="1816"/>
      <c r="G190" s="1816"/>
      <c r="H190" s="1816"/>
      <c r="I190" s="1816"/>
      <c r="J190" s="1816"/>
      <c r="K190" s="1816"/>
    </row>
    <row r="191" spans="1:11">
      <c r="A191" s="1816"/>
      <c r="B191" s="1816"/>
      <c r="C191" s="1816"/>
      <c r="D191" s="1816"/>
      <c r="E191" s="1816"/>
      <c r="F191" s="1816"/>
      <c r="G191" s="1816"/>
      <c r="H191" s="1816"/>
      <c r="I191" s="1816"/>
      <c r="J191" s="1816"/>
      <c r="K191" s="1816"/>
    </row>
    <row r="192" spans="1:11">
      <c r="A192" s="1816"/>
      <c r="B192" s="1816"/>
      <c r="C192" s="1816"/>
      <c r="D192" s="1816"/>
      <c r="E192" s="1816"/>
      <c r="F192" s="1816"/>
      <c r="G192" s="1816"/>
      <c r="H192" s="1816"/>
      <c r="I192" s="1816"/>
      <c r="J192" s="1816"/>
      <c r="K192" s="1816"/>
    </row>
    <row r="193" spans="1:11">
      <c r="A193" s="1816"/>
      <c r="B193" s="1816"/>
      <c r="C193" s="1816"/>
      <c r="D193" s="1816"/>
      <c r="E193" s="1816"/>
      <c r="F193" s="1816"/>
      <c r="G193" s="1816"/>
      <c r="H193" s="1816"/>
      <c r="I193" s="1816"/>
      <c r="J193" s="1816"/>
      <c r="K193" s="1816"/>
    </row>
    <row r="194" spans="1:11">
      <c r="A194" s="1816"/>
      <c r="B194" s="1816"/>
      <c r="C194" s="1816"/>
      <c r="D194" s="1816"/>
      <c r="E194" s="1816"/>
      <c r="F194" s="1816"/>
      <c r="G194" s="1816"/>
      <c r="H194" s="1816"/>
      <c r="I194" s="1816"/>
      <c r="J194" s="1816"/>
      <c r="K194" s="1816"/>
    </row>
    <row r="195" spans="1:11">
      <c r="A195" s="1816"/>
      <c r="B195" s="1816"/>
      <c r="C195" s="1816"/>
      <c r="D195" s="1816"/>
      <c r="E195" s="1816"/>
      <c r="F195" s="1816"/>
      <c r="G195" s="1816"/>
      <c r="H195" s="1816"/>
      <c r="I195" s="1816"/>
      <c r="J195" s="1816"/>
      <c r="K195" s="1816"/>
    </row>
    <row r="196" spans="1:11">
      <c r="A196" s="1816"/>
      <c r="B196" s="1816"/>
      <c r="C196" s="1816"/>
      <c r="D196" s="1816"/>
      <c r="E196" s="1816"/>
      <c r="F196" s="1816"/>
      <c r="G196" s="1816"/>
      <c r="H196" s="1816"/>
      <c r="I196" s="1816"/>
      <c r="J196" s="1816"/>
      <c r="K196" s="1816"/>
    </row>
    <row r="197" spans="1:11">
      <c r="A197" s="1816"/>
      <c r="B197" s="1816"/>
      <c r="C197" s="1816"/>
      <c r="D197" s="1816"/>
      <c r="E197" s="1816"/>
      <c r="F197" s="1816"/>
      <c r="G197" s="1816"/>
      <c r="H197" s="1816"/>
      <c r="I197" s="1816"/>
      <c r="J197" s="1816"/>
      <c r="K197" s="1816"/>
    </row>
    <row r="198" spans="1:11">
      <c r="A198" s="1816"/>
      <c r="B198" s="1816"/>
      <c r="C198" s="1816"/>
      <c r="D198" s="1816"/>
      <c r="E198" s="1816"/>
      <c r="F198" s="1816"/>
      <c r="G198" s="1816"/>
      <c r="H198" s="1816"/>
      <c r="I198" s="1816"/>
      <c r="J198" s="1816"/>
      <c r="K198" s="1816"/>
    </row>
  </sheetData>
  <printOptions horizontalCentered="1"/>
  <pageMargins left="0.5" right="0" top="0.75" bottom="0" header="0" footer="0"/>
  <pageSetup paperSize="9"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pane xSplit="1" ySplit="7" topLeftCell="B8" activePane="bottomRight" state="frozen"/>
      <selection pane="topRight" activeCell="B1" sqref="B1"/>
      <selection pane="bottomLeft" activeCell="A8" sqref="A8"/>
      <selection pane="bottomRight" activeCell="J20" sqref="J20"/>
    </sheetView>
  </sheetViews>
  <sheetFormatPr defaultRowHeight="12.75"/>
  <cols>
    <col min="1" max="1" width="42.5703125" style="1876" customWidth="1"/>
    <col min="2" max="2" width="14.85546875" style="1876" bestFit="1" customWidth="1"/>
    <col min="3" max="4" width="15.85546875" style="1876" bestFit="1" customWidth="1"/>
    <col min="5" max="5" width="14.7109375" style="1876" bestFit="1" customWidth="1"/>
    <col min="6" max="6" width="16.28515625" style="1876" customWidth="1"/>
    <col min="7" max="7" width="17" style="1876" bestFit="1" customWidth="1"/>
    <col min="8" max="8" width="15.85546875" style="1876" customWidth="1"/>
    <col min="9" max="256" width="9.140625" style="1876"/>
    <col min="257" max="257" width="42.5703125" style="1876" customWidth="1"/>
    <col min="258" max="258" width="14.85546875" style="1876" bestFit="1" customWidth="1"/>
    <col min="259" max="260" width="15.85546875" style="1876" bestFit="1" customWidth="1"/>
    <col min="261" max="261" width="14.7109375" style="1876" bestFit="1" customWidth="1"/>
    <col min="262" max="262" width="16.28515625" style="1876" customWidth="1"/>
    <col min="263" max="263" width="17" style="1876" bestFit="1" customWidth="1"/>
    <col min="264" max="264" width="15.85546875" style="1876" customWidth="1"/>
    <col min="265" max="512" width="9.140625" style="1876"/>
    <col min="513" max="513" width="42.5703125" style="1876" customWidth="1"/>
    <col min="514" max="514" width="14.85546875" style="1876" bestFit="1" customWidth="1"/>
    <col min="515" max="516" width="15.85546875" style="1876" bestFit="1" customWidth="1"/>
    <col min="517" max="517" width="14.7109375" style="1876" bestFit="1" customWidth="1"/>
    <col min="518" max="518" width="16.28515625" style="1876" customWidth="1"/>
    <col min="519" max="519" width="17" style="1876" bestFit="1" customWidth="1"/>
    <col min="520" max="520" width="15.85546875" style="1876" customWidth="1"/>
    <col min="521" max="768" width="9.140625" style="1876"/>
    <col min="769" max="769" width="42.5703125" style="1876" customWidth="1"/>
    <col min="770" max="770" width="14.85546875" style="1876" bestFit="1" customWidth="1"/>
    <col min="771" max="772" width="15.85546875" style="1876" bestFit="1" customWidth="1"/>
    <col min="773" max="773" width="14.7109375" style="1876" bestFit="1" customWidth="1"/>
    <col min="774" max="774" width="16.28515625" style="1876" customWidth="1"/>
    <col min="775" max="775" width="17" style="1876" bestFit="1" customWidth="1"/>
    <col min="776" max="776" width="15.85546875" style="1876" customWidth="1"/>
    <col min="777" max="1024" width="9.140625" style="1876"/>
    <col min="1025" max="1025" width="42.5703125" style="1876" customWidth="1"/>
    <col min="1026" max="1026" width="14.85546875" style="1876" bestFit="1" customWidth="1"/>
    <col min="1027" max="1028" width="15.85546875" style="1876" bestFit="1" customWidth="1"/>
    <col min="1029" max="1029" width="14.7109375" style="1876" bestFit="1" customWidth="1"/>
    <col min="1030" max="1030" width="16.28515625" style="1876" customWidth="1"/>
    <col min="1031" max="1031" width="17" style="1876" bestFit="1" customWidth="1"/>
    <col min="1032" max="1032" width="15.85546875" style="1876" customWidth="1"/>
    <col min="1033" max="1280" width="9.140625" style="1876"/>
    <col min="1281" max="1281" width="42.5703125" style="1876" customWidth="1"/>
    <col min="1282" max="1282" width="14.85546875" style="1876" bestFit="1" customWidth="1"/>
    <col min="1283" max="1284" width="15.85546875" style="1876" bestFit="1" customWidth="1"/>
    <col min="1285" max="1285" width="14.7109375" style="1876" bestFit="1" customWidth="1"/>
    <col min="1286" max="1286" width="16.28515625" style="1876" customWidth="1"/>
    <col min="1287" max="1287" width="17" style="1876" bestFit="1" customWidth="1"/>
    <col min="1288" max="1288" width="15.85546875" style="1876" customWidth="1"/>
    <col min="1289" max="1536" width="9.140625" style="1876"/>
    <col min="1537" max="1537" width="42.5703125" style="1876" customWidth="1"/>
    <col min="1538" max="1538" width="14.85546875" style="1876" bestFit="1" customWidth="1"/>
    <col min="1539" max="1540" width="15.85546875" style="1876" bestFit="1" customWidth="1"/>
    <col min="1541" max="1541" width="14.7109375" style="1876" bestFit="1" customWidth="1"/>
    <col min="1542" max="1542" width="16.28515625" style="1876" customWidth="1"/>
    <col min="1543" max="1543" width="17" style="1876" bestFit="1" customWidth="1"/>
    <col min="1544" max="1544" width="15.85546875" style="1876" customWidth="1"/>
    <col min="1545" max="1792" width="9.140625" style="1876"/>
    <col min="1793" max="1793" width="42.5703125" style="1876" customWidth="1"/>
    <col min="1794" max="1794" width="14.85546875" style="1876" bestFit="1" customWidth="1"/>
    <col min="1795" max="1796" width="15.85546875" style="1876" bestFit="1" customWidth="1"/>
    <col min="1797" max="1797" width="14.7109375" style="1876" bestFit="1" customWidth="1"/>
    <col min="1798" max="1798" width="16.28515625" style="1876" customWidth="1"/>
    <col min="1799" max="1799" width="17" style="1876" bestFit="1" customWidth="1"/>
    <col min="1800" max="1800" width="15.85546875" style="1876" customWidth="1"/>
    <col min="1801" max="2048" width="9.140625" style="1876"/>
    <col min="2049" max="2049" width="42.5703125" style="1876" customWidth="1"/>
    <col min="2050" max="2050" width="14.85546875" style="1876" bestFit="1" customWidth="1"/>
    <col min="2051" max="2052" width="15.85546875" style="1876" bestFit="1" customWidth="1"/>
    <col min="2053" max="2053" width="14.7109375" style="1876" bestFit="1" customWidth="1"/>
    <col min="2054" max="2054" width="16.28515625" style="1876" customWidth="1"/>
    <col min="2055" max="2055" width="17" style="1876" bestFit="1" customWidth="1"/>
    <col min="2056" max="2056" width="15.85546875" style="1876" customWidth="1"/>
    <col min="2057" max="2304" width="9.140625" style="1876"/>
    <col min="2305" max="2305" width="42.5703125" style="1876" customWidth="1"/>
    <col min="2306" max="2306" width="14.85546875" style="1876" bestFit="1" customWidth="1"/>
    <col min="2307" max="2308" width="15.85546875" style="1876" bestFit="1" customWidth="1"/>
    <col min="2309" max="2309" width="14.7109375" style="1876" bestFit="1" customWidth="1"/>
    <col min="2310" max="2310" width="16.28515625" style="1876" customWidth="1"/>
    <col min="2311" max="2311" width="17" style="1876" bestFit="1" customWidth="1"/>
    <col min="2312" max="2312" width="15.85546875" style="1876" customWidth="1"/>
    <col min="2313" max="2560" width="9.140625" style="1876"/>
    <col min="2561" max="2561" width="42.5703125" style="1876" customWidth="1"/>
    <col min="2562" max="2562" width="14.85546875" style="1876" bestFit="1" customWidth="1"/>
    <col min="2563" max="2564" width="15.85546875" style="1876" bestFit="1" customWidth="1"/>
    <col min="2565" max="2565" width="14.7109375" style="1876" bestFit="1" customWidth="1"/>
    <col min="2566" max="2566" width="16.28515625" style="1876" customWidth="1"/>
    <col min="2567" max="2567" width="17" style="1876" bestFit="1" customWidth="1"/>
    <col min="2568" max="2568" width="15.85546875" style="1876" customWidth="1"/>
    <col min="2569" max="2816" width="9.140625" style="1876"/>
    <col min="2817" max="2817" width="42.5703125" style="1876" customWidth="1"/>
    <col min="2818" max="2818" width="14.85546875" style="1876" bestFit="1" customWidth="1"/>
    <col min="2819" max="2820" width="15.85546875" style="1876" bestFit="1" customWidth="1"/>
    <col min="2821" max="2821" width="14.7109375" style="1876" bestFit="1" customWidth="1"/>
    <col min="2822" max="2822" width="16.28515625" style="1876" customWidth="1"/>
    <col min="2823" max="2823" width="17" style="1876" bestFit="1" customWidth="1"/>
    <col min="2824" max="2824" width="15.85546875" style="1876" customWidth="1"/>
    <col min="2825" max="3072" width="9.140625" style="1876"/>
    <col min="3073" max="3073" width="42.5703125" style="1876" customWidth="1"/>
    <col min="3074" max="3074" width="14.85546875" style="1876" bestFit="1" customWidth="1"/>
    <col min="3075" max="3076" width="15.85546875" style="1876" bestFit="1" customWidth="1"/>
    <col min="3077" max="3077" width="14.7109375" style="1876" bestFit="1" customWidth="1"/>
    <col min="3078" max="3078" width="16.28515625" style="1876" customWidth="1"/>
    <col min="3079" max="3079" width="17" style="1876" bestFit="1" customWidth="1"/>
    <col min="3080" max="3080" width="15.85546875" style="1876" customWidth="1"/>
    <col min="3081" max="3328" width="9.140625" style="1876"/>
    <col min="3329" max="3329" width="42.5703125" style="1876" customWidth="1"/>
    <col min="3330" max="3330" width="14.85546875" style="1876" bestFit="1" customWidth="1"/>
    <col min="3331" max="3332" width="15.85546875" style="1876" bestFit="1" customWidth="1"/>
    <col min="3333" max="3333" width="14.7109375" style="1876" bestFit="1" customWidth="1"/>
    <col min="3334" max="3334" width="16.28515625" style="1876" customWidth="1"/>
    <col min="3335" max="3335" width="17" style="1876" bestFit="1" customWidth="1"/>
    <col min="3336" max="3336" width="15.85546875" style="1876" customWidth="1"/>
    <col min="3337" max="3584" width="9.140625" style="1876"/>
    <col min="3585" max="3585" width="42.5703125" style="1876" customWidth="1"/>
    <col min="3586" max="3586" width="14.85546875" style="1876" bestFit="1" customWidth="1"/>
    <col min="3587" max="3588" width="15.85546875" style="1876" bestFit="1" customWidth="1"/>
    <col min="3589" max="3589" width="14.7109375" style="1876" bestFit="1" customWidth="1"/>
    <col min="3590" max="3590" width="16.28515625" style="1876" customWidth="1"/>
    <col min="3591" max="3591" width="17" style="1876" bestFit="1" customWidth="1"/>
    <col min="3592" max="3592" width="15.85546875" style="1876" customWidth="1"/>
    <col min="3593" max="3840" width="9.140625" style="1876"/>
    <col min="3841" max="3841" width="42.5703125" style="1876" customWidth="1"/>
    <col min="3842" max="3842" width="14.85546875" style="1876" bestFit="1" customWidth="1"/>
    <col min="3843" max="3844" width="15.85546875" style="1876" bestFit="1" customWidth="1"/>
    <col min="3845" max="3845" width="14.7109375" style="1876" bestFit="1" customWidth="1"/>
    <col min="3846" max="3846" width="16.28515625" style="1876" customWidth="1"/>
    <col min="3847" max="3847" width="17" style="1876" bestFit="1" customWidth="1"/>
    <col min="3848" max="3848" width="15.85546875" style="1876" customWidth="1"/>
    <col min="3849" max="4096" width="9.140625" style="1876"/>
    <col min="4097" max="4097" width="42.5703125" style="1876" customWidth="1"/>
    <col min="4098" max="4098" width="14.85546875" style="1876" bestFit="1" customWidth="1"/>
    <col min="4099" max="4100" width="15.85546875" style="1876" bestFit="1" customWidth="1"/>
    <col min="4101" max="4101" width="14.7109375" style="1876" bestFit="1" customWidth="1"/>
    <col min="4102" max="4102" width="16.28515625" style="1876" customWidth="1"/>
    <col min="4103" max="4103" width="17" style="1876" bestFit="1" customWidth="1"/>
    <col min="4104" max="4104" width="15.85546875" style="1876" customWidth="1"/>
    <col min="4105" max="4352" width="9.140625" style="1876"/>
    <col min="4353" max="4353" width="42.5703125" style="1876" customWidth="1"/>
    <col min="4354" max="4354" width="14.85546875" style="1876" bestFit="1" customWidth="1"/>
    <col min="4355" max="4356" width="15.85546875" style="1876" bestFit="1" customWidth="1"/>
    <col min="4357" max="4357" width="14.7109375" style="1876" bestFit="1" customWidth="1"/>
    <col min="4358" max="4358" width="16.28515625" style="1876" customWidth="1"/>
    <col min="4359" max="4359" width="17" style="1876" bestFit="1" customWidth="1"/>
    <col min="4360" max="4360" width="15.85546875" style="1876" customWidth="1"/>
    <col min="4361" max="4608" width="9.140625" style="1876"/>
    <col min="4609" max="4609" width="42.5703125" style="1876" customWidth="1"/>
    <col min="4610" max="4610" width="14.85546875" style="1876" bestFit="1" customWidth="1"/>
    <col min="4611" max="4612" width="15.85546875" style="1876" bestFit="1" customWidth="1"/>
    <col min="4613" max="4613" width="14.7109375" style="1876" bestFit="1" customWidth="1"/>
    <col min="4614" max="4614" width="16.28515625" style="1876" customWidth="1"/>
    <col min="4615" max="4615" width="17" style="1876" bestFit="1" customWidth="1"/>
    <col min="4616" max="4616" width="15.85546875" style="1876" customWidth="1"/>
    <col min="4617" max="4864" width="9.140625" style="1876"/>
    <col min="4865" max="4865" width="42.5703125" style="1876" customWidth="1"/>
    <col min="4866" max="4866" width="14.85546875" style="1876" bestFit="1" customWidth="1"/>
    <col min="4867" max="4868" width="15.85546875" style="1876" bestFit="1" customWidth="1"/>
    <col min="4869" max="4869" width="14.7109375" style="1876" bestFit="1" customWidth="1"/>
    <col min="4870" max="4870" width="16.28515625" style="1876" customWidth="1"/>
    <col min="4871" max="4871" width="17" style="1876" bestFit="1" customWidth="1"/>
    <col min="4872" max="4872" width="15.85546875" style="1876" customWidth="1"/>
    <col min="4873" max="5120" width="9.140625" style="1876"/>
    <col min="5121" max="5121" width="42.5703125" style="1876" customWidth="1"/>
    <col min="5122" max="5122" width="14.85546875" style="1876" bestFit="1" customWidth="1"/>
    <col min="5123" max="5124" width="15.85546875" style="1876" bestFit="1" customWidth="1"/>
    <col min="5125" max="5125" width="14.7109375" style="1876" bestFit="1" customWidth="1"/>
    <col min="5126" max="5126" width="16.28515625" style="1876" customWidth="1"/>
    <col min="5127" max="5127" width="17" style="1876" bestFit="1" customWidth="1"/>
    <col min="5128" max="5128" width="15.85546875" style="1876" customWidth="1"/>
    <col min="5129" max="5376" width="9.140625" style="1876"/>
    <col min="5377" max="5377" width="42.5703125" style="1876" customWidth="1"/>
    <col min="5378" max="5378" width="14.85546875" style="1876" bestFit="1" customWidth="1"/>
    <col min="5379" max="5380" width="15.85546875" style="1876" bestFit="1" customWidth="1"/>
    <col min="5381" max="5381" width="14.7109375" style="1876" bestFit="1" customWidth="1"/>
    <col min="5382" max="5382" width="16.28515625" style="1876" customWidth="1"/>
    <col min="5383" max="5383" width="17" style="1876" bestFit="1" customWidth="1"/>
    <col min="5384" max="5384" width="15.85546875" style="1876" customWidth="1"/>
    <col min="5385" max="5632" width="9.140625" style="1876"/>
    <col min="5633" max="5633" width="42.5703125" style="1876" customWidth="1"/>
    <col min="5634" max="5634" width="14.85546875" style="1876" bestFit="1" customWidth="1"/>
    <col min="5635" max="5636" width="15.85546875" style="1876" bestFit="1" customWidth="1"/>
    <col min="5637" max="5637" width="14.7109375" style="1876" bestFit="1" customWidth="1"/>
    <col min="5638" max="5638" width="16.28515625" style="1876" customWidth="1"/>
    <col min="5639" max="5639" width="17" style="1876" bestFit="1" customWidth="1"/>
    <col min="5640" max="5640" width="15.85546875" style="1876" customWidth="1"/>
    <col min="5641" max="5888" width="9.140625" style="1876"/>
    <col min="5889" max="5889" width="42.5703125" style="1876" customWidth="1"/>
    <col min="5890" max="5890" width="14.85546875" style="1876" bestFit="1" customWidth="1"/>
    <col min="5891" max="5892" width="15.85546875" style="1876" bestFit="1" customWidth="1"/>
    <col min="5893" max="5893" width="14.7109375" style="1876" bestFit="1" customWidth="1"/>
    <col min="5894" max="5894" width="16.28515625" style="1876" customWidth="1"/>
    <col min="5895" max="5895" width="17" style="1876" bestFit="1" customWidth="1"/>
    <col min="5896" max="5896" width="15.85546875" style="1876" customWidth="1"/>
    <col min="5897" max="6144" width="9.140625" style="1876"/>
    <col min="6145" max="6145" width="42.5703125" style="1876" customWidth="1"/>
    <col min="6146" max="6146" width="14.85546875" style="1876" bestFit="1" customWidth="1"/>
    <col min="6147" max="6148" width="15.85546875" style="1876" bestFit="1" customWidth="1"/>
    <col min="6149" max="6149" width="14.7109375" style="1876" bestFit="1" customWidth="1"/>
    <col min="6150" max="6150" width="16.28515625" style="1876" customWidth="1"/>
    <col min="6151" max="6151" width="17" style="1876" bestFit="1" customWidth="1"/>
    <col min="6152" max="6152" width="15.85546875" style="1876" customWidth="1"/>
    <col min="6153" max="6400" width="9.140625" style="1876"/>
    <col min="6401" max="6401" width="42.5703125" style="1876" customWidth="1"/>
    <col min="6402" max="6402" width="14.85546875" style="1876" bestFit="1" customWidth="1"/>
    <col min="6403" max="6404" width="15.85546875" style="1876" bestFit="1" customWidth="1"/>
    <col min="6405" max="6405" width="14.7109375" style="1876" bestFit="1" customWidth="1"/>
    <col min="6406" max="6406" width="16.28515625" style="1876" customWidth="1"/>
    <col min="6407" max="6407" width="17" style="1876" bestFit="1" customWidth="1"/>
    <col min="6408" max="6408" width="15.85546875" style="1876" customWidth="1"/>
    <col min="6409" max="6656" width="9.140625" style="1876"/>
    <col min="6657" max="6657" width="42.5703125" style="1876" customWidth="1"/>
    <col min="6658" max="6658" width="14.85546875" style="1876" bestFit="1" customWidth="1"/>
    <col min="6659" max="6660" width="15.85546875" style="1876" bestFit="1" customWidth="1"/>
    <col min="6661" max="6661" width="14.7109375" style="1876" bestFit="1" customWidth="1"/>
    <col min="6662" max="6662" width="16.28515625" style="1876" customWidth="1"/>
    <col min="6663" max="6663" width="17" style="1876" bestFit="1" customWidth="1"/>
    <col min="6664" max="6664" width="15.85546875" style="1876" customWidth="1"/>
    <col min="6665" max="6912" width="9.140625" style="1876"/>
    <col min="6913" max="6913" width="42.5703125" style="1876" customWidth="1"/>
    <col min="6914" max="6914" width="14.85546875" style="1876" bestFit="1" customWidth="1"/>
    <col min="6915" max="6916" width="15.85546875" style="1876" bestFit="1" customWidth="1"/>
    <col min="6917" max="6917" width="14.7109375" style="1876" bestFit="1" customWidth="1"/>
    <col min="6918" max="6918" width="16.28515625" style="1876" customWidth="1"/>
    <col min="6919" max="6919" width="17" style="1876" bestFit="1" customWidth="1"/>
    <col min="6920" max="6920" width="15.85546875" style="1876" customWidth="1"/>
    <col min="6921" max="7168" width="9.140625" style="1876"/>
    <col min="7169" max="7169" width="42.5703125" style="1876" customWidth="1"/>
    <col min="7170" max="7170" width="14.85546875" style="1876" bestFit="1" customWidth="1"/>
    <col min="7171" max="7172" width="15.85546875" style="1876" bestFit="1" customWidth="1"/>
    <col min="7173" max="7173" width="14.7109375" style="1876" bestFit="1" customWidth="1"/>
    <col min="7174" max="7174" width="16.28515625" style="1876" customWidth="1"/>
    <col min="7175" max="7175" width="17" style="1876" bestFit="1" customWidth="1"/>
    <col min="7176" max="7176" width="15.85546875" style="1876" customWidth="1"/>
    <col min="7177" max="7424" width="9.140625" style="1876"/>
    <col min="7425" max="7425" width="42.5703125" style="1876" customWidth="1"/>
    <col min="7426" max="7426" width="14.85546875" style="1876" bestFit="1" customWidth="1"/>
    <col min="7427" max="7428" width="15.85546875" style="1876" bestFit="1" customWidth="1"/>
    <col min="7429" max="7429" width="14.7109375" style="1876" bestFit="1" customWidth="1"/>
    <col min="7430" max="7430" width="16.28515625" style="1876" customWidth="1"/>
    <col min="7431" max="7431" width="17" style="1876" bestFit="1" customWidth="1"/>
    <col min="7432" max="7432" width="15.85546875" style="1876" customWidth="1"/>
    <col min="7433" max="7680" width="9.140625" style="1876"/>
    <col min="7681" max="7681" width="42.5703125" style="1876" customWidth="1"/>
    <col min="7682" max="7682" width="14.85546875" style="1876" bestFit="1" customWidth="1"/>
    <col min="7683" max="7684" width="15.85546875" style="1876" bestFit="1" customWidth="1"/>
    <col min="7685" max="7685" width="14.7109375" style="1876" bestFit="1" customWidth="1"/>
    <col min="7686" max="7686" width="16.28515625" style="1876" customWidth="1"/>
    <col min="7687" max="7687" width="17" style="1876" bestFit="1" customWidth="1"/>
    <col min="7688" max="7688" width="15.85546875" style="1876" customWidth="1"/>
    <col min="7689" max="7936" width="9.140625" style="1876"/>
    <col min="7937" max="7937" width="42.5703125" style="1876" customWidth="1"/>
    <col min="7938" max="7938" width="14.85546875" style="1876" bestFit="1" customWidth="1"/>
    <col min="7939" max="7940" width="15.85546875" style="1876" bestFit="1" customWidth="1"/>
    <col min="7941" max="7941" width="14.7109375" style="1876" bestFit="1" customWidth="1"/>
    <col min="7942" max="7942" width="16.28515625" style="1876" customWidth="1"/>
    <col min="7943" max="7943" width="17" style="1876" bestFit="1" customWidth="1"/>
    <col min="7944" max="7944" width="15.85546875" style="1876" customWidth="1"/>
    <col min="7945" max="8192" width="9.140625" style="1876"/>
    <col min="8193" max="8193" width="42.5703125" style="1876" customWidth="1"/>
    <col min="8194" max="8194" width="14.85546875" style="1876" bestFit="1" customWidth="1"/>
    <col min="8195" max="8196" width="15.85546875" style="1876" bestFit="1" customWidth="1"/>
    <col min="8197" max="8197" width="14.7109375" style="1876" bestFit="1" customWidth="1"/>
    <col min="8198" max="8198" width="16.28515625" style="1876" customWidth="1"/>
    <col min="8199" max="8199" width="17" style="1876" bestFit="1" customWidth="1"/>
    <col min="8200" max="8200" width="15.85546875" style="1876" customWidth="1"/>
    <col min="8201" max="8448" width="9.140625" style="1876"/>
    <col min="8449" max="8449" width="42.5703125" style="1876" customWidth="1"/>
    <col min="8450" max="8450" width="14.85546875" style="1876" bestFit="1" customWidth="1"/>
    <col min="8451" max="8452" width="15.85546875" style="1876" bestFit="1" customWidth="1"/>
    <col min="8453" max="8453" width="14.7109375" style="1876" bestFit="1" customWidth="1"/>
    <col min="8454" max="8454" width="16.28515625" style="1876" customWidth="1"/>
    <col min="8455" max="8455" width="17" style="1876" bestFit="1" customWidth="1"/>
    <col min="8456" max="8456" width="15.85546875" style="1876" customWidth="1"/>
    <col min="8457" max="8704" width="9.140625" style="1876"/>
    <col min="8705" max="8705" width="42.5703125" style="1876" customWidth="1"/>
    <col min="8706" max="8706" width="14.85546875" style="1876" bestFit="1" customWidth="1"/>
    <col min="8707" max="8708" width="15.85546875" style="1876" bestFit="1" customWidth="1"/>
    <col min="8709" max="8709" width="14.7109375" style="1876" bestFit="1" customWidth="1"/>
    <col min="8710" max="8710" width="16.28515625" style="1876" customWidth="1"/>
    <col min="8711" max="8711" width="17" style="1876" bestFit="1" customWidth="1"/>
    <col min="8712" max="8712" width="15.85546875" style="1876" customWidth="1"/>
    <col min="8713" max="8960" width="9.140625" style="1876"/>
    <col min="8961" max="8961" width="42.5703125" style="1876" customWidth="1"/>
    <col min="8962" max="8962" width="14.85546875" style="1876" bestFit="1" customWidth="1"/>
    <col min="8963" max="8964" width="15.85546875" style="1876" bestFit="1" customWidth="1"/>
    <col min="8965" max="8965" width="14.7109375" style="1876" bestFit="1" customWidth="1"/>
    <col min="8966" max="8966" width="16.28515625" style="1876" customWidth="1"/>
    <col min="8967" max="8967" width="17" style="1876" bestFit="1" customWidth="1"/>
    <col min="8968" max="8968" width="15.85546875" style="1876" customWidth="1"/>
    <col min="8969" max="9216" width="9.140625" style="1876"/>
    <col min="9217" max="9217" width="42.5703125" style="1876" customWidth="1"/>
    <col min="9218" max="9218" width="14.85546875" style="1876" bestFit="1" customWidth="1"/>
    <col min="9219" max="9220" width="15.85546875" style="1876" bestFit="1" customWidth="1"/>
    <col min="9221" max="9221" width="14.7109375" style="1876" bestFit="1" customWidth="1"/>
    <col min="9222" max="9222" width="16.28515625" style="1876" customWidth="1"/>
    <col min="9223" max="9223" width="17" style="1876" bestFit="1" customWidth="1"/>
    <col min="9224" max="9224" width="15.85546875" style="1876" customWidth="1"/>
    <col min="9225" max="9472" width="9.140625" style="1876"/>
    <col min="9473" max="9473" width="42.5703125" style="1876" customWidth="1"/>
    <col min="9474" max="9474" width="14.85546875" style="1876" bestFit="1" customWidth="1"/>
    <col min="9475" max="9476" width="15.85546875" style="1876" bestFit="1" customWidth="1"/>
    <col min="9477" max="9477" width="14.7109375" style="1876" bestFit="1" customWidth="1"/>
    <col min="9478" max="9478" width="16.28515625" style="1876" customWidth="1"/>
    <col min="9479" max="9479" width="17" style="1876" bestFit="1" customWidth="1"/>
    <col min="9480" max="9480" width="15.85546875" style="1876" customWidth="1"/>
    <col min="9481" max="9728" width="9.140625" style="1876"/>
    <col min="9729" max="9729" width="42.5703125" style="1876" customWidth="1"/>
    <col min="9730" max="9730" width="14.85546875" style="1876" bestFit="1" customWidth="1"/>
    <col min="9731" max="9732" width="15.85546875" style="1876" bestFit="1" customWidth="1"/>
    <col min="9733" max="9733" width="14.7109375" style="1876" bestFit="1" customWidth="1"/>
    <col min="9734" max="9734" width="16.28515625" style="1876" customWidth="1"/>
    <col min="9735" max="9735" width="17" style="1876" bestFit="1" customWidth="1"/>
    <col min="9736" max="9736" width="15.85546875" style="1876" customWidth="1"/>
    <col min="9737" max="9984" width="9.140625" style="1876"/>
    <col min="9985" max="9985" width="42.5703125" style="1876" customWidth="1"/>
    <col min="9986" max="9986" width="14.85546875" style="1876" bestFit="1" customWidth="1"/>
    <col min="9987" max="9988" width="15.85546875" style="1876" bestFit="1" customWidth="1"/>
    <col min="9989" max="9989" width="14.7109375" style="1876" bestFit="1" customWidth="1"/>
    <col min="9990" max="9990" width="16.28515625" style="1876" customWidth="1"/>
    <col min="9991" max="9991" width="17" style="1876" bestFit="1" customWidth="1"/>
    <col min="9992" max="9992" width="15.85546875" style="1876" customWidth="1"/>
    <col min="9993" max="10240" width="9.140625" style="1876"/>
    <col min="10241" max="10241" width="42.5703125" style="1876" customWidth="1"/>
    <col min="10242" max="10242" width="14.85546875" style="1876" bestFit="1" customWidth="1"/>
    <col min="10243" max="10244" width="15.85546875" style="1876" bestFit="1" customWidth="1"/>
    <col min="10245" max="10245" width="14.7109375" style="1876" bestFit="1" customWidth="1"/>
    <col min="10246" max="10246" width="16.28515625" style="1876" customWidth="1"/>
    <col min="10247" max="10247" width="17" style="1876" bestFit="1" customWidth="1"/>
    <col min="10248" max="10248" width="15.85546875" style="1876" customWidth="1"/>
    <col min="10249" max="10496" width="9.140625" style="1876"/>
    <col min="10497" max="10497" width="42.5703125" style="1876" customWidth="1"/>
    <col min="10498" max="10498" width="14.85546875" style="1876" bestFit="1" customWidth="1"/>
    <col min="10499" max="10500" width="15.85546875" style="1876" bestFit="1" customWidth="1"/>
    <col min="10501" max="10501" width="14.7109375" style="1876" bestFit="1" customWidth="1"/>
    <col min="10502" max="10502" width="16.28515625" style="1876" customWidth="1"/>
    <col min="10503" max="10503" width="17" style="1876" bestFit="1" customWidth="1"/>
    <col min="10504" max="10504" width="15.85546875" style="1876" customWidth="1"/>
    <col min="10505" max="10752" width="9.140625" style="1876"/>
    <col min="10753" max="10753" width="42.5703125" style="1876" customWidth="1"/>
    <col min="10754" max="10754" width="14.85546875" style="1876" bestFit="1" customWidth="1"/>
    <col min="10755" max="10756" width="15.85546875" style="1876" bestFit="1" customWidth="1"/>
    <col min="10757" max="10757" width="14.7109375" style="1876" bestFit="1" customWidth="1"/>
    <col min="10758" max="10758" width="16.28515625" style="1876" customWidth="1"/>
    <col min="10759" max="10759" width="17" style="1876" bestFit="1" customWidth="1"/>
    <col min="10760" max="10760" width="15.85546875" style="1876" customWidth="1"/>
    <col min="10761" max="11008" width="9.140625" style="1876"/>
    <col min="11009" max="11009" width="42.5703125" style="1876" customWidth="1"/>
    <col min="11010" max="11010" width="14.85546875" style="1876" bestFit="1" customWidth="1"/>
    <col min="11011" max="11012" width="15.85546875" style="1876" bestFit="1" customWidth="1"/>
    <col min="11013" max="11013" width="14.7109375" style="1876" bestFit="1" customWidth="1"/>
    <col min="11014" max="11014" width="16.28515625" style="1876" customWidth="1"/>
    <col min="11015" max="11015" width="17" style="1876" bestFit="1" customWidth="1"/>
    <col min="11016" max="11016" width="15.85546875" style="1876" customWidth="1"/>
    <col min="11017" max="11264" width="9.140625" style="1876"/>
    <col min="11265" max="11265" width="42.5703125" style="1876" customWidth="1"/>
    <col min="11266" max="11266" width="14.85546875" style="1876" bestFit="1" customWidth="1"/>
    <col min="11267" max="11268" width="15.85546875" style="1876" bestFit="1" customWidth="1"/>
    <col min="11269" max="11269" width="14.7109375" style="1876" bestFit="1" customWidth="1"/>
    <col min="11270" max="11270" width="16.28515625" style="1876" customWidth="1"/>
    <col min="11271" max="11271" width="17" style="1876" bestFit="1" customWidth="1"/>
    <col min="11272" max="11272" width="15.85546875" style="1876" customWidth="1"/>
    <col min="11273" max="11520" width="9.140625" style="1876"/>
    <col min="11521" max="11521" width="42.5703125" style="1876" customWidth="1"/>
    <col min="11522" max="11522" width="14.85546875" style="1876" bestFit="1" customWidth="1"/>
    <col min="11523" max="11524" width="15.85546875" style="1876" bestFit="1" customWidth="1"/>
    <col min="11525" max="11525" width="14.7109375" style="1876" bestFit="1" customWidth="1"/>
    <col min="11526" max="11526" width="16.28515625" style="1876" customWidth="1"/>
    <col min="11527" max="11527" width="17" style="1876" bestFit="1" customWidth="1"/>
    <col min="11528" max="11528" width="15.85546875" style="1876" customWidth="1"/>
    <col min="11529" max="11776" width="9.140625" style="1876"/>
    <col min="11777" max="11777" width="42.5703125" style="1876" customWidth="1"/>
    <col min="11778" max="11778" width="14.85546875" style="1876" bestFit="1" customWidth="1"/>
    <col min="11779" max="11780" width="15.85546875" style="1876" bestFit="1" customWidth="1"/>
    <col min="11781" max="11781" width="14.7109375" style="1876" bestFit="1" customWidth="1"/>
    <col min="11782" max="11782" width="16.28515625" style="1876" customWidth="1"/>
    <col min="11783" max="11783" width="17" style="1876" bestFit="1" customWidth="1"/>
    <col min="11784" max="11784" width="15.85546875" style="1876" customWidth="1"/>
    <col min="11785" max="12032" width="9.140625" style="1876"/>
    <col min="12033" max="12033" width="42.5703125" style="1876" customWidth="1"/>
    <col min="12034" max="12034" width="14.85546875" style="1876" bestFit="1" customWidth="1"/>
    <col min="12035" max="12036" width="15.85546875" style="1876" bestFit="1" customWidth="1"/>
    <col min="12037" max="12037" width="14.7109375" style="1876" bestFit="1" customWidth="1"/>
    <col min="12038" max="12038" width="16.28515625" style="1876" customWidth="1"/>
    <col min="12039" max="12039" width="17" style="1876" bestFit="1" customWidth="1"/>
    <col min="12040" max="12040" width="15.85546875" style="1876" customWidth="1"/>
    <col min="12041" max="12288" width="9.140625" style="1876"/>
    <col min="12289" max="12289" width="42.5703125" style="1876" customWidth="1"/>
    <col min="12290" max="12290" width="14.85546875" style="1876" bestFit="1" customWidth="1"/>
    <col min="12291" max="12292" width="15.85546875" style="1876" bestFit="1" customWidth="1"/>
    <col min="12293" max="12293" width="14.7109375" style="1876" bestFit="1" customWidth="1"/>
    <col min="12294" max="12294" width="16.28515625" style="1876" customWidth="1"/>
    <col min="12295" max="12295" width="17" style="1876" bestFit="1" customWidth="1"/>
    <col min="12296" max="12296" width="15.85546875" style="1876" customWidth="1"/>
    <col min="12297" max="12544" width="9.140625" style="1876"/>
    <col min="12545" max="12545" width="42.5703125" style="1876" customWidth="1"/>
    <col min="12546" max="12546" width="14.85546875" style="1876" bestFit="1" customWidth="1"/>
    <col min="12547" max="12548" width="15.85546875" style="1876" bestFit="1" customWidth="1"/>
    <col min="12549" max="12549" width="14.7109375" style="1876" bestFit="1" customWidth="1"/>
    <col min="12550" max="12550" width="16.28515625" style="1876" customWidth="1"/>
    <col min="12551" max="12551" width="17" style="1876" bestFit="1" customWidth="1"/>
    <col min="12552" max="12552" width="15.85546875" style="1876" customWidth="1"/>
    <col min="12553" max="12800" width="9.140625" style="1876"/>
    <col min="12801" max="12801" width="42.5703125" style="1876" customWidth="1"/>
    <col min="12802" max="12802" width="14.85546875" style="1876" bestFit="1" customWidth="1"/>
    <col min="12803" max="12804" width="15.85546875" style="1876" bestFit="1" customWidth="1"/>
    <col min="12805" max="12805" width="14.7109375" style="1876" bestFit="1" customWidth="1"/>
    <col min="12806" max="12806" width="16.28515625" style="1876" customWidth="1"/>
    <col min="12807" max="12807" width="17" style="1876" bestFit="1" customWidth="1"/>
    <col min="12808" max="12808" width="15.85546875" style="1876" customWidth="1"/>
    <col min="12809" max="13056" width="9.140625" style="1876"/>
    <col min="13057" max="13057" width="42.5703125" style="1876" customWidth="1"/>
    <col min="13058" max="13058" width="14.85546875" style="1876" bestFit="1" customWidth="1"/>
    <col min="13059" max="13060" width="15.85546875" style="1876" bestFit="1" customWidth="1"/>
    <col min="13061" max="13061" width="14.7109375" style="1876" bestFit="1" customWidth="1"/>
    <col min="13062" max="13062" width="16.28515625" style="1876" customWidth="1"/>
    <col min="13063" max="13063" width="17" style="1876" bestFit="1" customWidth="1"/>
    <col min="13064" max="13064" width="15.85546875" style="1876" customWidth="1"/>
    <col min="13065" max="13312" width="9.140625" style="1876"/>
    <col min="13313" max="13313" width="42.5703125" style="1876" customWidth="1"/>
    <col min="13314" max="13314" width="14.85546875" style="1876" bestFit="1" customWidth="1"/>
    <col min="13315" max="13316" width="15.85546875" style="1876" bestFit="1" customWidth="1"/>
    <col min="13317" max="13317" width="14.7109375" style="1876" bestFit="1" customWidth="1"/>
    <col min="13318" max="13318" width="16.28515625" style="1876" customWidth="1"/>
    <col min="13319" max="13319" width="17" style="1876" bestFit="1" customWidth="1"/>
    <col min="13320" max="13320" width="15.85546875" style="1876" customWidth="1"/>
    <col min="13321" max="13568" width="9.140625" style="1876"/>
    <col min="13569" max="13569" width="42.5703125" style="1876" customWidth="1"/>
    <col min="13570" max="13570" width="14.85546875" style="1876" bestFit="1" customWidth="1"/>
    <col min="13571" max="13572" width="15.85546875" style="1876" bestFit="1" customWidth="1"/>
    <col min="13573" max="13573" width="14.7109375" style="1876" bestFit="1" customWidth="1"/>
    <col min="13574" max="13574" width="16.28515625" style="1876" customWidth="1"/>
    <col min="13575" max="13575" width="17" style="1876" bestFit="1" customWidth="1"/>
    <col min="13576" max="13576" width="15.85546875" style="1876" customWidth="1"/>
    <col min="13577" max="13824" width="9.140625" style="1876"/>
    <col min="13825" max="13825" width="42.5703125" style="1876" customWidth="1"/>
    <col min="13826" max="13826" width="14.85546875" style="1876" bestFit="1" customWidth="1"/>
    <col min="13827" max="13828" width="15.85546875" style="1876" bestFit="1" customWidth="1"/>
    <col min="13829" max="13829" width="14.7109375" style="1876" bestFit="1" customWidth="1"/>
    <col min="13830" max="13830" width="16.28515625" style="1876" customWidth="1"/>
    <col min="13831" max="13831" width="17" style="1876" bestFit="1" customWidth="1"/>
    <col min="13832" max="13832" width="15.85546875" style="1876" customWidth="1"/>
    <col min="13833" max="14080" width="9.140625" style="1876"/>
    <col min="14081" max="14081" width="42.5703125" style="1876" customWidth="1"/>
    <col min="14082" max="14082" width="14.85546875" style="1876" bestFit="1" customWidth="1"/>
    <col min="14083" max="14084" width="15.85546875" style="1876" bestFit="1" customWidth="1"/>
    <col min="14085" max="14085" width="14.7109375" style="1876" bestFit="1" customWidth="1"/>
    <col min="14086" max="14086" width="16.28515625" style="1876" customWidth="1"/>
    <col min="14087" max="14087" width="17" style="1876" bestFit="1" customWidth="1"/>
    <col min="14088" max="14088" width="15.85546875" style="1876" customWidth="1"/>
    <col min="14089" max="14336" width="9.140625" style="1876"/>
    <col min="14337" max="14337" width="42.5703125" style="1876" customWidth="1"/>
    <col min="14338" max="14338" width="14.85546875" style="1876" bestFit="1" customWidth="1"/>
    <col min="14339" max="14340" width="15.85546875" style="1876" bestFit="1" customWidth="1"/>
    <col min="14341" max="14341" width="14.7109375" style="1876" bestFit="1" customWidth="1"/>
    <col min="14342" max="14342" width="16.28515625" style="1876" customWidth="1"/>
    <col min="14343" max="14343" width="17" style="1876" bestFit="1" customWidth="1"/>
    <col min="14344" max="14344" width="15.85546875" style="1876" customWidth="1"/>
    <col min="14345" max="14592" width="9.140625" style="1876"/>
    <col min="14593" max="14593" width="42.5703125" style="1876" customWidth="1"/>
    <col min="14594" max="14594" width="14.85546875" style="1876" bestFit="1" customWidth="1"/>
    <col min="14595" max="14596" width="15.85546875" style="1876" bestFit="1" customWidth="1"/>
    <col min="14597" max="14597" width="14.7109375" style="1876" bestFit="1" customWidth="1"/>
    <col min="14598" max="14598" width="16.28515625" style="1876" customWidth="1"/>
    <col min="14599" max="14599" width="17" style="1876" bestFit="1" customWidth="1"/>
    <col min="14600" max="14600" width="15.85546875" style="1876" customWidth="1"/>
    <col min="14601" max="14848" width="9.140625" style="1876"/>
    <col min="14849" max="14849" width="42.5703125" style="1876" customWidth="1"/>
    <col min="14850" max="14850" width="14.85546875" style="1876" bestFit="1" customWidth="1"/>
    <col min="14851" max="14852" width="15.85546875" style="1876" bestFit="1" customWidth="1"/>
    <col min="14853" max="14853" width="14.7109375" style="1876" bestFit="1" customWidth="1"/>
    <col min="14854" max="14854" width="16.28515625" style="1876" customWidth="1"/>
    <col min="14855" max="14855" width="17" style="1876" bestFit="1" customWidth="1"/>
    <col min="14856" max="14856" width="15.85546875" style="1876" customWidth="1"/>
    <col min="14857" max="15104" width="9.140625" style="1876"/>
    <col min="15105" max="15105" width="42.5703125" style="1876" customWidth="1"/>
    <col min="15106" max="15106" width="14.85546875" style="1876" bestFit="1" customWidth="1"/>
    <col min="15107" max="15108" width="15.85546875" style="1876" bestFit="1" customWidth="1"/>
    <col min="15109" max="15109" width="14.7109375" style="1876" bestFit="1" customWidth="1"/>
    <col min="15110" max="15110" width="16.28515625" style="1876" customWidth="1"/>
    <col min="15111" max="15111" width="17" style="1876" bestFit="1" customWidth="1"/>
    <col min="15112" max="15112" width="15.85546875" style="1876" customWidth="1"/>
    <col min="15113" max="15360" width="9.140625" style="1876"/>
    <col min="15361" max="15361" width="42.5703125" style="1876" customWidth="1"/>
    <col min="15362" max="15362" width="14.85546875" style="1876" bestFit="1" customWidth="1"/>
    <col min="15363" max="15364" width="15.85546875" style="1876" bestFit="1" customWidth="1"/>
    <col min="15365" max="15365" width="14.7109375" style="1876" bestFit="1" customWidth="1"/>
    <col min="15366" max="15366" width="16.28515625" style="1876" customWidth="1"/>
    <col min="15367" max="15367" width="17" style="1876" bestFit="1" customWidth="1"/>
    <col min="15368" max="15368" width="15.85546875" style="1876" customWidth="1"/>
    <col min="15369" max="15616" width="9.140625" style="1876"/>
    <col min="15617" max="15617" width="42.5703125" style="1876" customWidth="1"/>
    <col min="15618" max="15618" width="14.85546875" style="1876" bestFit="1" customWidth="1"/>
    <col min="15619" max="15620" width="15.85546875" style="1876" bestFit="1" customWidth="1"/>
    <col min="15621" max="15621" width="14.7109375" style="1876" bestFit="1" customWidth="1"/>
    <col min="15622" max="15622" width="16.28515625" style="1876" customWidth="1"/>
    <col min="15623" max="15623" width="17" style="1876" bestFit="1" customWidth="1"/>
    <col min="15624" max="15624" width="15.85546875" style="1876" customWidth="1"/>
    <col min="15625" max="15872" width="9.140625" style="1876"/>
    <col min="15873" max="15873" width="42.5703125" style="1876" customWidth="1"/>
    <col min="15874" max="15874" width="14.85546875" style="1876" bestFit="1" customWidth="1"/>
    <col min="15875" max="15876" width="15.85546875" style="1876" bestFit="1" customWidth="1"/>
    <col min="15877" max="15877" width="14.7109375" style="1876" bestFit="1" customWidth="1"/>
    <col min="15878" max="15878" width="16.28515625" style="1876" customWidth="1"/>
    <col min="15879" max="15879" width="17" style="1876" bestFit="1" customWidth="1"/>
    <col min="15880" max="15880" width="15.85546875" style="1876" customWidth="1"/>
    <col min="15881" max="16128" width="9.140625" style="1876"/>
    <col min="16129" max="16129" width="42.5703125" style="1876" customWidth="1"/>
    <col min="16130" max="16130" width="14.85546875" style="1876" bestFit="1" customWidth="1"/>
    <col min="16131" max="16132" width="15.85546875" style="1876" bestFit="1" customWidth="1"/>
    <col min="16133" max="16133" width="14.7109375" style="1876" bestFit="1" customWidth="1"/>
    <col min="16134" max="16134" width="16.28515625" style="1876" customWidth="1"/>
    <col min="16135" max="16135" width="17" style="1876" bestFit="1" customWidth="1"/>
    <col min="16136" max="16136" width="15.85546875" style="1876" customWidth="1"/>
    <col min="16137" max="16384" width="9.140625" style="1876"/>
  </cols>
  <sheetData>
    <row r="1" spans="1:8" ht="18.75">
      <c r="A1" s="1874" t="s">
        <v>3024</v>
      </c>
      <c r="B1" s="1875"/>
      <c r="C1" s="1875"/>
      <c r="D1" s="1875"/>
      <c r="E1" s="1875"/>
      <c r="F1" s="1875"/>
      <c r="G1" s="1875"/>
    </row>
    <row r="2" spans="1:8" ht="13.5" thickBot="1">
      <c r="A2" s="1875"/>
      <c r="B2" s="1875"/>
      <c r="C2" s="1875"/>
      <c r="D2" s="1875"/>
      <c r="E2" s="1875"/>
      <c r="F2" s="1875"/>
      <c r="G2" s="1877" t="s">
        <v>3025</v>
      </c>
    </row>
    <row r="3" spans="1:8" ht="14.25" thickTop="1" thickBot="1">
      <c r="A3" s="1878" t="s">
        <v>854</v>
      </c>
      <c r="B3" s="1879" t="s">
        <v>3026</v>
      </c>
      <c r="C3" s="1880"/>
      <c r="D3" s="1880"/>
      <c r="E3" s="1880"/>
      <c r="F3" s="1880"/>
      <c r="G3" s="1881"/>
    </row>
    <row r="4" spans="1:8">
      <c r="A4" s="1882"/>
      <c r="B4" s="1883" t="s">
        <v>3027</v>
      </c>
      <c r="C4" s="1884" t="s">
        <v>3028</v>
      </c>
      <c r="D4" s="1884" t="s">
        <v>3029</v>
      </c>
      <c r="E4" s="1884" t="s">
        <v>3030</v>
      </c>
      <c r="F4" s="1884" t="s">
        <v>246</v>
      </c>
      <c r="G4" s="1885" t="s">
        <v>198</v>
      </c>
    </row>
    <row r="5" spans="1:8" ht="13.5" thickBot="1">
      <c r="A5" s="1886"/>
      <c r="B5" s="1887" t="s">
        <v>3031</v>
      </c>
      <c r="C5" s="1888" t="s">
        <v>3032</v>
      </c>
      <c r="D5" s="1888"/>
      <c r="E5" s="1888" t="s">
        <v>3033</v>
      </c>
      <c r="F5" s="1888"/>
      <c r="G5" s="1889"/>
    </row>
    <row r="6" spans="1:8" ht="13.5" thickTop="1">
      <c r="A6" s="1890"/>
      <c r="B6" s="1891"/>
      <c r="C6" s="1892"/>
      <c r="D6" s="1892"/>
      <c r="E6" s="1892"/>
      <c r="F6" s="1892"/>
      <c r="G6" s="1893"/>
    </row>
    <row r="7" spans="1:8">
      <c r="A7" s="1890"/>
      <c r="B7" s="1891"/>
      <c r="C7" s="1892"/>
      <c r="D7" s="1892"/>
      <c r="E7" s="1892"/>
      <c r="F7" s="1892"/>
      <c r="G7" s="1893"/>
    </row>
    <row r="8" spans="1:8" ht="15" customHeight="1">
      <c r="A8" s="1894" t="s">
        <v>3034</v>
      </c>
      <c r="B8" s="1895">
        <v>160063844790.72797</v>
      </c>
      <c r="C8" s="1896">
        <v>12918443048.943384</v>
      </c>
      <c r="D8" s="1896">
        <v>32143481819.012192</v>
      </c>
      <c r="E8" s="1896">
        <v>3292486268.6158066</v>
      </c>
      <c r="F8" s="1896">
        <v>9183168052.1044121</v>
      </c>
      <c r="G8" s="1897">
        <v>217601423979.40375</v>
      </c>
      <c r="H8" s="1898"/>
    </row>
    <row r="9" spans="1:8">
      <c r="A9" s="1894"/>
      <c r="B9" s="1899"/>
      <c r="C9" s="1900"/>
      <c r="D9" s="1900"/>
      <c r="E9" s="1900"/>
      <c r="F9" s="1900"/>
      <c r="G9" s="1897"/>
      <c r="H9" s="1898"/>
    </row>
    <row r="10" spans="1:8">
      <c r="A10" s="1890"/>
      <c r="B10" s="1901"/>
      <c r="C10" s="1902"/>
      <c r="D10" s="1902"/>
      <c r="E10" s="1902"/>
      <c r="F10" s="1902"/>
      <c r="G10" s="1903"/>
      <c r="H10" s="1898"/>
    </row>
    <row r="11" spans="1:8" ht="15" customHeight="1">
      <c r="A11" s="1894" t="s">
        <v>3035</v>
      </c>
      <c r="B11" s="1895">
        <v>3496334435.1593294</v>
      </c>
      <c r="C11" s="1896">
        <v>602055210.69531405</v>
      </c>
      <c r="D11" s="1896">
        <v>837142586.40289235</v>
      </c>
      <c r="E11" s="1896">
        <v>34655434.641595356</v>
      </c>
      <c r="F11" s="1896">
        <v>430920599.41340923</v>
      </c>
      <c r="G11" s="1897">
        <v>5401108266.3125401</v>
      </c>
      <c r="H11" s="1898"/>
    </row>
    <row r="12" spans="1:8">
      <c r="A12" s="1894"/>
      <c r="B12" s="1899"/>
      <c r="C12" s="1900"/>
      <c r="D12" s="1900"/>
      <c r="E12" s="1900"/>
      <c r="F12" s="1900"/>
      <c r="G12" s="1897"/>
      <c r="H12" s="1898"/>
    </row>
    <row r="13" spans="1:8">
      <c r="A13" s="1890"/>
      <c r="B13" s="1901"/>
      <c r="C13" s="1902"/>
      <c r="D13" s="1902"/>
      <c r="E13" s="1902"/>
      <c r="F13" s="1902"/>
      <c r="G13" s="1903"/>
      <c r="H13" s="1898"/>
    </row>
    <row r="14" spans="1:8" ht="15" customHeight="1">
      <c r="A14" s="1894" t="s">
        <v>3036</v>
      </c>
      <c r="B14" s="1895">
        <v>161765987710.11957</v>
      </c>
      <c r="C14" s="1896">
        <v>11132344017.860832</v>
      </c>
      <c r="D14" s="1896">
        <v>23377870743.961639</v>
      </c>
      <c r="E14" s="1896">
        <v>3036389031.5325623</v>
      </c>
      <c r="F14" s="1896">
        <v>9650167428.417963</v>
      </c>
      <c r="G14" s="1897">
        <v>208962758931.89249</v>
      </c>
      <c r="H14" s="1898"/>
    </row>
    <row r="15" spans="1:8">
      <c r="A15" s="1894"/>
      <c r="B15" s="1899"/>
      <c r="C15" s="1900"/>
      <c r="D15" s="1900"/>
      <c r="E15" s="1900"/>
      <c r="F15" s="1900"/>
      <c r="G15" s="1897"/>
      <c r="H15" s="1898"/>
    </row>
    <row r="16" spans="1:8">
      <c r="A16" s="1890"/>
      <c r="B16" s="1901"/>
      <c r="C16" s="1902"/>
      <c r="D16" s="1902"/>
      <c r="E16" s="1902"/>
      <c r="F16" s="1902"/>
      <c r="G16" s="1903"/>
      <c r="H16" s="1898"/>
    </row>
    <row r="17" spans="1:8" ht="15" customHeight="1">
      <c r="A17" s="1894" t="s">
        <v>3037</v>
      </c>
      <c r="B17" s="1901">
        <v>78801607191.640778</v>
      </c>
      <c r="C17" s="1902">
        <v>5287639641.6299839</v>
      </c>
      <c r="D17" s="1902">
        <v>6045078804.2070217</v>
      </c>
      <c r="E17" s="1902">
        <v>1728331499.5712893</v>
      </c>
      <c r="F17" s="1902">
        <v>5330000338.9836311</v>
      </c>
      <c r="G17" s="1897">
        <v>97192657476.0327</v>
      </c>
      <c r="H17" s="1898"/>
    </row>
    <row r="18" spans="1:8" ht="15" customHeight="1">
      <c r="A18" s="1894" t="s">
        <v>3038</v>
      </c>
      <c r="B18" s="1901">
        <v>10694803532.253641</v>
      </c>
      <c r="C18" s="1902">
        <v>390330832.89468557</v>
      </c>
      <c r="D18" s="1902">
        <v>715176467.03556263</v>
      </c>
      <c r="E18" s="1902">
        <v>149044331.0188292</v>
      </c>
      <c r="F18" s="1902">
        <v>520552025.54477316</v>
      </c>
      <c r="G18" s="1897">
        <v>12469907188.747492</v>
      </c>
      <c r="H18" s="1898"/>
    </row>
    <row r="19" spans="1:8" ht="15" customHeight="1">
      <c r="A19" s="1894" t="s">
        <v>3039</v>
      </c>
      <c r="B19" s="1901">
        <v>17509461767.660431</v>
      </c>
      <c r="C19" s="1902">
        <v>656063543.01457798</v>
      </c>
      <c r="D19" s="1902">
        <v>5071967064.2573681</v>
      </c>
      <c r="E19" s="1902">
        <v>504651649.00439954</v>
      </c>
      <c r="F19" s="1902">
        <v>767383073.62955892</v>
      </c>
      <c r="G19" s="1897">
        <v>24509527097.566338</v>
      </c>
      <c r="H19" s="1898"/>
    </row>
    <row r="20" spans="1:8" ht="15" customHeight="1">
      <c r="A20" s="1894" t="s">
        <v>3040</v>
      </c>
      <c r="B20" s="1901">
        <v>30787008960.081108</v>
      </c>
      <c r="C20" s="1902">
        <v>490066518.58064044</v>
      </c>
      <c r="D20" s="1902">
        <v>2331264199.4091535</v>
      </c>
      <c r="E20" s="1902">
        <v>231563529.75056487</v>
      </c>
      <c r="F20" s="1902">
        <v>408041665.57222265</v>
      </c>
      <c r="G20" s="1897">
        <v>34247944873.393688</v>
      </c>
      <c r="H20" s="1898"/>
    </row>
    <row r="21" spans="1:8" ht="15" customHeight="1">
      <c r="A21" s="1894" t="s">
        <v>3041</v>
      </c>
      <c r="B21" s="1901">
        <v>16479523797.75478</v>
      </c>
      <c r="C21" s="1902">
        <v>3777296765.6399164</v>
      </c>
      <c r="D21" s="1902">
        <v>4062377736.2275596</v>
      </c>
      <c r="E21" s="1902">
        <v>368744802.12201667</v>
      </c>
      <c r="F21" s="1902">
        <v>1814062207.1656623</v>
      </c>
      <c r="G21" s="1897">
        <v>26502005308.909931</v>
      </c>
      <c r="H21" s="1898"/>
    </row>
    <row r="22" spans="1:8" ht="15" customHeight="1">
      <c r="A22" s="1894" t="s">
        <v>3042</v>
      </c>
      <c r="B22" s="1901">
        <v>3602274768.144187</v>
      </c>
      <c r="C22" s="1902">
        <v>105521827.35580841</v>
      </c>
      <c r="D22" s="1902">
        <v>663836591.64580607</v>
      </c>
      <c r="E22" s="1902">
        <v>53618452.814183332</v>
      </c>
      <c r="F22" s="1902">
        <v>153798574.17127514</v>
      </c>
      <c r="G22" s="1897">
        <v>4579050214.1312599</v>
      </c>
      <c r="H22" s="1898"/>
    </row>
    <row r="23" spans="1:8" ht="15" customHeight="1">
      <c r="A23" s="1894" t="s">
        <v>3043</v>
      </c>
      <c r="B23" s="1901">
        <v>1205094454.7816033</v>
      </c>
      <c r="C23" s="1902">
        <v>111180573.88609543</v>
      </c>
      <c r="D23" s="1902">
        <v>173721840.54528415</v>
      </c>
      <c r="E23" s="1902">
        <v>0</v>
      </c>
      <c r="F23" s="1902">
        <v>60938074.233406506</v>
      </c>
      <c r="G23" s="1897">
        <v>1550934943.4463897</v>
      </c>
      <c r="H23" s="1898"/>
    </row>
    <row r="24" spans="1:8" ht="15" customHeight="1">
      <c r="A24" s="1894" t="s">
        <v>3044</v>
      </c>
      <c r="B24" s="1901">
        <v>849745619.60093808</v>
      </c>
      <c r="C24" s="1902">
        <v>104277653.64449668</v>
      </c>
      <c r="D24" s="1902">
        <v>573497811.46197999</v>
      </c>
      <c r="E24" s="1902">
        <v>434767.25128000003</v>
      </c>
      <c r="F24" s="1902">
        <v>590045344.96343327</v>
      </c>
      <c r="G24" s="1897">
        <v>2118001196.922128</v>
      </c>
      <c r="H24" s="1898"/>
    </row>
    <row r="25" spans="1:8" ht="15" customHeight="1">
      <c r="A25" s="1894" t="s">
        <v>3045</v>
      </c>
      <c r="B25" s="1901">
        <v>437251543.58179665</v>
      </c>
      <c r="C25" s="1902">
        <v>144250068.00024498</v>
      </c>
      <c r="D25" s="1902">
        <v>509579463.8999005</v>
      </c>
      <c r="E25" s="1902">
        <v>0</v>
      </c>
      <c r="F25" s="1902">
        <v>836897.91249999998</v>
      </c>
      <c r="G25" s="1897">
        <v>1091917973.3944421</v>
      </c>
      <c r="H25" s="1898"/>
    </row>
    <row r="26" spans="1:8" ht="15" customHeight="1">
      <c r="A26" s="1894" t="s">
        <v>3046</v>
      </c>
      <c r="B26" s="1901">
        <v>116971808.19702333</v>
      </c>
      <c r="C26" s="1902">
        <v>42711159.275016665</v>
      </c>
      <c r="D26" s="1902">
        <v>220983509.21199998</v>
      </c>
      <c r="E26" s="1902">
        <v>0</v>
      </c>
      <c r="F26" s="1902">
        <v>4509226.2414999995</v>
      </c>
      <c r="G26" s="1897">
        <v>385175702.92553997</v>
      </c>
      <c r="H26" s="1898"/>
    </row>
    <row r="27" spans="1:8" ht="15" customHeight="1">
      <c r="A27" s="1894" t="s">
        <v>3047</v>
      </c>
      <c r="B27" s="1901">
        <v>1282244266.4232335</v>
      </c>
      <c r="C27" s="1902">
        <v>23005433.939366665</v>
      </c>
      <c r="D27" s="1902">
        <v>3010387256.0599999</v>
      </c>
      <c r="E27" s="1902">
        <v>0</v>
      </c>
      <c r="F27" s="1902">
        <v>0</v>
      </c>
      <c r="G27" s="1897">
        <v>4315636956.4225998</v>
      </c>
      <c r="H27" s="1898"/>
    </row>
    <row r="28" spans="1:8">
      <c r="A28" s="1894"/>
      <c r="B28" s="1901"/>
      <c r="C28" s="1902"/>
      <c r="D28" s="1902"/>
      <c r="E28" s="1902"/>
      <c r="F28" s="1902"/>
      <c r="G28" s="1903"/>
      <c r="H28" s="1898"/>
    </row>
    <row r="29" spans="1:8" ht="15.75" customHeight="1">
      <c r="A29" s="1894" t="s">
        <v>247</v>
      </c>
      <c r="B29" s="1895">
        <v>325326166936.00684</v>
      </c>
      <c r="C29" s="1896">
        <v>24652842277.499531</v>
      </c>
      <c r="D29" s="1896">
        <v>56358495149.376724</v>
      </c>
      <c r="E29" s="1896">
        <v>6363530734.7899647</v>
      </c>
      <c r="F29" s="1896">
        <v>19264256079.935783</v>
      </c>
      <c r="G29" s="1897">
        <v>431965291177.60876</v>
      </c>
      <c r="H29" s="1898"/>
    </row>
    <row r="30" spans="1:8" ht="13.5" thickBot="1">
      <c r="A30" s="1904"/>
      <c r="B30" s="1905"/>
      <c r="C30" s="1906"/>
      <c r="D30" s="1906"/>
      <c r="E30" s="1906"/>
      <c r="F30" s="1906"/>
      <c r="G30" s="1907"/>
      <c r="H30" s="1898"/>
    </row>
    <row r="31" spans="1:8" ht="13.5" hidden="1" thickTop="1">
      <c r="A31" s="1875"/>
      <c r="B31" s="1908"/>
      <c r="C31" s="1908"/>
      <c r="D31" s="1908"/>
      <c r="E31" s="1908"/>
      <c r="F31" s="1908"/>
      <c r="G31" s="1875"/>
      <c r="H31" s="1898"/>
    </row>
    <row r="32" spans="1:8" ht="14.25" thickTop="1">
      <c r="A32" s="1909" t="s">
        <v>3048</v>
      </c>
      <c r="B32" s="1910"/>
      <c r="C32" s="1875"/>
      <c r="D32" s="1875"/>
      <c r="E32" s="1909" t="s">
        <v>3049</v>
      </c>
      <c r="F32" s="1875"/>
      <c r="G32" s="1910"/>
      <c r="H32" s="1898"/>
    </row>
    <row r="33" spans="1:12">
      <c r="A33" s="1911" t="s">
        <v>3050</v>
      </c>
      <c r="B33" s="1910"/>
      <c r="C33" s="1910"/>
      <c r="D33" s="1910"/>
      <c r="E33" s="1910"/>
      <c r="F33" s="1910"/>
      <c r="G33" s="1910"/>
      <c r="H33" s="1898"/>
      <c r="I33" s="1898"/>
      <c r="J33" s="1898"/>
      <c r="K33" s="1898"/>
      <c r="L33" s="1898"/>
    </row>
    <row r="34" spans="1:12">
      <c r="A34" s="1911" t="s">
        <v>180</v>
      </c>
      <c r="B34" s="1910"/>
      <c r="C34" s="1910"/>
      <c r="D34" s="1910"/>
      <c r="E34" s="1910"/>
      <c r="F34" s="1910"/>
      <c r="G34" s="1910"/>
      <c r="H34" s="1898"/>
      <c r="I34" s="1898"/>
      <c r="J34" s="1898"/>
      <c r="K34" s="1898"/>
      <c r="L34" s="1898"/>
    </row>
    <row r="35" spans="1:12">
      <c r="B35" s="1898"/>
      <c r="C35" s="1898"/>
      <c r="D35" s="1898"/>
      <c r="E35" s="1898"/>
      <c r="F35" s="1898"/>
      <c r="G35" s="1898"/>
    </row>
  </sheetData>
  <printOptions horizontalCentered="1"/>
  <pageMargins left="0" right="0" top="0.75850393999999999" bottom="0.196850393700787" header="0" footer="0"/>
  <pageSetup paperSize="9" scale="9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workbookViewId="0">
      <selection activeCell="C22" sqref="C22"/>
    </sheetView>
  </sheetViews>
  <sheetFormatPr defaultRowHeight="12.75"/>
  <cols>
    <col min="1" max="1" width="38.140625" style="1915" customWidth="1"/>
    <col min="2" max="2" width="10.140625" style="1915" customWidth="1"/>
    <col min="3" max="3" width="12.85546875" style="1915" customWidth="1"/>
    <col min="4" max="4" width="11.7109375" style="1915" customWidth="1"/>
    <col min="5" max="5" width="11.42578125" style="1915" customWidth="1"/>
    <col min="6" max="6" width="11.28515625" style="1915" customWidth="1"/>
    <col min="7" max="7" width="13.5703125" style="1915" customWidth="1"/>
    <col min="8" max="8" width="10.5703125" style="1915" customWidth="1"/>
    <col min="9" max="9" width="11.7109375" style="1915" customWidth="1"/>
    <col min="10" max="10" width="13.7109375" style="1915" customWidth="1"/>
    <col min="11" max="256" width="9.140625" style="1915"/>
    <col min="257" max="257" width="38.140625" style="1915" customWidth="1"/>
    <col min="258" max="258" width="10.140625" style="1915" customWidth="1"/>
    <col min="259" max="259" width="12.85546875" style="1915" customWidth="1"/>
    <col min="260" max="260" width="11.7109375" style="1915" customWidth="1"/>
    <col min="261" max="261" width="11.42578125" style="1915" customWidth="1"/>
    <col min="262" max="262" width="11.28515625" style="1915" customWidth="1"/>
    <col min="263" max="263" width="13.5703125" style="1915" customWidth="1"/>
    <col min="264" max="264" width="10.5703125" style="1915" customWidth="1"/>
    <col min="265" max="265" width="11.7109375" style="1915" customWidth="1"/>
    <col min="266" max="266" width="13.7109375" style="1915" customWidth="1"/>
    <col min="267" max="512" width="9.140625" style="1915"/>
    <col min="513" max="513" width="38.140625" style="1915" customWidth="1"/>
    <col min="514" max="514" width="10.140625" style="1915" customWidth="1"/>
    <col min="515" max="515" width="12.85546875" style="1915" customWidth="1"/>
    <col min="516" max="516" width="11.7109375" style="1915" customWidth="1"/>
    <col min="517" max="517" width="11.42578125" style="1915" customWidth="1"/>
    <col min="518" max="518" width="11.28515625" style="1915" customWidth="1"/>
    <col min="519" max="519" width="13.5703125" style="1915" customWidth="1"/>
    <col min="520" max="520" width="10.5703125" style="1915" customWidth="1"/>
    <col min="521" max="521" width="11.7109375" style="1915" customWidth="1"/>
    <col min="522" max="522" width="13.7109375" style="1915" customWidth="1"/>
    <col min="523" max="768" width="9.140625" style="1915"/>
    <col min="769" max="769" width="38.140625" style="1915" customWidth="1"/>
    <col min="770" max="770" width="10.140625" style="1915" customWidth="1"/>
    <col min="771" max="771" width="12.85546875" style="1915" customWidth="1"/>
    <col min="772" max="772" width="11.7109375" style="1915" customWidth="1"/>
    <col min="773" max="773" width="11.42578125" style="1915" customWidth="1"/>
    <col min="774" max="774" width="11.28515625" style="1915" customWidth="1"/>
    <col min="775" max="775" width="13.5703125" style="1915" customWidth="1"/>
    <col min="776" max="776" width="10.5703125" style="1915" customWidth="1"/>
    <col min="777" max="777" width="11.7109375" style="1915" customWidth="1"/>
    <col min="778" max="778" width="13.7109375" style="1915" customWidth="1"/>
    <col min="779" max="1024" width="9.140625" style="1915"/>
    <col min="1025" max="1025" width="38.140625" style="1915" customWidth="1"/>
    <col min="1026" max="1026" width="10.140625" style="1915" customWidth="1"/>
    <col min="1027" max="1027" width="12.85546875" style="1915" customWidth="1"/>
    <col min="1028" max="1028" width="11.7109375" style="1915" customWidth="1"/>
    <col min="1029" max="1029" width="11.42578125" style="1915" customWidth="1"/>
    <col min="1030" max="1030" width="11.28515625" style="1915" customWidth="1"/>
    <col min="1031" max="1031" width="13.5703125" style="1915" customWidth="1"/>
    <col min="1032" max="1032" width="10.5703125" style="1915" customWidth="1"/>
    <col min="1033" max="1033" width="11.7109375" style="1915" customWidth="1"/>
    <col min="1034" max="1034" width="13.7109375" style="1915" customWidth="1"/>
    <col min="1035" max="1280" width="9.140625" style="1915"/>
    <col min="1281" max="1281" width="38.140625" style="1915" customWidth="1"/>
    <col min="1282" max="1282" width="10.140625" style="1915" customWidth="1"/>
    <col min="1283" max="1283" width="12.85546875" style="1915" customWidth="1"/>
    <col min="1284" max="1284" width="11.7109375" style="1915" customWidth="1"/>
    <col min="1285" max="1285" width="11.42578125" style="1915" customWidth="1"/>
    <col min="1286" max="1286" width="11.28515625" style="1915" customWidth="1"/>
    <col min="1287" max="1287" width="13.5703125" style="1915" customWidth="1"/>
    <col min="1288" max="1288" width="10.5703125" style="1915" customWidth="1"/>
    <col min="1289" max="1289" width="11.7109375" style="1915" customWidth="1"/>
    <col min="1290" max="1290" width="13.7109375" style="1915" customWidth="1"/>
    <col min="1291" max="1536" width="9.140625" style="1915"/>
    <col min="1537" max="1537" width="38.140625" style="1915" customWidth="1"/>
    <col min="1538" max="1538" width="10.140625" style="1915" customWidth="1"/>
    <col min="1539" max="1539" width="12.85546875" style="1915" customWidth="1"/>
    <col min="1540" max="1540" width="11.7109375" style="1915" customWidth="1"/>
    <col min="1541" max="1541" width="11.42578125" style="1915" customWidth="1"/>
    <col min="1542" max="1542" width="11.28515625" style="1915" customWidth="1"/>
    <col min="1543" max="1543" width="13.5703125" style="1915" customWidth="1"/>
    <col min="1544" max="1544" width="10.5703125" style="1915" customWidth="1"/>
    <col min="1545" max="1545" width="11.7109375" style="1915" customWidth="1"/>
    <col min="1546" max="1546" width="13.7109375" style="1915" customWidth="1"/>
    <col min="1547" max="1792" width="9.140625" style="1915"/>
    <col min="1793" max="1793" width="38.140625" style="1915" customWidth="1"/>
    <col min="1794" max="1794" width="10.140625" style="1915" customWidth="1"/>
    <col min="1795" max="1795" width="12.85546875" style="1915" customWidth="1"/>
    <col min="1796" max="1796" width="11.7109375" style="1915" customWidth="1"/>
    <col min="1797" max="1797" width="11.42578125" style="1915" customWidth="1"/>
    <col min="1798" max="1798" width="11.28515625" style="1915" customWidth="1"/>
    <col min="1799" max="1799" width="13.5703125" style="1915" customWidth="1"/>
    <col min="1800" max="1800" width="10.5703125" style="1915" customWidth="1"/>
    <col min="1801" max="1801" width="11.7109375" style="1915" customWidth="1"/>
    <col min="1802" max="1802" width="13.7109375" style="1915" customWidth="1"/>
    <col min="1803" max="2048" width="9.140625" style="1915"/>
    <col min="2049" max="2049" width="38.140625" style="1915" customWidth="1"/>
    <col min="2050" max="2050" width="10.140625" style="1915" customWidth="1"/>
    <col min="2051" max="2051" width="12.85546875" style="1915" customWidth="1"/>
    <col min="2052" max="2052" width="11.7109375" style="1915" customWidth="1"/>
    <col min="2053" max="2053" width="11.42578125" style="1915" customWidth="1"/>
    <col min="2054" max="2054" width="11.28515625" style="1915" customWidth="1"/>
    <col min="2055" max="2055" width="13.5703125" style="1915" customWidth="1"/>
    <col min="2056" max="2056" width="10.5703125" style="1915" customWidth="1"/>
    <col min="2057" max="2057" width="11.7109375" style="1915" customWidth="1"/>
    <col min="2058" max="2058" width="13.7109375" style="1915" customWidth="1"/>
    <col min="2059" max="2304" width="9.140625" style="1915"/>
    <col min="2305" max="2305" width="38.140625" style="1915" customWidth="1"/>
    <col min="2306" max="2306" width="10.140625" style="1915" customWidth="1"/>
    <col min="2307" max="2307" width="12.85546875" style="1915" customWidth="1"/>
    <col min="2308" max="2308" width="11.7109375" style="1915" customWidth="1"/>
    <col min="2309" max="2309" width="11.42578125" style="1915" customWidth="1"/>
    <col min="2310" max="2310" width="11.28515625" style="1915" customWidth="1"/>
    <col min="2311" max="2311" width="13.5703125" style="1915" customWidth="1"/>
    <col min="2312" max="2312" width="10.5703125" style="1915" customWidth="1"/>
    <col min="2313" max="2313" width="11.7109375" style="1915" customWidth="1"/>
    <col min="2314" max="2314" width="13.7109375" style="1915" customWidth="1"/>
    <col min="2315" max="2560" width="9.140625" style="1915"/>
    <col min="2561" max="2561" width="38.140625" style="1915" customWidth="1"/>
    <col min="2562" max="2562" width="10.140625" style="1915" customWidth="1"/>
    <col min="2563" max="2563" width="12.85546875" style="1915" customWidth="1"/>
    <col min="2564" max="2564" width="11.7109375" style="1915" customWidth="1"/>
    <col min="2565" max="2565" width="11.42578125" style="1915" customWidth="1"/>
    <col min="2566" max="2566" width="11.28515625" style="1915" customWidth="1"/>
    <col min="2567" max="2567" width="13.5703125" style="1915" customWidth="1"/>
    <col min="2568" max="2568" width="10.5703125" style="1915" customWidth="1"/>
    <col min="2569" max="2569" width="11.7109375" style="1915" customWidth="1"/>
    <col min="2570" max="2570" width="13.7109375" style="1915" customWidth="1"/>
    <col min="2571" max="2816" width="9.140625" style="1915"/>
    <col min="2817" max="2817" width="38.140625" style="1915" customWidth="1"/>
    <col min="2818" max="2818" width="10.140625" style="1915" customWidth="1"/>
    <col min="2819" max="2819" width="12.85546875" style="1915" customWidth="1"/>
    <col min="2820" max="2820" width="11.7109375" style="1915" customWidth="1"/>
    <col min="2821" max="2821" width="11.42578125" style="1915" customWidth="1"/>
    <col min="2822" max="2822" width="11.28515625" style="1915" customWidth="1"/>
    <col min="2823" max="2823" width="13.5703125" style="1915" customWidth="1"/>
    <col min="2824" max="2824" width="10.5703125" style="1915" customWidth="1"/>
    <col min="2825" max="2825" width="11.7109375" style="1915" customWidth="1"/>
    <col min="2826" max="2826" width="13.7109375" style="1915" customWidth="1"/>
    <col min="2827" max="3072" width="9.140625" style="1915"/>
    <col min="3073" max="3073" width="38.140625" style="1915" customWidth="1"/>
    <col min="3074" max="3074" width="10.140625" style="1915" customWidth="1"/>
    <col min="3075" max="3075" width="12.85546875" style="1915" customWidth="1"/>
    <col min="3076" max="3076" width="11.7109375" style="1915" customWidth="1"/>
    <col min="3077" max="3077" width="11.42578125" style="1915" customWidth="1"/>
    <col min="3078" max="3078" width="11.28515625" style="1915" customWidth="1"/>
    <col min="3079" max="3079" width="13.5703125" style="1915" customWidth="1"/>
    <col min="3080" max="3080" width="10.5703125" style="1915" customWidth="1"/>
    <col min="3081" max="3081" width="11.7109375" style="1915" customWidth="1"/>
    <col min="3082" max="3082" width="13.7109375" style="1915" customWidth="1"/>
    <col min="3083" max="3328" width="9.140625" style="1915"/>
    <col min="3329" max="3329" width="38.140625" style="1915" customWidth="1"/>
    <col min="3330" max="3330" width="10.140625" style="1915" customWidth="1"/>
    <col min="3331" max="3331" width="12.85546875" style="1915" customWidth="1"/>
    <col min="3332" max="3332" width="11.7109375" style="1915" customWidth="1"/>
    <col min="3333" max="3333" width="11.42578125" style="1915" customWidth="1"/>
    <col min="3334" max="3334" width="11.28515625" style="1915" customWidth="1"/>
    <col min="3335" max="3335" width="13.5703125" style="1915" customWidth="1"/>
    <col min="3336" max="3336" width="10.5703125" style="1915" customWidth="1"/>
    <col min="3337" max="3337" width="11.7109375" style="1915" customWidth="1"/>
    <col min="3338" max="3338" width="13.7109375" style="1915" customWidth="1"/>
    <col min="3339" max="3584" width="9.140625" style="1915"/>
    <col min="3585" max="3585" width="38.140625" style="1915" customWidth="1"/>
    <col min="3586" max="3586" width="10.140625" style="1915" customWidth="1"/>
    <col min="3587" max="3587" width="12.85546875" style="1915" customWidth="1"/>
    <col min="3588" max="3588" width="11.7109375" style="1915" customWidth="1"/>
    <col min="3589" max="3589" width="11.42578125" style="1915" customWidth="1"/>
    <col min="3590" max="3590" width="11.28515625" style="1915" customWidth="1"/>
    <col min="3591" max="3591" width="13.5703125" style="1915" customWidth="1"/>
    <col min="3592" max="3592" width="10.5703125" style="1915" customWidth="1"/>
    <col min="3593" max="3593" width="11.7109375" style="1915" customWidth="1"/>
    <col min="3594" max="3594" width="13.7109375" style="1915" customWidth="1"/>
    <col min="3595" max="3840" width="9.140625" style="1915"/>
    <col min="3841" max="3841" width="38.140625" style="1915" customWidth="1"/>
    <col min="3842" max="3842" width="10.140625" style="1915" customWidth="1"/>
    <col min="3843" max="3843" width="12.85546875" style="1915" customWidth="1"/>
    <col min="3844" max="3844" width="11.7109375" style="1915" customWidth="1"/>
    <col min="3845" max="3845" width="11.42578125" style="1915" customWidth="1"/>
    <col min="3846" max="3846" width="11.28515625" style="1915" customWidth="1"/>
    <col min="3847" max="3847" width="13.5703125" style="1915" customWidth="1"/>
    <col min="3848" max="3848" width="10.5703125" style="1915" customWidth="1"/>
    <col min="3849" max="3849" width="11.7109375" style="1915" customWidth="1"/>
    <col min="3850" max="3850" width="13.7109375" style="1915" customWidth="1"/>
    <col min="3851" max="4096" width="9.140625" style="1915"/>
    <col min="4097" max="4097" width="38.140625" style="1915" customWidth="1"/>
    <col min="4098" max="4098" width="10.140625" style="1915" customWidth="1"/>
    <col min="4099" max="4099" width="12.85546875" style="1915" customWidth="1"/>
    <col min="4100" max="4100" width="11.7109375" style="1915" customWidth="1"/>
    <col min="4101" max="4101" width="11.42578125" style="1915" customWidth="1"/>
    <col min="4102" max="4102" width="11.28515625" style="1915" customWidth="1"/>
    <col min="4103" max="4103" width="13.5703125" style="1915" customWidth="1"/>
    <col min="4104" max="4104" width="10.5703125" style="1915" customWidth="1"/>
    <col min="4105" max="4105" width="11.7109375" style="1915" customWidth="1"/>
    <col min="4106" max="4106" width="13.7109375" style="1915" customWidth="1"/>
    <col min="4107" max="4352" width="9.140625" style="1915"/>
    <col min="4353" max="4353" width="38.140625" style="1915" customWidth="1"/>
    <col min="4354" max="4354" width="10.140625" style="1915" customWidth="1"/>
    <col min="4355" max="4355" width="12.85546875" style="1915" customWidth="1"/>
    <col min="4356" max="4356" width="11.7109375" style="1915" customWidth="1"/>
    <col min="4357" max="4357" width="11.42578125" style="1915" customWidth="1"/>
    <col min="4358" max="4358" width="11.28515625" style="1915" customWidth="1"/>
    <col min="4359" max="4359" width="13.5703125" style="1915" customWidth="1"/>
    <col min="4360" max="4360" width="10.5703125" style="1915" customWidth="1"/>
    <col min="4361" max="4361" width="11.7109375" style="1915" customWidth="1"/>
    <col min="4362" max="4362" width="13.7109375" style="1915" customWidth="1"/>
    <col min="4363" max="4608" width="9.140625" style="1915"/>
    <col min="4609" max="4609" width="38.140625" style="1915" customWidth="1"/>
    <col min="4610" max="4610" width="10.140625" style="1915" customWidth="1"/>
    <col min="4611" max="4611" width="12.85546875" style="1915" customWidth="1"/>
    <col min="4612" max="4612" width="11.7109375" style="1915" customWidth="1"/>
    <col min="4613" max="4613" width="11.42578125" style="1915" customWidth="1"/>
    <col min="4614" max="4614" width="11.28515625" style="1915" customWidth="1"/>
    <col min="4615" max="4615" width="13.5703125" style="1915" customWidth="1"/>
    <col min="4616" max="4616" width="10.5703125" style="1915" customWidth="1"/>
    <col min="4617" max="4617" width="11.7109375" style="1915" customWidth="1"/>
    <col min="4618" max="4618" width="13.7109375" style="1915" customWidth="1"/>
    <col min="4619" max="4864" width="9.140625" style="1915"/>
    <col min="4865" max="4865" width="38.140625" style="1915" customWidth="1"/>
    <col min="4866" max="4866" width="10.140625" style="1915" customWidth="1"/>
    <col min="4867" max="4867" width="12.85546875" style="1915" customWidth="1"/>
    <col min="4868" max="4868" width="11.7109375" style="1915" customWidth="1"/>
    <col min="4869" max="4869" width="11.42578125" style="1915" customWidth="1"/>
    <col min="4870" max="4870" width="11.28515625" style="1915" customWidth="1"/>
    <col min="4871" max="4871" width="13.5703125" style="1915" customWidth="1"/>
    <col min="4872" max="4872" width="10.5703125" style="1915" customWidth="1"/>
    <col min="4873" max="4873" width="11.7109375" style="1915" customWidth="1"/>
    <col min="4874" max="4874" width="13.7109375" style="1915" customWidth="1"/>
    <col min="4875" max="5120" width="9.140625" style="1915"/>
    <col min="5121" max="5121" width="38.140625" style="1915" customWidth="1"/>
    <col min="5122" max="5122" width="10.140625" style="1915" customWidth="1"/>
    <col min="5123" max="5123" width="12.85546875" style="1915" customWidth="1"/>
    <col min="5124" max="5124" width="11.7109375" style="1915" customWidth="1"/>
    <col min="5125" max="5125" width="11.42578125" style="1915" customWidth="1"/>
    <col min="5126" max="5126" width="11.28515625" style="1915" customWidth="1"/>
    <col min="5127" max="5127" width="13.5703125" style="1915" customWidth="1"/>
    <col min="5128" max="5128" width="10.5703125" style="1915" customWidth="1"/>
    <col min="5129" max="5129" width="11.7109375" style="1915" customWidth="1"/>
    <col min="5130" max="5130" width="13.7109375" style="1915" customWidth="1"/>
    <col min="5131" max="5376" width="9.140625" style="1915"/>
    <col min="5377" max="5377" width="38.140625" style="1915" customWidth="1"/>
    <col min="5378" max="5378" width="10.140625" style="1915" customWidth="1"/>
    <col min="5379" max="5379" width="12.85546875" style="1915" customWidth="1"/>
    <col min="5380" max="5380" width="11.7109375" style="1915" customWidth="1"/>
    <col min="5381" max="5381" width="11.42578125" style="1915" customWidth="1"/>
    <col min="5382" max="5382" width="11.28515625" style="1915" customWidth="1"/>
    <col min="5383" max="5383" width="13.5703125" style="1915" customWidth="1"/>
    <col min="5384" max="5384" width="10.5703125" style="1915" customWidth="1"/>
    <col min="5385" max="5385" width="11.7109375" style="1915" customWidth="1"/>
    <col min="5386" max="5386" width="13.7109375" style="1915" customWidth="1"/>
    <col min="5387" max="5632" width="9.140625" style="1915"/>
    <col min="5633" max="5633" width="38.140625" style="1915" customWidth="1"/>
    <col min="5634" max="5634" width="10.140625" style="1915" customWidth="1"/>
    <col min="5635" max="5635" width="12.85546875" style="1915" customWidth="1"/>
    <col min="5636" max="5636" width="11.7109375" style="1915" customWidth="1"/>
    <col min="5637" max="5637" width="11.42578125" style="1915" customWidth="1"/>
    <col min="5638" max="5638" width="11.28515625" style="1915" customWidth="1"/>
    <col min="5639" max="5639" width="13.5703125" style="1915" customWidth="1"/>
    <col min="5640" max="5640" width="10.5703125" style="1915" customWidth="1"/>
    <col min="5641" max="5641" width="11.7109375" style="1915" customWidth="1"/>
    <col min="5642" max="5642" width="13.7109375" style="1915" customWidth="1"/>
    <col min="5643" max="5888" width="9.140625" style="1915"/>
    <col min="5889" max="5889" width="38.140625" style="1915" customWidth="1"/>
    <col min="5890" max="5890" width="10.140625" style="1915" customWidth="1"/>
    <col min="5891" max="5891" width="12.85546875" style="1915" customWidth="1"/>
    <col min="5892" max="5892" width="11.7109375" style="1915" customWidth="1"/>
    <col min="5893" max="5893" width="11.42578125" style="1915" customWidth="1"/>
    <col min="5894" max="5894" width="11.28515625" style="1915" customWidth="1"/>
    <col min="5895" max="5895" width="13.5703125" style="1915" customWidth="1"/>
    <col min="5896" max="5896" width="10.5703125" style="1915" customWidth="1"/>
    <col min="5897" max="5897" width="11.7109375" style="1915" customWidth="1"/>
    <col min="5898" max="5898" width="13.7109375" style="1915" customWidth="1"/>
    <col min="5899" max="6144" width="9.140625" style="1915"/>
    <col min="6145" max="6145" width="38.140625" style="1915" customWidth="1"/>
    <col min="6146" max="6146" width="10.140625" style="1915" customWidth="1"/>
    <col min="6147" max="6147" width="12.85546875" style="1915" customWidth="1"/>
    <col min="6148" max="6148" width="11.7109375" style="1915" customWidth="1"/>
    <col min="6149" max="6149" width="11.42578125" style="1915" customWidth="1"/>
    <col min="6150" max="6150" width="11.28515625" style="1915" customWidth="1"/>
    <col min="6151" max="6151" width="13.5703125" style="1915" customWidth="1"/>
    <col min="6152" max="6152" width="10.5703125" style="1915" customWidth="1"/>
    <col min="6153" max="6153" width="11.7109375" style="1915" customWidth="1"/>
    <col min="6154" max="6154" width="13.7109375" style="1915" customWidth="1"/>
    <col min="6155" max="6400" width="9.140625" style="1915"/>
    <col min="6401" max="6401" width="38.140625" style="1915" customWidth="1"/>
    <col min="6402" max="6402" width="10.140625" style="1915" customWidth="1"/>
    <col min="6403" max="6403" width="12.85546875" style="1915" customWidth="1"/>
    <col min="6404" max="6404" width="11.7109375" style="1915" customWidth="1"/>
    <col min="6405" max="6405" width="11.42578125" style="1915" customWidth="1"/>
    <col min="6406" max="6406" width="11.28515625" style="1915" customWidth="1"/>
    <col min="6407" max="6407" width="13.5703125" style="1915" customWidth="1"/>
    <col min="6408" max="6408" width="10.5703125" style="1915" customWidth="1"/>
    <col min="6409" max="6409" width="11.7109375" style="1915" customWidth="1"/>
    <col min="6410" max="6410" width="13.7109375" style="1915" customWidth="1"/>
    <col min="6411" max="6656" width="9.140625" style="1915"/>
    <col min="6657" max="6657" width="38.140625" style="1915" customWidth="1"/>
    <col min="6658" max="6658" width="10.140625" style="1915" customWidth="1"/>
    <col min="6659" max="6659" width="12.85546875" style="1915" customWidth="1"/>
    <col min="6660" max="6660" width="11.7109375" style="1915" customWidth="1"/>
    <col min="6661" max="6661" width="11.42578125" style="1915" customWidth="1"/>
    <col min="6662" max="6662" width="11.28515625" style="1915" customWidth="1"/>
    <col min="6663" max="6663" width="13.5703125" style="1915" customWidth="1"/>
    <col min="6664" max="6664" width="10.5703125" style="1915" customWidth="1"/>
    <col min="6665" max="6665" width="11.7109375" style="1915" customWidth="1"/>
    <col min="6666" max="6666" width="13.7109375" style="1915" customWidth="1"/>
    <col min="6667" max="6912" width="9.140625" style="1915"/>
    <col min="6913" max="6913" width="38.140625" style="1915" customWidth="1"/>
    <col min="6914" max="6914" width="10.140625" style="1915" customWidth="1"/>
    <col min="6915" max="6915" width="12.85546875" style="1915" customWidth="1"/>
    <col min="6916" max="6916" width="11.7109375" style="1915" customWidth="1"/>
    <col min="6917" max="6917" width="11.42578125" style="1915" customWidth="1"/>
    <col min="6918" max="6918" width="11.28515625" style="1915" customWidth="1"/>
    <col min="6919" max="6919" width="13.5703125" style="1915" customWidth="1"/>
    <col min="6920" max="6920" width="10.5703125" style="1915" customWidth="1"/>
    <col min="6921" max="6921" width="11.7109375" style="1915" customWidth="1"/>
    <col min="6922" max="6922" width="13.7109375" style="1915" customWidth="1"/>
    <col min="6923" max="7168" width="9.140625" style="1915"/>
    <col min="7169" max="7169" width="38.140625" style="1915" customWidth="1"/>
    <col min="7170" max="7170" width="10.140625" style="1915" customWidth="1"/>
    <col min="7171" max="7171" width="12.85546875" style="1915" customWidth="1"/>
    <col min="7172" max="7172" width="11.7109375" style="1915" customWidth="1"/>
    <col min="7173" max="7173" width="11.42578125" style="1915" customWidth="1"/>
    <col min="7174" max="7174" width="11.28515625" style="1915" customWidth="1"/>
    <col min="7175" max="7175" width="13.5703125" style="1915" customWidth="1"/>
    <col min="7176" max="7176" width="10.5703125" style="1915" customWidth="1"/>
    <col min="7177" max="7177" width="11.7109375" style="1915" customWidth="1"/>
    <col min="7178" max="7178" width="13.7109375" style="1915" customWidth="1"/>
    <col min="7179" max="7424" width="9.140625" style="1915"/>
    <col min="7425" max="7425" width="38.140625" style="1915" customWidth="1"/>
    <col min="7426" max="7426" width="10.140625" style="1915" customWidth="1"/>
    <col min="7427" max="7427" width="12.85546875" style="1915" customWidth="1"/>
    <col min="7428" max="7428" width="11.7109375" style="1915" customWidth="1"/>
    <col min="7429" max="7429" width="11.42578125" style="1915" customWidth="1"/>
    <col min="7430" max="7430" width="11.28515625" style="1915" customWidth="1"/>
    <col min="7431" max="7431" width="13.5703125" style="1915" customWidth="1"/>
    <col min="7432" max="7432" width="10.5703125" style="1915" customWidth="1"/>
    <col min="7433" max="7433" width="11.7109375" style="1915" customWidth="1"/>
    <col min="7434" max="7434" width="13.7109375" style="1915" customWidth="1"/>
    <col min="7435" max="7680" width="9.140625" style="1915"/>
    <col min="7681" max="7681" width="38.140625" style="1915" customWidth="1"/>
    <col min="7682" max="7682" width="10.140625" style="1915" customWidth="1"/>
    <col min="7683" max="7683" width="12.85546875" style="1915" customWidth="1"/>
    <col min="7684" max="7684" width="11.7109375" style="1915" customWidth="1"/>
    <col min="7685" max="7685" width="11.42578125" style="1915" customWidth="1"/>
    <col min="7686" max="7686" width="11.28515625" style="1915" customWidth="1"/>
    <col min="7687" max="7687" width="13.5703125" style="1915" customWidth="1"/>
    <col min="7688" max="7688" width="10.5703125" style="1915" customWidth="1"/>
    <col min="7689" max="7689" width="11.7109375" style="1915" customWidth="1"/>
    <col min="7690" max="7690" width="13.7109375" style="1915" customWidth="1"/>
    <col min="7691" max="7936" width="9.140625" style="1915"/>
    <col min="7937" max="7937" width="38.140625" style="1915" customWidth="1"/>
    <col min="7938" max="7938" width="10.140625" style="1915" customWidth="1"/>
    <col min="7939" max="7939" width="12.85546875" style="1915" customWidth="1"/>
    <col min="7940" max="7940" width="11.7109375" style="1915" customWidth="1"/>
    <col min="7941" max="7941" width="11.42578125" style="1915" customWidth="1"/>
    <col min="7942" max="7942" width="11.28515625" style="1915" customWidth="1"/>
    <col min="7943" max="7943" width="13.5703125" style="1915" customWidth="1"/>
    <col min="7944" max="7944" width="10.5703125" style="1915" customWidth="1"/>
    <col min="7945" max="7945" width="11.7109375" style="1915" customWidth="1"/>
    <col min="7946" max="7946" width="13.7109375" style="1915" customWidth="1"/>
    <col min="7947" max="8192" width="9.140625" style="1915"/>
    <col min="8193" max="8193" width="38.140625" style="1915" customWidth="1"/>
    <col min="8194" max="8194" width="10.140625" style="1915" customWidth="1"/>
    <col min="8195" max="8195" width="12.85546875" style="1915" customWidth="1"/>
    <col min="8196" max="8196" width="11.7109375" style="1915" customWidth="1"/>
    <col min="8197" max="8197" width="11.42578125" style="1915" customWidth="1"/>
    <col min="8198" max="8198" width="11.28515625" style="1915" customWidth="1"/>
    <col min="8199" max="8199" width="13.5703125" style="1915" customWidth="1"/>
    <col min="8200" max="8200" width="10.5703125" style="1915" customWidth="1"/>
    <col min="8201" max="8201" width="11.7109375" style="1915" customWidth="1"/>
    <col min="8202" max="8202" width="13.7109375" style="1915" customWidth="1"/>
    <col min="8203" max="8448" width="9.140625" style="1915"/>
    <col min="8449" max="8449" width="38.140625" style="1915" customWidth="1"/>
    <col min="8450" max="8450" width="10.140625" style="1915" customWidth="1"/>
    <col min="8451" max="8451" width="12.85546875" style="1915" customWidth="1"/>
    <col min="8452" max="8452" width="11.7109375" style="1915" customWidth="1"/>
    <col min="8453" max="8453" width="11.42578125" style="1915" customWidth="1"/>
    <col min="8454" max="8454" width="11.28515625" style="1915" customWidth="1"/>
    <col min="8455" max="8455" width="13.5703125" style="1915" customWidth="1"/>
    <col min="8456" max="8456" width="10.5703125" style="1915" customWidth="1"/>
    <col min="8457" max="8457" width="11.7109375" style="1915" customWidth="1"/>
    <col min="8458" max="8458" width="13.7109375" style="1915" customWidth="1"/>
    <col min="8459" max="8704" width="9.140625" style="1915"/>
    <col min="8705" max="8705" width="38.140625" style="1915" customWidth="1"/>
    <col min="8706" max="8706" width="10.140625" style="1915" customWidth="1"/>
    <col min="8707" max="8707" width="12.85546875" style="1915" customWidth="1"/>
    <col min="8708" max="8708" width="11.7109375" style="1915" customWidth="1"/>
    <col min="8709" max="8709" width="11.42578125" style="1915" customWidth="1"/>
    <col min="8710" max="8710" width="11.28515625" style="1915" customWidth="1"/>
    <col min="8711" max="8711" width="13.5703125" style="1915" customWidth="1"/>
    <col min="8712" max="8712" width="10.5703125" style="1915" customWidth="1"/>
    <col min="8713" max="8713" width="11.7109375" style="1915" customWidth="1"/>
    <col min="8714" max="8714" width="13.7109375" style="1915" customWidth="1"/>
    <col min="8715" max="8960" width="9.140625" style="1915"/>
    <col min="8961" max="8961" width="38.140625" style="1915" customWidth="1"/>
    <col min="8962" max="8962" width="10.140625" style="1915" customWidth="1"/>
    <col min="8963" max="8963" width="12.85546875" style="1915" customWidth="1"/>
    <col min="8964" max="8964" width="11.7109375" style="1915" customWidth="1"/>
    <col min="8965" max="8965" width="11.42578125" style="1915" customWidth="1"/>
    <col min="8966" max="8966" width="11.28515625" style="1915" customWidth="1"/>
    <col min="8967" max="8967" width="13.5703125" style="1915" customWidth="1"/>
    <col min="8968" max="8968" width="10.5703125" style="1915" customWidth="1"/>
    <col min="8969" max="8969" width="11.7109375" style="1915" customWidth="1"/>
    <col min="8970" max="8970" width="13.7109375" style="1915" customWidth="1"/>
    <col min="8971" max="9216" width="9.140625" style="1915"/>
    <col min="9217" max="9217" width="38.140625" style="1915" customWidth="1"/>
    <col min="9218" max="9218" width="10.140625" style="1915" customWidth="1"/>
    <col min="9219" max="9219" width="12.85546875" style="1915" customWidth="1"/>
    <col min="9220" max="9220" width="11.7109375" style="1915" customWidth="1"/>
    <col min="9221" max="9221" width="11.42578125" style="1915" customWidth="1"/>
    <col min="9222" max="9222" width="11.28515625" style="1915" customWidth="1"/>
    <col min="9223" max="9223" width="13.5703125" style="1915" customWidth="1"/>
    <col min="9224" max="9224" width="10.5703125" style="1915" customWidth="1"/>
    <col min="9225" max="9225" width="11.7109375" style="1915" customWidth="1"/>
    <col min="9226" max="9226" width="13.7109375" style="1915" customWidth="1"/>
    <col min="9227" max="9472" width="9.140625" style="1915"/>
    <col min="9473" max="9473" width="38.140625" style="1915" customWidth="1"/>
    <col min="9474" max="9474" width="10.140625" style="1915" customWidth="1"/>
    <col min="9475" max="9475" width="12.85546875" style="1915" customWidth="1"/>
    <col min="9476" max="9476" width="11.7109375" style="1915" customWidth="1"/>
    <col min="9477" max="9477" width="11.42578125" style="1915" customWidth="1"/>
    <col min="9478" max="9478" width="11.28515625" style="1915" customWidth="1"/>
    <col min="9479" max="9479" width="13.5703125" style="1915" customWidth="1"/>
    <col min="9480" max="9480" width="10.5703125" style="1915" customWidth="1"/>
    <col min="9481" max="9481" width="11.7109375" style="1915" customWidth="1"/>
    <col min="9482" max="9482" width="13.7109375" style="1915" customWidth="1"/>
    <col min="9483" max="9728" width="9.140625" style="1915"/>
    <col min="9729" max="9729" width="38.140625" style="1915" customWidth="1"/>
    <col min="9730" max="9730" width="10.140625" style="1915" customWidth="1"/>
    <col min="9731" max="9731" width="12.85546875" style="1915" customWidth="1"/>
    <col min="9732" max="9732" width="11.7109375" style="1915" customWidth="1"/>
    <col min="9733" max="9733" width="11.42578125" style="1915" customWidth="1"/>
    <col min="9734" max="9734" width="11.28515625" style="1915" customWidth="1"/>
    <col min="9735" max="9735" width="13.5703125" style="1915" customWidth="1"/>
    <col min="9736" max="9736" width="10.5703125" style="1915" customWidth="1"/>
    <col min="9737" max="9737" width="11.7109375" style="1915" customWidth="1"/>
    <col min="9738" max="9738" width="13.7109375" style="1915" customWidth="1"/>
    <col min="9739" max="9984" width="9.140625" style="1915"/>
    <col min="9985" max="9985" width="38.140625" style="1915" customWidth="1"/>
    <col min="9986" max="9986" width="10.140625" style="1915" customWidth="1"/>
    <col min="9987" max="9987" width="12.85546875" style="1915" customWidth="1"/>
    <col min="9988" max="9988" width="11.7109375" style="1915" customWidth="1"/>
    <col min="9989" max="9989" width="11.42578125" style="1915" customWidth="1"/>
    <col min="9990" max="9990" width="11.28515625" style="1915" customWidth="1"/>
    <col min="9991" max="9991" width="13.5703125" style="1915" customWidth="1"/>
    <col min="9992" max="9992" width="10.5703125" style="1915" customWidth="1"/>
    <col min="9993" max="9993" width="11.7109375" style="1915" customWidth="1"/>
    <col min="9994" max="9994" width="13.7109375" style="1915" customWidth="1"/>
    <col min="9995" max="10240" width="9.140625" style="1915"/>
    <col min="10241" max="10241" width="38.140625" style="1915" customWidth="1"/>
    <col min="10242" max="10242" width="10.140625" style="1915" customWidth="1"/>
    <col min="10243" max="10243" width="12.85546875" style="1915" customWidth="1"/>
    <col min="10244" max="10244" width="11.7109375" style="1915" customWidth="1"/>
    <col min="10245" max="10245" width="11.42578125" style="1915" customWidth="1"/>
    <col min="10246" max="10246" width="11.28515625" style="1915" customWidth="1"/>
    <col min="10247" max="10247" width="13.5703125" style="1915" customWidth="1"/>
    <col min="10248" max="10248" width="10.5703125" style="1915" customWidth="1"/>
    <col min="10249" max="10249" width="11.7109375" style="1915" customWidth="1"/>
    <col min="10250" max="10250" width="13.7109375" style="1915" customWidth="1"/>
    <col min="10251" max="10496" width="9.140625" style="1915"/>
    <col min="10497" max="10497" width="38.140625" style="1915" customWidth="1"/>
    <col min="10498" max="10498" width="10.140625" style="1915" customWidth="1"/>
    <col min="10499" max="10499" width="12.85546875" style="1915" customWidth="1"/>
    <col min="10500" max="10500" width="11.7109375" style="1915" customWidth="1"/>
    <col min="10501" max="10501" width="11.42578125" style="1915" customWidth="1"/>
    <col min="10502" max="10502" width="11.28515625" style="1915" customWidth="1"/>
    <col min="10503" max="10503" width="13.5703125" style="1915" customWidth="1"/>
    <col min="10504" max="10504" width="10.5703125" style="1915" customWidth="1"/>
    <col min="10505" max="10505" width="11.7109375" style="1915" customWidth="1"/>
    <col min="10506" max="10506" width="13.7109375" style="1915" customWidth="1"/>
    <col min="10507" max="10752" width="9.140625" style="1915"/>
    <col min="10753" max="10753" width="38.140625" style="1915" customWidth="1"/>
    <col min="10754" max="10754" width="10.140625" style="1915" customWidth="1"/>
    <col min="10755" max="10755" width="12.85546875" style="1915" customWidth="1"/>
    <col min="10756" max="10756" width="11.7109375" style="1915" customWidth="1"/>
    <col min="10757" max="10757" width="11.42578125" style="1915" customWidth="1"/>
    <col min="10758" max="10758" width="11.28515625" style="1915" customWidth="1"/>
    <col min="10759" max="10759" width="13.5703125" style="1915" customWidth="1"/>
    <col min="10760" max="10760" width="10.5703125" style="1915" customWidth="1"/>
    <col min="10761" max="10761" width="11.7109375" style="1915" customWidth="1"/>
    <col min="10762" max="10762" width="13.7109375" style="1915" customWidth="1"/>
    <col min="10763" max="11008" width="9.140625" style="1915"/>
    <col min="11009" max="11009" width="38.140625" style="1915" customWidth="1"/>
    <col min="11010" max="11010" width="10.140625" style="1915" customWidth="1"/>
    <col min="11011" max="11011" width="12.85546875" style="1915" customWidth="1"/>
    <col min="11012" max="11012" width="11.7109375" style="1915" customWidth="1"/>
    <col min="11013" max="11013" width="11.42578125" style="1915" customWidth="1"/>
    <col min="11014" max="11014" width="11.28515625" style="1915" customWidth="1"/>
    <col min="11015" max="11015" width="13.5703125" style="1915" customWidth="1"/>
    <col min="11016" max="11016" width="10.5703125" style="1915" customWidth="1"/>
    <col min="11017" max="11017" width="11.7109375" style="1915" customWidth="1"/>
    <col min="11018" max="11018" width="13.7109375" style="1915" customWidth="1"/>
    <col min="11019" max="11264" width="9.140625" style="1915"/>
    <col min="11265" max="11265" width="38.140625" style="1915" customWidth="1"/>
    <col min="11266" max="11266" width="10.140625" style="1915" customWidth="1"/>
    <col min="11267" max="11267" width="12.85546875" style="1915" customWidth="1"/>
    <col min="11268" max="11268" width="11.7109375" style="1915" customWidth="1"/>
    <col min="11269" max="11269" width="11.42578125" style="1915" customWidth="1"/>
    <col min="11270" max="11270" width="11.28515625" style="1915" customWidth="1"/>
    <col min="11271" max="11271" width="13.5703125" style="1915" customWidth="1"/>
    <col min="11272" max="11272" width="10.5703125" style="1915" customWidth="1"/>
    <col min="11273" max="11273" width="11.7109375" style="1915" customWidth="1"/>
    <col min="11274" max="11274" width="13.7109375" style="1915" customWidth="1"/>
    <col min="11275" max="11520" width="9.140625" style="1915"/>
    <col min="11521" max="11521" width="38.140625" style="1915" customWidth="1"/>
    <col min="11522" max="11522" width="10.140625" style="1915" customWidth="1"/>
    <col min="11523" max="11523" width="12.85546875" style="1915" customWidth="1"/>
    <col min="11524" max="11524" width="11.7109375" style="1915" customWidth="1"/>
    <col min="11525" max="11525" width="11.42578125" style="1915" customWidth="1"/>
    <col min="11526" max="11526" width="11.28515625" style="1915" customWidth="1"/>
    <col min="11527" max="11527" width="13.5703125" style="1915" customWidth="1"/>
    <col min="11528" max="11528" width="10.5703125" style="1915" customWidth="1"/>
    <col min="11529" max="11529" width="11.7109375" style="1915" customWidth="1"/>
    <col min="11530" max="11530" width="13.7109375" style="1915" customWidth="1"/>
    <col min="11531" max="11776" width="9.140625" style="1915"/>
    <col min="11777" max="11777" width="38.140625" style="1915" customWidth="1"/>
    <col min="11778" max="11778" width="10.140625" style="1915" customWidth="1"/>
    <col min="11779" max="11779" width="12.85546875" style="1915" customWidth="1"/>
    <col min="11780" max="11780" width="11.7109375" style="1915" customWidth="1"/>
    <col min="11781" max="11781" width="11.42578125" style="1915" customWidth="1"/>
    <col min="11782" max="11782" width="11.28515625" style="1915" customWidth="1"/>
    <col min="11783" max="11783" width="13.5703125" style="1915" customWidth="1"/>
    <col min="11784" max="11784" width="10.5703125" style="1915" customWidth="1"/>
    <col min="11785" max="11785" width="11.7109375" style="1915" customWidth="1"/>
    <col min="11786" max="11786" width="13.7109375" style="1915" customWidth="1"/>
    <col min="11787" max="12032" width="9.140625" style="1915"/>
    <col min="12033" max="12033" width="38.140625" style="1915" customWidth="1"/>
    <col min="12034" max="12034" width="10.140625" style="1915" customWidth="1"/>
    <col min="12035" max="12035" width="12.85546875" style="1915" customWidth="1"/>
    <col min="12036" max="12036" width="11.7109375" style="1915" customWidth="1"/>
    <col min="12037" max="12037" width="11.42578125" style="1915" customWidth="1"/>
    <col min="12038" max="12038" width="11.28515625" style="1915" customWidth="1"/>
    <col min="12039" max="12039" width="13.5703125" style="1915" customWidth="1"/>
    <col min="12040" max="12040" width="10.5703125" style="1915" customWidth="1"/>
    <col min="12041" max="12041" width="11.7109375" style="1915" customWidth="1"/>
    <col min="12042" max="12042" width="13.7109375" style="1915" customWidth="1"/>
    <col min="12043" max="12288" width="9.140625" style="1915"/>
    <col min="12289" max="12289" width="38.140625" style="1915" customWidth="1"/>
    <col min="12290" max="12290" width="10.140625" style="1915" customWidth="1"/>
    <col min="12291" max="12291" width="12.85546875" style="1915" customWidth="1"/>
    <col min="12292" max="12292" width="11.7109375" style="1915" customWidth="1"/>
    <col min="12293" max="12293" width="11.42578125" style="1915" customWidth="1"/>
    <col min="12294" max="12294" width="11.28515625" style="1915" customWidth="1"/>
    <col min="12295" max="12295" width="13.5703125" style="1915" customWidth="1"/>
    <col min="12296" max="12296" width="10.5703125" style="1915" customWidth="1"/>
    <col min="12297" max="12297" width="11.7109375" style="1915" customWidth="1"/>
    <col min="12298" max="12298" width="13.7109375" style="1915" customWidth="1"/>
    <col min="12299" max="12544" width="9.140625" style="1915"/>
    <col min="12545" max="12545" width="38.140625" style="1915" customWidth="1"/>
    <col min="12546" max="12546" width="10.140625" style="1915" customWidth="1"/>
    <col min="12547" max="12547" width="12.85546875" style="1915" customWidth="1"/>
    <col min="12548" max="12548" width="11.7109375" style="1915" customWidth="1"/>
    <col min="12549" max="12549" width="11.42578125" style="1915" customWidth="1"/>
    <col min="12550" max="12550" width="11.28515625" style="1915" customWidth="1"/>
    <col min="12551" max="12551" width="13.5703125" style="1915" customWidth="1"/>
    <col min="12552" max="12552" width="10.5703125" style="1915" customWidth="1"/>
    <col min="12553" max="12553" width="11.7109375" style="1915" customWidth="1"/>
    <col min="12554" max="12554" width="13.7109375" style="1915" customWidth="1"/>
    <col min="12555" max="12800" width="9.140625" style="1915"/>
    <col min="12801" max="12801" width="38.140625" style="1915" customWidth="1"/>
    <col min="12802" max="12802" width="10.140625" style="1915" customWidth="1"/>
    <col min="12803" max="12803" width="12.85546875" style="1915" customWidth="1"/>
    <col min="12804" max="12804" width="11.7109375" style="1915" customWidth="1"/>
    <col min="12805" max="12805" width="11.42578125" style="1915" customWidth="1"/>
    <col min="12806" max="12806" width="11.28515625" style="1915" customWidth="1"/>
    <col min="12807" max="12807" width="13.5703125" style="1915" customWidth="1"/>
    <col min="12808" max="12808" width="10.5703125" style="1915" customWidth="1"/>
    <col min="12809" max="12809" width="11.7109375" style="1915" customWidth="1"/>
    <col min="12810" max="12810" width="13.7109375" style="1915" customWidth="1"/>
    <col min="12811" max="13056" width="9.140625" style="1915"/>
    <col min="13057" max="13057" width="38.140625" style="1915" customWidth="1"/>
    <col min="13058" max="13058" width="10.140625" style="1915" customWidth="1"/>
    <col min="13059" max="13059" width="12.85546875" style="1915" customWidth="1"/>
    <col min="13060" max="13060" width="11.7109375" style="1915" customWidth="1"/>
    <col min="13061" max="13061" width="11.42578125" style="1915" customWidth="1"/>
    <col min="13062" max="13062" width="11.28515625" style="1915" customWidth="1"/>
    <col min="13063" max="13063" width="13.5703125" style="1915" customWidth="1"/>
    <col min="13064" max="13064" width="10.5703125" style="1915" customWidth="1"/>
    <col min="13065" max="13065" width="11.7109375" style="1915" customWidth="1"/>
    <col min="13066" max="13066" width="13.7109375" style="1915" customWidth="1"/>
    <col min="13067" max="13312" width="9.140625" style="1915"/>
    <col min="13313" max="13313" width="38.140625" style="1915" customWidth="1"/>
    <col min="13314" max="13314" width="10.140625" style="1915" customWidth="1"/>
    <col min="13315" max="13315" width="12.85546875" style="1915" customWidth="1"/>
    <col min="13316" max="13316" width="11.7109375" style="1915" customWidth="1"/>
    <col min="13317" max="13317" width="11.42578125" style="1915" customWidth="1"/>
    <col min="13318" max="13318" width="11.28515625" style="1915" customWidth="1"/>
    <col min="13319" max="13319" width="13.5703125" style="1915" customWidth="1"/>
    <col min="13320" max="13320" width="10.5703125" style="1915" customWidth="1"/>
    <col min="13321" max="13321" width="11.7109375" style="1915" customWidth="1"/>
    <col min="13322" max="13322" width="13.7109375" style="1915" customWidth="1"/>
    <col min="13323" max="13568" width="9.140625" style="1915"/>
    <col min="13569" max="13569" width="38.140625" style="1915" customWidth="1"/>
    <col min="13570" max="13570" width="10.140625" style="1915" customWidth="1"/>
    <col min="13571" max="13571" width="12.85546875" style="1915" customWidth="1"/>
    <col min="13572" max="13572" width="11.7109375" style="1915" customWidth="1"/>
    <col min="13573" max="13573" width="11.42578125" style="1915" customWidth="1"/>
    <col min="13574" max="13574" width="11.28515625" style="1915" customWidth="1"/>
    <col min="13575" max="13575" width="13.5703125" style="1915" customWidth="1"/>
    <col min="13576" max="13576" width="10.5703125" style="1915" customWidth="1"/>
    <col min="13577" max="13577" width="11.7109375" style="1915" customWidth="1"/>
    <col min="13578" max="13578" width="13.7109375" style="1915" customWidth="1"/>
    <col min="13579" max="13824" width="9.140625" style="1915"/>
    <col min="13825" max="13825" width="38.140625" style="1915" customWidth="1"/>
    <col min="13826" max="13826" width="10.140625" style="1915" customWidth="1"/>
    <col min="13827" max="13827" width="12.85546875" style="1915" customWidth="1"/>
    <col min="13828" max="13828" width="11.7109375" style="1915" customWidth="1"/>
    <col min="13829" max="13829" width="11.42578125" style="1915" customWidth="1"/>
    <col min="13830" max="13830" width="11.28515625" style="1915" customWidth="1"/>
    <col min="13831" max="13831" width="13.5703125" style="1915" customWidth="1"/>
    <col min="13832" max="13832" width="10.5703125" style="1915" customWidth="1"/>
    <col min="13833" max="13833" width="11.7109375" style="1915" customWidth="1"/>
    <col min="13834" max="13834" width="13.7109375" style="1915" customWidth="1"/>
    <col min="13835" max="14080" width="9.140625" style="1915"/>
    <col min="14081" max="14081" width="38.140625" style="1915" customWidth="1"/>
    <col min="14082" max="14082" width="10.140625" style="1915" customWidth="1"/>
    <col min="14083" max="14083" width="12.85546875" style="1915" customWidth="1"/>
    <col min="14084" max="14084" width="11.7109375" style="1915" customWidth="1"/>
    <col min="14085" max="14085" width="11.42578125" style="1915" customWidth="1"/>
    <col min="14086" max="14086" width="11.28515625" style="1915" customWidth="1"/>
    <col min="14087" max="14087" width="13.5703125" style="1915" customWidth="1"/>
    <col min="14088" max="14088" width="10.5703125" style="1915" customWidth="1"/>
    <col min="14089" max="14089" width="11.7109375" style="1915" customWidth="1"/>
    <col min="14090" max="14090" width="13.7109375" style="1915" customWidth="1"/>
    <col min="14091" max="14336" width="9.140625" style="1915"/>
    <col min="14337" max="14337" width="38.140625" style="1915" customWidth="1"/>
    <col min="14338" max="14338" width="10.140625" style="1915" customWidth="1"/>
    <col min="14339" max="14339" width="12.85546875" style="1915" customWidth="1"/>
    <col min="14340" max="14340" width="11.7109375" style="1915" customWidth="1"/>
    <col min="14341" max="14341" width="11.42578125" style="1915" customWidth="1"/>
    <col min="14342" max="14342" width="11.28515625" style="1915" customWidth="1"/>
    <col min="14343" max="14343" width="13.5703125" style="1915" customWidth="1"/>
    <col min="14344" max="14344" width="10.5703125" style="1915" customWidth="1"/>
    <col min="14345" max="14345" width="11.7109375" style="1915" customWidth="1"/>
    <col min="14346" max="14346" width="13.7109375" style="1915" customWidth="1"/>
    <col min="14347" max="14592" width="9.140625" style="1915"/>
    <col min="14593" max="14593" width="38.140625" style="1915" customWidth="1"/>
    <col min="14594" max="14594" width="10.140625" style="1915" customWidth="1"/>
    <col min="14595" max="14595" width="12.85546875" style="1915" customWidth="1"/>
    <col min="14596" max="14596" width="11.7109375" style="1915" customWidth="1"/>
    <col min="14597" max="14597" width="11.42578125" style="1915" customWidth="1"/>
    <col min="14598" max="14598" width="11.28515625" style="1915" customWidth="1"/>
    <col min="14599" max="14599" width="13.5703125" style="1915" customWidth="1"/>
    <col min="14600" max="14600" width="10.5703125" style="1915" customWidth="1"/>
    <col min="14601" max="14601" width="11.7109375" style="1915" customWidth="1"/>
    <col min="14602" max="14602" width="13.7109375" style="1915" customWidth="1"/>
    <col min="14603" max="14848" width="9.140625" style="1915"/>
    <col min="14849" max="14849" width="38.140625" style="1915" customWidth="1"/>
    <col min="14850" max="14850" width="10.140625" style="1915" customWidth="1"/>
    <col min="14851" max="14851" width="12.85546875" style="1915" customWidth="1"/>
    <col min="14852" max="14852" width="11.7109375" style="1915" customWidth="1"/>
    <col min="14853" max="14853" width="11.42578125" style="1915" customWidth="1"/>
    <col min="14854" max="14854" width="11.28515625" style="1915" customWidth="1"/>
    <col min="14855" max="14855" width="13.5703125" style="1915" customWidth="1"/>
    <col min="14856" max="14856" width="10.5703125" style="1915" customWidth="1"/>
    <col min="14857" max="14857" width="11.7109375" style="1915" customWidth="1"/>
    <col min="14858" max="14858" width="13.7109375" style="1915" customWidth="1"/>
    <col min="14859" max="15104" width="9.140625" style="1915"/>
    <col min="15105" max="15105" width="38.140625" style="1915" customWidth="1"/>
    <col min="15106" max="15106" width="10.140625" style="1915" customWidth="1"/>
    <col min="15107" max="15107" width="12.85546875" style="1915" customWidth="1"/>
    <col min="15108" max="15108" width="11.7109375" style="1915" customWidth="1"/>
    <col min="15109" max="15109" width="11.42578125" style="1915" customWidth="1"/>
    <col min="15110" max="15110" width="11.28515625" style="1915" customWidth="1"/>
    <col min="15111" max="15111" width="13.5703125" style="1915" customWidth="1"/>
    <col min="15112" max="15112" width="10.5703125" style="1915" customWidth="1"/>
    <col min="15113" max="15113" width="11.7109375" style="1915" customWidth="1"/>
    <col min="15114" max="15114" width="13.7109375" style="1915" customWidth="1"/>
    <col min="15115" max="15360" width="9.140625" style="1915"/>
    <col min="15361" max="15361" width="38.140625" style="1915" customWidth="1"/>
    <col min="15362" max="15362" width="10.140625" style="1915" customWidth="1"/>
    <col min="15363" max="15363" width="12.85546875" style="1915" customWidth="1"/>
    <col min="15364" max="15364" width="11.7109375" style="1915" customWidth="1"/>
    <col min="15365" max="15365" width="11.42578125" style="1915" customWidth="1"/>
    <col min="15366" max="15366" width="11.28515625" style="1915" customWidth="1"/>
    <col min="15367" max="15367" width="13.5703125" style="1915" customWidth="1"/>
    <col min="15368" max="15368" width="10.5703125" style="1915" customWidth="1"/>
    <col min="15369" max="15369" width="11.7109375" style="1915" customWidth="1"/>
    <col min="15370" max="15370" width="13.7109375" style="1915" customWidth="1"/>
    <col min="15371" max="15616" width="9.140625" style="1915"/>
    <col min="15617" max="15617" width="38.140625" style="1915" customWidth="1"/>
    <col min="15618" max="15618" width="10.140625" style="1915" customWidth="1"/>
    <col min="15619" max="15619" width="12.85546875" style="1915" customWidth="1"/>
    <col min="15620" max="15620" width="11.7109375" style="1915" customWidth="1"/>
    <col min="15621" max="15621" width="11.42578125" style="1915" customWidth="1"/>
    <col min="15622" max="15622" width="11.28515625" style="1915" customWidth="1"/>
    <col min="15623" max="15623" width="13.5703125" style="1915" customWidth="1"/>
    <col min="15624" max="15624" width="10.5703125" style="1915" customWidth="1"/>
    <col min="15625" max="15625" width="11.7109375" style="1915" customWidth="1"/>
    <col min="15626" max="15626" width="13.7109375" style="1915" customWidth="1"/>
    <col min="15627" max="15872" width="9.140625" style="1915"/>
    <col min="15873" max="15873" width="38.140625" style="1915" customWidth="1"/>
    <col min="15874" max="15874" width="10.140625" style="1915" customWidth="1"/>
    <col min="15875" max="15875" width="12.85546875" style="1915" customWidth="1"/>
    <col min="15876" max="15876" width="11.7109375" style="1915" customWidth="1"/>
    <col min="15877" max="15877" width="11.42578125" style="1915" customWidth="1"/>
    <col min="15878" max="15878" width="11.28515625" style="1915" customWidth="1"/>
    <col min="15879" max="15879" width="13.5703125" style="1915" customWidth="1"/>
    <col min="15880" max="15880" width="10.5703125" style="1915" customWidth="1"/>
    <col min="15881" max="15881" width="11.7109375" style="1915" customWidth="1"/>
    <col min="15882" max="15882" width="13.7109375" style="1915" customWidth="1"/>
    <col min="15883" max="16128" width="9.140625" style="1915"/>
    <col min="16129" max="16129" width="38.140625" style="1915" customWidth="1"/>
    <col min="16130" max="16130" width="10.140625" style="1915" customWidth="1"/>
    <col min="16131" max="16131" width="12.85546875" style="1915" customWidth="1"/>
    <col min="16132" max="16132" width="11.7109375" style="1915" customWidth="1"/>
    <col min="16133" max="16133" width="11.42578125" style="1915" customWidth="1"/>
    <col min="16134" max="16134" width="11.28515625" style="1915" customWidth="1"/>
    <col min="16135" max="16135" width="13.5703125" style="1915" customWidth="1"/>
    <col min="16136" max="16136" width="10.5703125" style="1915" customWidth="1"/>
    <col min="16137" max="16137" width="11.7109375" style="1915" customWidth="1"/>
    <col min="16138" max="16138" width="13.7109375" style="1915" customWidth="1"/>
    <col min="16139" max="16384" width="9.140625" style="1915"/>
  </cols>
  <sheetData>
    <row r="1" spans="1:10" ht="15" customHeight="1">
      <c r="A1" s="1912" t="s">
        <v>3051</v>
      </c>
      <c r="B1" s="1913"/>
      <c r="C1" s="1914"/>
      <c r="D1" s="1914"/>
      <c r="E1" s="1914"/>
      <c r="F1" s="1914"/>
      <c r="G1" s="1914"/>
      <c r="H1" s="1914"/>
      <c r="I1" s="1914"/>
      <c r="J1" s="1914"/>
    </row>
    <row r="2" spans="1:10" ht="15.75" customHeight="1">
      <c r="A2" s="1914"/>
      <c r="B2" s="1914"/>
      <c r="C2" s="1914"/>
      <c r="D2" s="1914"/>
      <c r="E2" s="1914"/>
      <c r="F2" s="1914"/>
      <c r="G2" s="1914"/>
      <c r="H2" s="1914"/>
      <c r="I2" s="1914"/>
      <c r="J2" s="1914"/>
    </row>
    <row r="3" spans="1:10" ht="16.5" customHeight="1">
      <c r="A3" s="1916"/>
      <c r="B3" s="1917"/>
      <c r="C3" s="1917"/>
      <c r="D3" s="1917"/>
      <c r="E3" s="1917"/>
      <c r="F3" s="1917"/>
      <c r="G3" s="1917"/>
      <c r="H3" s="1917"/>
      <c r="I3" s="1917"/>
      <c r="J3" s="1918" t="s">
        <v>74</v>
      </c>
    </row>
    <row r="4" spans="1:10" s="1920" customFormat="1" ht="17.100000000000001" customHeight="1">
      <c r="A4" s="1919" t="s">
        <v>263</v>
      </c>
      <c r="B4" s="3349" t="s">
        <v>3052</v>
      </c>
      <c r="C4" s="3350"/>
      <c r="D4" s="3351"/>
      <c r="E4" s="3351" t="s">
        <v>3053</v>
      </c>
      <c r="F4" s="3356" t="s">
        <v>3054</v>
      </c>
      <c r="G4" s="3357"/>
      <c r="H4" s="3358"/>
      <c r="I4" s="3359" t="s">
        <v>246</v>
      </c>
      <c r="J4" s="3359" t="s">
        <v>247</v>
      </c>
    </row>
    <row r="5" spans="1:10" s="1920" customFormat="1" ht="17.100000000000001" customHeight="1">
      <c r="A5" s="1921"/>
      <c r="B5" s="3352"/>
      <c r="C5" s="3353"/>
      <c r="D5" s="3354"/>
      <c r="E5" s="3355"/>
      <c r="F5" s="3349" t="s">
        <v>3055</v>
      </c>
      <c r="G5" s="3359" t="s">
        <v>3056</v>
      </c>
      <c r="H5" s="3351" t="s">
        <v>246</v>
      </c>
      <c r="I5" s="3360"/>
      <c r="J5" s="3360"/>
    </row>
    <row r="6" spans="1:10" s="1920" customFormat="1" ht="39.75" customHeight="1">
      <c r="A6" s="1922"/>
      <c r="B6" s="1923" t="s">
        <v>3057</v>
      </c>
      <c r="C6" s="1923" t="s">
        <v>201</v>
      </c>
      <c r="D6" s="1923" t="s">
        <v>246</v>
      </c>
      <c r="E6" s="3354"/>
      <c r="F6" s="3362"/>
      <c r="G6" s="3363"/>
      <c r="H6" s="3364"/>
      <c r="I6" s="3361"/>
      <c r="J6" s="3361"/>
    </row>
    <row r="7" spans="1:10" ht="20.25" customHeight="1">
      <c r="A7" s="1924" t="s">
        <v>274</v>
      </c>
      <c r="B7" s="1925">
        <v>45.120079196370334</v>
      </c>
      <c r="C7" s="1926">
        <v>4702.1756322565952</v>
      </c>
      <c r="D7" s="1926">
        <v>0</v>
      </c>
      <c r="E7" s="1925">
        <v>63.732872729999997</v>
      </c>
      <c r="F7" s="1925">
        <v>0.16589368174673821</v>
      </c>
      <c r="G7" s="1925">
        <v>0</v>
      </c>
      <c r="H7" s="1925">
        <v>0</v>
      </c>
      <c r="I7" s="1927">
        <v>0</v>
      </c>
      <c r="J7" s="1928">
        <f t="shared" ref="J7:J17" si="0">SUM(B7:I7)</f>
        <v>4811.1944778647121</v>
      </c>
    </row>
    <row r="8" spans="1:10" ht="19.5" customHeight="1">
      <c r="A8" s="1929" t="s">
        <v>285</v>
      </c>
      <c r="B8" s="1930">
        <v>949.180252444399</v>
      </c>
      <c r="C8" s="1931">
        <v>48695.475178565706</v>
      </c>
      <c r="D8" s="1931">
        <v>8714.7884190425593</v>
      </c>
      <c r="E8" s="1930">
        <v>1840.8615245899998</v>
      </c>
      <c r="F8" s="1930">
        <v>21.065100732350007</v>
      </c>
      <c r="G8" s="1930">
        <v>1114.834872262981</v>
      </c>
      <c r="H8" s="1930">
        <v>0</v>
      </c>
      <c r="I8" s="1927">
        <v>0.14962818</v>
      </c>
      <c r="J8" s="1932">
        <f t="shared" si="0"/>
        <v>61336.354975817994</v>
      </c>
    </row>
    <row r="9" spans="1:10" ht="21.75" customHeight="1">
      <c r="A9" s="1929" t="s">
        <v>302</v>
      </c>
      <c r="B9" s="1930">
        <v>1082.656762032</v>
      </c>
      <c r="C9" s="1931">
        <v>14860.976916653903</v>
      </c>
      <c r="D9" s="1931">
        <v>0.38424073999999997</v>
      </c>
      <c r="E9" s="1930">
        <v>21.493777820000002</v>
      </c>
      <c r="F9" s="1930">
        <v>0</v>
      </c>
      <c r="G9" s="1930">
        <v>0</v>
      </c>
      <c r="H9" s="1930">
        <v>0</v>
      </c>
      <c r="I9" s="1927">
        <v>0.27593071999999996</v>
      </c>
      <c r="J9" s="1932">
        <f t="shared" si="0"/>
        <v>15965.787627965903</v>
      </c>
    </row>
    <row r="10" spans="1:10" ht="19.5" customHeight="1">
      <c r="A10" s="1929" t="s">
        <v>309</v>
      </c>
      <c r="B10" s="1930">
        <v>1.2699793957739998</v>
      </c>
      <c r="C10" s="1931">
        <v>7428.1088915667924</v>
      </c>
      <c r="D10" s="1931">
        <v>0</v>
      </c>
      <c r="E10" s="1930">
        <v>2.5695222999999996</v>
      </c>
      <c r="F10" s="1930">
        <v>32.216512486003971</v>
      </c>
      <c r="G10" s="1930">
        <v>0</v>
      </c>
      <c r="H10" s="1930">
        <v>0</v>
      </c>
      <c r="I10" s="1927">
        <v>327.35080498000002</v>
      </c>
      <c r="J10" s="1932">
        <f t="shared" si="0"/>
        <v>7791.5157107285704</v>
      </c>
    </row>
    <row r="11" spans="1:10" ht="18.75" customHeight="1">
      <c r="A11" s="1929" t="s">
        <v>313</v>
      </c>
      <c r="B11" s="1930">
        <v>88.522238679424319</v>
      </c>
      <c r="C11" s="1931">
        <v>16482.63743622354</v>
      </c>
      <c r="D11" s="1931">
        <v>161.11892292945132</v>
      </c>
      <c r="E11" s="1930">
        <v>12.33164627</v>
      </c>
      <c r="F11" s="1930">
        <v>35.715446143831358</v>
      </c>
      <c r="G11" s="1930">
        <v>3557.7153497684626</v>
      </c>
      <c r="H11" s="1930">
        <v>0</v>
      </c>
      <c r="I11" s="1927">
        <v>872.24153828999999</v>
      </c>
      <c r="J11" s="1932">
        <f t="shared" si="0"/>
        <v>21210.282578304708</v>
      </c>
    </row>
    <row r="12" spans="1:10" ht="18.75" customHeight="1">
      <c r="A12" s="1929" t="s">
        <v>325</v>
      </c>
      <c r="B12" s="1930">
        <v>1144.4259496435686</v>
      </c>
      <c r="C12" s="1931">
        <v>10749.58209288949</v>
      </c>
      <c r="D12" s="1931">
        <v>13584.030696825428</v>
      </c>
      <c r="E12" s="1930">
        <v>151.88752066999999</v>
      </c>
      <c r="F12" s="1930">
        <v>277.13673570763194</v>
      </c>
      <c r="G12" s="1930">
        <v>1529.2655571158903</v>
      </c>
      <c r="H12" s="1930">
        <v>0</v>
      </c>
      <c r="I12" s="1927">
        <v>3.0342458399999996</v>
      </c>
      <c r="J12" s="1932">
        <f t="shared" si="0"/>
        <v>27439.362798692007</v>
      </c>
    </row>
    <row r="13" spans="1:10" ht="22.5" customHeight="1">
      <c r="A13" s="1929" t="s">
        <v>336</v>
      </c>
      <c r="B13" s="1930">
        <v>0.90738339000000001</v>
      </c>
      <c r="C13" s="1931">
        <v>9243.5956643033551</v>
      </c>
      <c r="D13" s="1931">
        <v>1055.5469166666655</v>
      </c>
      <c r="E13" s="1930">
        <v>14.594268420000001</v>
      </c>
      <c r="F13" s="1930">
        <v>308.12752769737409</v>
      </c>
      <c r="G13" s="1930">
        <v>7410.4082844078575</v>
      </c>
      <c r="H13" s="1930">
        <v>0</v>
      </c>
      <c r="I13" s="1927">
        <v>0.2629283</v>
      </c>
      <c r="J13" s="1932">
        <f t="shared" si="0"/>
        <v>18033.442973185251</v>
      </c>
    </row>
    <row r="14" spans="1:10" ht="18" customHeight="1">
      <c r="A14" s="1929" t="s">
        <v>343</v>
      </c>
      <c r="B14" s="1930">
        <v>632.03296605338664</v>
      </c>
      <c r="C14" s="1931">
        <v>25754.528261689695</v>
      </c>
      <c r="D14" s="1931">
        <v>54163.881185100225</v>
      </c>
      <c r="E14" s="1930">
        <v>3946.9874638733868</v>
      </c>
      <c r="F14" s="1930">
        <v>2872.9352120384997</v>
      </c>
      <c r="G14" s="1930">
        <v>19734.814752651782</v>
      </c>
      <c r="H14" s="1930">
        <v>5060.1745709499464</v>
      </c>
      <c r="I14" s="1927">
        <v>255.99237237</v>
      </c>
      <c r="J14" s="1932">
        <f t="shared" si="0"/>
        <v>112421.34678472693</v>
      </c>
    </row>
    <row r="15" spans="1:10" ht="19.5" customHeight="1">
      <c r="A15" s="1929" t="s">
        <v>351</v>
      </c>
      <c r="B15" s="1930">
        <v>137.19369419999998</v>
      </c>
      <c r="C15" s="1931">
        <v>7118.4472053322552</v>
      </c>
      <c r="D15" s="1931">
        <v>1448.21960173</v>
      </c>
      <c r="E15" s="1930">
        <v>0</v>
      </c>
      <c r="F15" s="1930">
        <v>11.056744187749917</v>
      </c>
      <c r="G15" s="1930">
        <v>1399.092797893815</v>
      </c>
      <c r="H15" s="1930">
        <v>0</v>
      </c>
      <c r="I15" s="1927">
        <v>2.4971470000000003E-2</v>
      </c>
      <c r="J15" s="1932">
        <f t="shared" si="0"/>
        <v>10114.03501481382</v>
      </c>
    </row>
    <row r="16" spans="1:10" ht="20.25" customHeight="1">
      <c r="A16" s="1929" t="s">
        <v>3058</v>
      </c>
      <c r="B16" s="1930">
        <v>119.16331442933999</v>
      </c>
      <c r="C16" s="1931">
        <v>3170.2093093467111</v>
      </c>
      <c r="D16" s="1931">
        <v>72.880165380000008</v>
      </c>
      <c r="E16" s="1930">
        <v>20.655933260000001</v>
      </c>
      <c r="F16" s="1930">
        <v>0</v>
      </c>
      <c r="G16" s="1930">
        <v>0</v>
      </c>
      <c r="H16" s="1930">
        <v>0</v>
      </c>
      <c r="I16" s="1927">
        <v>267.57454591000004</v>
      </c>
      <c r="J16" s="1932">
        <f t="shared" si="0"/>
        <v>3650.4832683260511</v>
      </c>
    </row>
    <row r="17" spans="1:10" ht="21" customHeight="1">
      <c r="A17" s="1929" t="s">
        <v>191</v>
      </c>
      <c r="B17" s="1933">
        <v>240.898393512891</v>
      </c>
      <c r="C17" s="1934">
        <v>20154.048337445231</v>
      </c>
      <c r="D17" s="1934">
        <v>1963.8761961407308</v>
      </c>
      <c r="E17" s="1933">
        <v>3604.3457920090004</v>
      </c>
      <c r="F17" s="1933">
        <v>2562.9425075704639</v>
      </c>
      <c r="G17" s="1933">
        <v>14284.21885144664</v>
      </c>
      <c r="H17" s="1933">
        <v>33.487152999999999</v>
      </c>
      <c r="I17" s="1927">
        <v>31.6898838</v>
      </c>
      <c r="J17" s="1932">
        <f t="shared" si="0"/>
        <v>42875.507114924956</v>
      </c>
    </row>
    <row r="18" spans="1:10" ht="23.25" customHeight="1">
      <c r="A18" s="1935" t="s">
        <v>247</v>
      </c>
      <c r="B18" s="1936">
        <f t="shared" ref="B18:J18" si="1">SUM(B7:B17)</f>
        <v>4441.3710129771534</v>
      </c>
      <c r="C18" s="1936">
        <f t="shared" si="1"/>
        <v>168359.78492627328</v>
      </c>
      <c r="D18" s="1936">
        <f t="shared" si="1"/>
        <v>81164.726344555063</v>
      </c>
      <c r="E18" s="1936">
        <f t="shared" si="1"/>
        <v>9679.460321942388</v>
      </c>
      <c r="F18" s="1936">
        <f t="shared" si="1"/>
        <v>6121.3616802456509</v>
      </c>
      <c r="G18" s="1936">
        <f t="shared" si="1"/>
        <v>49030.350465547424</v>
      </c>
      <c r="H18" s="1936">
        <f t="shared" si="1"/>
        <v>5093.6617239499465</v>
      </c>
      <c r="I18" s="1936">
        <f t="shared" si="1"/>
        <v>1758.5968498600002</v>
      </c>
      <c r="J18" s="1936">
        <f t="shared" si="1"/>
        <v>325649.31332535087</v>
      </c>
    </row>
    <row r="19" spans="1:10" ht="18.75" customHeight="1">
      <c r="A19" s="1914"/>
      <c r="B19" s="1937"/>
      <c r="C19" s="1914"/>
      <c r="D19" s="1914"/>
      <c r="E19" s="1914"/>
      <c r="F19" s="1914"/>
      <c r="G19" s="1914"/>
      <c r="H19" s="1914"/>
      <c r="I19" s="1914"/>
      <c r="J19" s="1914"/>
    </row>
    <row r="20" spans="1:10" ht="15" customHeight="1">
      <c r="A20" s="1938" t="s">
        <v>240</v>
      </c>
      <c r="B20" s="1939"/>
      <c r="C20" s="1914"/>
      <c r="D20" s="1914"/>
      <c r="E20" s="1914"/>
      <c r="F20" s="1914"/>
      <c r="G20" s="1914"/>
      <c r="H20" s="1914"/>
      <c r="I20" s="1914"/>
      <c r="J20" s="1914"/>
    </row>
    <row r="21" spans="1:10" ht="12.75" customHeight="1">
      <c r="A21" s="1940" t="s">
        <v>3059</v>
      </c>
      <c r="B21" s="1939"/>
      <c r="C21" s="1914"/>
      <c r="D21" s="1914"/>
      <c r="E21" s="1914"/>
      <c r="F21" s="1914"/>
      <c r="G21" s="1914"/>
      <c r="H21" s="1914"/>
      <c r="I21" s="1914"/>
      <c r="J21" s="1914"/>
    </row>
    <row r="22" spans="1:10" ht="15.75">
      <c r="A22" s="1941"/>
    </row>
    <row r="23" spans="1:10" ht="15.75">
      <c r="A23" s="1942"/>
      <c r="C23" s="1943"/>
      <c r="D23" s="1943"/>
      <c r="E23" s="1943"/>
      <c r="F23" s="1943"/>
      <c r="G23" s="1944"/>
      <c r="H23" s="1944"/>
      <c r="I23" s="1944"/>
    </row>
    <row r="24" spans="1:10">
      <c r="A24" s="1945"/>
      <c r="C24" s="1943"/>
      <c r="D24" s="1943"/>
      <c r="E24" s="1943"/>
      <c r="F24" s="1943"/>
      <c r="G24" s="1944"/>
      <c r="H24" s="1944"/>
      <c r="I24" s="1944"/>
    </row>
    <row r="25" spans="1:10" ht="15.75">
      <c r="A25" s="1941"/>
      <c r="C25" s="1943"/>
      <c r="D25" s="1943"/>
      <c r="E25" s="1943"/>
      <c r="F25" s="1943"/>
      <c r="G25" s="1944"/>
      <c r="H25" s="1944"/>
      <c r="I25" s="1944"/>
    </row>
    <row r="26" spans="1:10" ht="15.75">
      <c r="A26" s="1941"/>
      <c r="C26" s="1943"/>
      <c r="D26" s="1943"/>
      <c r="E26" s="1943"/>
      <c r="F26" s="1943"/>
      <c r="G26" s="1944"/>
      <c r="H26" s="1944"/>
      <c r="I26" s="1944"/>
    </row>
    <row r="27" spans="1:10" ht="15.75">
      <c r="A27" s="1941"/>
      <c r="C27" s="1943"/>
      <c r="D27" s="1943"/>
      <c r="E27" s="1943"/>
      <c r="F27" s="1943"/>
      <c r="G27" s="1944"/>
      <c r="H27" s="1944"/>
      <c r="I27" s="1944"/>
    </row>
    <row r="28" spans="1:10" ht="15.75">
      <c r="A28" s="1941"/>
      <c r="C28" s="1943"/>
      <c r="D28" s="1943"/>
      <c r="E28" s="1943"/>
      <c r="F28" s="1943"/>
      <c r="G28" s="1944"/>
      <c r="H28" s="1944"/>
      <c r="I28" s="1944"/>
    </row>
    <row r="29" spans="1:10" ht="15.75">
      <c r="A29" s="1941"/>
      <c r="C29" s="1943"/>
      <c r="D29" s="1943"/>
      <c r="E29" s="1943"/>
      <c r="F29" s="1943"/>
      <c r="G29" s="1944"/>
      <c r="H29" s="1944"/>
      <c r="I29" s="1944"/>
    </row>
    <row r="30" spans="1:10" ht="15.75">
      <c r="A30" s="1941"/>
      <c r="C30" s="1943"/>
      <c r="D30" s="1943"/>
      <c r="E30" s="1943"/>
      <c r="F30" s="1943"/>
      <c r="G30" s="1944"/>
      <c r="H30" s="1944"/>
      <c r="I30" s="1944"/>
    </row>
    <row r="31" spans="1:10" ht="15.75">
      <c r="A31" s="1941"/>
      <c r="C31" s="1943"/>
      <c r="D31" s="1943"/>
      <c r="E31" s="1943"/>
      <c r="F31" s="1943"/>
      <c r="G31" s="1944"/>
      <c r="H31" s="1944"/>
      <c r="I31" s="1944"/>
    </row>
    <row r="32" spans="1:10" ht="15.75">
      <c r="A32" s="1941"/>
      <c r="C32" s="1943"/>
      <c r="D32" s="1943"/>
      <c r="E32" s="1943"/>
      <c r="F32" s="1943"/>
      <c r="G32" s="1944"/>
      <c r="H32" s="1944"/>
      <c r="I32" s="1944"/>
    </row>
    <row r="33" spans="1:9" ht="15.75">
      <c r="A33" s="1941"/>
      <c r="C33" s="1943"/>
      <c r="D33" s="1943"/>
      <c r="E33" s="1943"/>
      <c r="F33" s="1943"/>
      <c r="G33" s="1944"/>
      <c r="H33" s="1944"/>
      <c r="I33" s="1944"/>
    </row>
    <row r="34" spans="1:9" ht="15.75">
      <c r="A34" s="1941"/>
    </row>
    <row r="35" spans="1:9" ht="15.75">
      <c r="A35" s="1941"/>
    </row>
    <row r="36" spans="1:9" ht="15.75">
      <c r="A36" s="1941"/>
    </row>
    <row r="37" spans="1:9" ht="15.75">
      <c r="A37" s="1941"/>
    </row>
    <row r="38" spans="1:9" ht="15.75">
      <c r="A38" s="1941"/>
    </row>
    <row r="39" spans="1:9" ht="15.75">
      <c r="A39" s="1941"/>
    </row>
    <row r="40" spans="1:9" ht="15.75">
      <c r="A40" s="1941"/>
    </row>
    <row r="41" spans="1:9" ht="15.75">
      <c r="A41" s="1941"/>
    </row>
    <row r="42" spans="1:9" ht="15.75">
      <c r="A42" s="1941"/>
    </row>
    <row r="43" spans="1:9" ht="15.75">
      <c r="A43" s="1941"/>
    </row>
    <row r="44" spans="1:9" ht="15.75">
      <c r="A44" s="1941"/>
    </row>
    <row r="45" spans="1:9" ht="15.75">
      <c r="A45" s="1941"/>
    </row>
    <row r="46" spans="1:9" ht="15.75">
      <c r="A46" s="1941"/>
    </row>
    <row r="47" spans="1:9" ht="15.75">
      <c r="A47" s="1941"/>
    </row>
    <row r="48" spans="1:9" ht="15.75">
      <c r="A48" s="1941"/>
    </row>
    <row r="49" spans="1:1" ht="15.75">
      <c r="A49" s="1941"/>
    </row>
    <row r="50" spans="1:1" ht="15.75">
      <c r="A50" s="1941"/>
    </row>
    <row r="51" spans="1:1" ht="15.75">
      <c r="A51" s="1941"/>
    </row>
    <row r="52" spans="1:1" ht="15.75">
      <c r="A52" s="1941"/>
    </row>
    <row r="53" spans="1:1" ht="15.75">
      <c r="A53" s="1941"/>
    </row>
    <row r="54" spans="1:1" ht="15.75">
      <c r="A54" s="1941"/>
    </row>
    <row r="55" spans="1:1" ht="15.75">
      <c r="A55" s="1941"/>
    </row>
    <row r="56" spans="1:1" ht="15.75">
      <c r="A56" s="1941"/>
    </row>
    <row r="57" spans="1:1" ht="15.75">
      <c r="A57" s="1941"/>
    </row>
    <row r="58" spans="1:1" ht="15.75">
      <c r="A58" s="1941"/>
    </row>
    <row r="59" spans="1:1" ht="15.75">
      <c r="A59" s="1941"/>
    </row>
    <row r="60" spans="1:1" ht="15.75">
      <c r="A60" s="1941"/>
    </row>
    <row r="61" spans="1:1" ht="15.75">
      <c r="A61" s="1941"/>
    </row>
    <row r="62" spans="1:1" ht="15.75">
      <c r="A62" s="1946"/>
    </row>
    <row r="63" spans="1:1" ht="15.75">
      <c r="A63" s="1946"/>
    </row>
    <row r="64" spans="1:1" ht="15.75">
      <c r="A64" s="1946"/>
    </row>
    <row r="65" spans="1:1" ht="15.75">
      <c r="A65" s="1946"/>
    </row>
    <row r="66" spans="1:1" ht="15.75">
      <c r="A66" s="1946"/>
    </row>
    <row r="67" spans="1:1" ht="15.75">
      <c r="A67" s="1946"/>
    </row>
    <row r="68" spans="1:1" ht="15.75">
      <c r="A68" s="1946"/>
    </row>
    <row r="69" spans="1:1" ht="15.75">
      <c r="A69" s="1946"/>
    </row>
    <row r="70" spans="1:1" ht="15.75">
      <c r="A70" s="1946"/>
    </row>
    <row r="71" spans="1:1" ht="15.75">
      <c r="A71" s="1946"/>
    </row>
    <row r="72" spans="1:1" ht="15.75">
      <c r="A72" s="1946"/>
    </row>
    <row r="73" spans="1:1" ht="15.75">
      <c r="A73" s="1946"/>
    </row>
    <row r="74" spans="1:1" ht="15.75">
      <c r="A74" s="1946"/>
    </row>
    <row r="75" spans="1:1" ht="15.75">
      <c r="A75" s="1946"/>
    </row>
    <row r="76" spans="1:1" ht="15.75">
      <c r="A76" s="1946"/>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6"/>
  <sheetViews>
    <sheetView zoomScaleNormal="100" workbookViewId="0">
      <selection activeCell="N145" sqref="N145"/>
    </sheetView>
  </sheetViews>
  <sheetFormatPr defaultRowHeight="12.75"/>
  <cols>
    <col min="1" max="1" width="14.42578125" style="1394" customWidth="1"/>
    <col min="2" max="2" width="12.7109375" style="1394" customWidth="1"/>
    <col min="3" max="4" width="16.7109375" style="1949" customWidth="1"/>
    <col min="5" max="5" width="13.7109375" style="1394" customWidth="1"/>
    <col min="6" max="6" width="12.42578125" style="1394" customWidth="1"/>
    <col min="7" max="7" width="12.5703125" style="1394" customWidth="1"/>
    <col min="8" max="8" width="12.7109375" style="1394" customWidth="1"/>
    <col min="9" max="9" width="12.5703125" style="1394" customWidth="1"/>
    <col min="10" max="10" width="11.85546875" style="1394" customWidth="1"/>
    <col min="11" max="11" width="9.85546875" style="1394" customWidth="1"/>
    <col min="12" max="12" width="9.140625" style="1394"/>
    <col min="13" max="13" width="10.28515625" style="1394" customWidth="1"/>
    <col min="14" max="256" width="9.140625" style="1394"/>
    <col min="257" max="257" width="14.42578125" style="1394" customWidth="1"/>
    <col min="258" max="258" width="12.7109375" style="1394" customWidth="1"/>
    <col min="259" max="260" width="16.7109375" style="1394" customWidth="1"/>
    <col min="261" max="261" width="13.7109375" style="1394" customWidth="1"/>
    <col min="262" max="262" width="12.42578125" style="1394" customWidth="1"/>
    <col min="263" max="263" width="12.5703125" style="1394" customWidth="1"/>
    <col min="264" max="264" width="12.7109375" style="1394" customWidth="1"/>
    <col min="265" max="265" width="12.5703125" style="1394" customWidth="1"/>
    <col min="266" max="266" width="11.85546875" style="1394" customWidth="1"/>
    <col min="267" max="267" width="9.85546875" style="1394" customWidth="1"/>
    <col min="268" max="268" width="9.140625" style="1394"/>
    <col min="269" max="269" width="10.28515625" style="1394" customWidth="1"/>
    <col min="270" max="512" width="9.140625" style="1394"/>
    <col min="513" max="513" width="14.42578125" style="1394" customWidth="1"/>
    <col min="514" max="514" width="12.7109375" style="1394" customWidth="1"/>
    <col min="515" max="516" width="16.7109375" style="1394" customWidth="1"/>
    <col min="517" max="517" width="13.7109375" style="1394" customWidth="1"/>
    <col min="518" max="518" width="12.42578125" style="1394" customWidth="1"/>
    <col min="519" max="519" width="12.5703125" style="1394" customWidth="1"/>
    <col min="520" max="520" width="12.7109375" style="1394" customWidth="1"/>
    <col min="521" max="521" width="12.5703125" style="1394" customWidth="1"/>
    <col min="522" max="522" width="11.85546875" style="1394" customWidth="1"/>
    <col min="523" max="523" width="9.85546875" style="1394" customWidth="1"/>
    <col min="524" max="524" width="9.140625" style="1394"/>
    <col min="525" max="525" width="10.28515625" style="1394" customWidth="1"/>
    <col min="526" max="768" width="9.140625" style="1394"/>
    <col min="769" max="769" width="14.42578125" style="1394" customWidth="1"/>
    <col min="770" max="770" width="12.7109375" style="1394" customWidth="1"/>
    <col min="771" max="772" width="16.7109375" style="1394" customWidth="1"/>
    <col min="773" max="773" width="13.7109375" style="1394" customWidth="1"/>
    <col min="774" max="774" width="12.42578125" style="1394" customWidth="1"/>
    <col min="775" max="775" width="12.5703125" style="1394" customWidth="1"/>
    <col min="776" max="776" width="12.7109375" style="1394" customWidth="1"/>
    <col min="777" max="777" width="12.5703125" style="1394" customWidth="1"/>
    <col min="778" max="778" width="11.85546875" style="1394" customWidth="1"/>
    <col min="779" max="779" width="9.85546875" style="1394" customWidth="1"/>
    <col min="780" max="780" width="9.140625" style="1394"/>
    <col min="781" max="781" width="10.28515625" style="1394" customWidth="1"/>
    <col min="782" max="1024" width="9.140625" style="1394"/>
    <col min="1025" max="1025" width="14.42578125" style="1394" customWidth="1"/>
    <col min="1026" max="1026" width="12.7109375" style="1394" customWidth="1"/>
    <col min="1027" max="1028" width="16.7109375" style="1394" customWidth="1"/>
    <col min="1029" max="1029" width="13.7109375" style="1394" customWidth="1"/>
    <col min="1030" max="1030" width="12.42578125" style="1394" customWidth="1"/>
    <col min="1031" max="1031" width="12.5703125" style="1394" customWidth="1"/>
    <col min="1032" max="1032" width="12.7109375" style="1394" customWidth="1"/>
    <col min="1033" max="1033" width="12.5703125" style="1394" customWidth="1"/>
    <col min="1034" max="1034" width="11.85546875" style="1394" customWidth="1"/>
    <col min="1035" max="1035" width="9.85546875" style="1394" customWidth="1"/>
    <col min="1036" max="1036" width="9.140625" style="1394"/>
    <col min="1037" max="1037" width="10.28515625" style="1394" customWidth="1"/>
    <col min="1038" max="1280" width="9.140625" style="1394"/>
    <col min="1281" max="1281" width="14.42578125" style="1394" customWidth="1"/>
    <col min="1282" max="1282" width="12.7109375" style="1394" customWidth="1"/>
    <col min="1283" max="1284" width="16.7109375" style="1394" customWidth="1"/>
    <col min="1285" max="1285" width="13.7109375" style="1394" customWidth="1"/>
    <col min="1286" max="1286" width="12.42578125" style="1394" customWidth="1"/>
    <col min="1287" max="1287" width="12.5703125" style="1394" customWidth="1"/>
    <col min="1288" max="1288" width="12.7109375" style="1394" customWidth="1"/>
    <col min="1289" max="1289" width="12.5703125" style="1394" customWidth="1"/>
    <col min="1290" max="1290" width="11.85546875" style="1394" customWidth="1"/>
    <col min="1291" max="1291" width="9.85546875" style="1394" customWidth="1"/>
    <col min="1292" max="1292" width="9.140625" style="1394"/>
    <col min="1293" max="1293" width="10.28515625" style="1394" customWidth="1"/>
    <col min="1294" max="1536" width="9.140625" style="1394"/>
    <col min="1537" max="1537" width="14.42578125" style="1394" customWidth="1"/>
    <col min="1538" max="1538" width="12.7109375" style="1394" customWidth="1"/>
    <col min="1539" max="1540" width="16.7109375" style="1394" customWidth="1"/>
    <col min="1541" max="1541" width="13.7109375" style="1394" customWidth="1"/>
    <col min="1542" max="1542" width="12.42578125" style="1394" customWidth="1"/>
    <col min="1543" max="1543" width="12.5703125" style="1394" customWidth="1"/>
    <col min="1544" max="1544" width="12.7109375" style="1394" customWidth="1"/>
    <col min="1545" max="1545" width="12.5703125" style="1394" customWidth="1"/>
    <col min="1546" max="1546" width="11.85546875" style="1394" customWidth="1"/>
    <col min="1547" max="1547" width="9.85546875" style="1394" customWidth="1"/>
    <col min="1548" max="1548" width="9.140625" style="1394"/>
    <col min="1549" max="1549" width="10.28515625" style="1394" customWidth="1"/>
    <col min="1550" max="1792" width="9.140625" style="1394"/>
    <col min="1793" max="1793" width="14.42578125" style="1394" customWidth="1"/>
    <col min="1794" max="1794" width="12.7109375" style="1394" customWidth="1"/>
    <col min="1795" max="1796" width="16.7109375" style="1394" customWidth="1"/>
    <col min="1797" max="1797" width="13.7109375" style="1394" customWidth="1"/>
    <col min="1798" max="1798" width="12.42578125" style="1394" customWidth="1"/>
    <col min="1799" max="1799" width="12.5703125" style="1394" customWidth="1"/>
    <col min="1800" max="1800" width="12.7109375" style="1394" customWidth="1"/>
    <col min="1801" max="1801" width="12.5703125" style="1394" customWidth="1"/>
    <col min="1802" max="1802" width="11.85546875" style="1394" customWidth="1"/>
    <col min="1803" max="1803" width="9.85546875" style="1394" customWidth="1"/>
    <col min="1804" max="1804" width="9.140625" style="1394"/>
    <col min="1805" max="1805" width="10.28515625" style="1394" customWidth="1"/>
    <col min="1806" max="2048" width="9.140625" style="1394"/>
    <col min="2049" max="2049" width="14.42578125" style="1394" customWidth="1"/>
    <col min="2050" max="2050" width="12.7109375" style="1394" customWidth="1"/>
    <col min="2051" max="2052" width="16.7109375" style="1394" customWidth="1"/>
    <col min="2053" max="2053" width="13.7109375" style="1394" customWidth="1"/>
    <col min="2054" max="2054" width="12.42578125" style="1394" customWidth="1"/>
    <col min="2055" max="2055" width="12.5703125" style="1394" customWidth="1"/>
    <col min="2056" max="2056" width="12.7109375" style="1394" customWidth="1"/>
    <col min="2057" max="2057" width="12.5703125" style="1394" customWidth="1"/>
    <col min="2058" max="2058" width="11.85546875" style="1394" customWidth="1"/>
    <col min="2059" max="2059" width="9.85546875" style="1394" customWidth="1"/>
    <col min="2060" max="2060" width="9.140625" style="1394"/>
    <col min="2061" max="2061" width="10.28515625" style="1394" customWidth="1"/>
    <col min="2062" max="2304" width="9.140625" style="1394"/>
    <col min="2305" max="2305" width="14.42578125" style="1394" customWidth="1"/>
    <col min="2306" max="2306" width="12.7109375" style="1394" customWidth="1"/>
    <col min="2307" max="2308" width="16.7109375" style="1394" customWidth="1"/>
    <col min="2309" max="2309" width="13.7109375" style="1394" customWidth="1"/>
    <col min="2310" max="2310" width="12.42578125" style="1394" customWidth="1"/>
    <col min="2311" max="2311" width="12.5703125" style="1394" customWidth="1"/>
    <col min="2312" max="2312" width="12.7109375" style="1394" customWidth="1"/>
    <col min="2313" max="2313" width="12.5703125" style="1394" customWidth="1"/>
    <col min="2314" max="2314" width="11.85546875" style="1394" customWidth="1"/>
    <col min="2315" max="2315" width="9.85546875" style="1394" customWidth="1"/>
    <col min="2316" max="2316" width="9.140625" style="1394"/>
    <col min="2317" max="2317" width="10.28515625" style="1394" customWidth="1"/>
    <col min="2318" max="2560" width="9.140625" style="1394"/>
    <col min="2561" max="2561" width="14.42578125" style="1394" customWidth="1"/>
    <col min="2562" max="2562" width="12.7109375" style="1394" customWidth="1"/>
    <col min="2563" max="2564" width="16.7109375" style="1394" customWidth="1"/>
    <col min="2565" max="2565" width="13.7109375" style="1394" customWidth="1"/>
    <col min="2566" max="2566" width="12.42578125" style="1394" customWidth="1"/>
    <col min="2567" max="2567" width="12.5703125" style="1394" customWidth="1"/>
    <col min="2568" max="2568" width="12.7109375" style="1394" customWidth="1"/>
    <col min="2569" max="2569" width="12.5703125" style="1394" customWidth="1"/>
    <col min="2570" max="2570" width="11.85546875" style="1394" customWidth="1"/>
    <col min="2571" max="2571" width="9.85546875" style="1394" customWidth="1"/>
    <col min="2572" max="2572" width="9.140625" style="1394"/>
    <col min="2573" max="2573" width="10.28515625" style="1394" customWidth="1"/>
    <col min="2574" max="2816" width="9.140625" style="1394"/>
    <col min="2817" max="2817" width="14.42578125" style="1394" customWidth="1"/>
    <col min="2818" max="2818" width="12.7109375" style="1394" customWidth="1"/>
    <col min="2819" max="2820" width="16.7109375" style="1394" customWidth="1"/>
    <col min="2821" max="2821" width="13.7109375" style="1394" customWidth="1"/>
    <col min="2822" max="2822" width="12.42578125" style="1394" customWidth="1"/>
    <col min="2823" max="2823" width="12.5703125" style="1394" customWidth="1"/>
    <col min="2824" max="2824" width="12.7109375" style="1394" customWidth="1"/>
    <col min="2825" max="2825" width="12.5703125" style="1394" customWidth="1"/>
    <col min="2826" max="2826" width="11.85546875" style="1394" customWidth="1"/>
    <col min="2827" max="2827" width="9.85546875" style="1394" customWidth="1"/>
    <col min="2828" max="2828" width="9.140625" style="1394"/>
    <col min="2829" max="2829" width="10.28515625" style="1394" customWidth="1"/>
    <col min="2830" max="3072" width="9.140625" style="1394"/>
    <col min="3073" max="3073" width="14.42578125" style="1394" customWidth="1"/>
    <col min="3074" max="3074" width="12.7109375" style="1394" customWidth="1"/>
    <col min="3075" max="3076" width="16.7109375" style="1394" customWidth="1"/>
    <col min="3077" max="3077" width="13.7109375" style="1394" customWidth="1"/>
    <col min="3078" max="3078" width="12.42578125" style="1394" customWidth="1"/>
    <col min="3079" max="3079" width="12.5703125" style="1394" customWidth="1"/>
    <col min="3080" max="3080" width="12.7109375" style="1394" customWidth="1"/>
    <col min="3081" max="3081" width="12.5703125" style="1394" customWidth="1"/>
    <col min="3082" max="3082" width="11.85546875" style="1394" customWidth="1"/>
    <col min="3083" max="3083" width="9.85546875" style="1394" customWidth="1"/>
    <col min="3084" max="3084" width="9.140625" style="1394"/>
    <col min="3085" max="3085" width="10.28515625" style="1394" customWidth="1"/>
    <col min="3086" max="3328" width="9.140625" style="1394"/>
    <col min="3329" max="3329" width="14.42578125" style="1394" customWidth="1"/>
    <col min="3330" max="3330" width="12.7109375" style="1394" customWidth="1"/>
    <col min="3331" max="3332" width="16.7109375" style="1394" customWidth="1"/>
    <col min="3333" max="3333" width="13.7109375" style="1394" customWidth="1"/>
    <col min="3334" max="3334" width="12.42578125" style="1394" customWidth="1"/>
    <col min="3335" max="3335" width="12.5703125" style="1394" customWidth="1"/>
    <col min="3336" max="3336" width="12.7109375" style="1394" customWidth="1"/>
    <col min="3337" max="3337" width="12.5703125" style="1394" customWidth="1"/>
    <col min="3338" max="3338" width="11.85546875" style="1394" customWidth="1"/>
    <col min="3339" max="3339" width="9.85546875" style="1394" customWidth="1"/>
    <col min="3340" max="3340" width="9.140625" style="1394"/>
    <col min="3341" max="3341" width="10.28515625" style="1394" customWidth="1"/>
    <col min="3342" max="3584" width="9.140625" style="1394"/>
    <col min="3585" max="3585" width="14.42578125" style="1394" customWidth="1"/>
    <col min="3586" max="3586" width="12.7109375" style="1394" customWidth="1"/>
    <col min="3587" max="3588" width="16.7109375" style="1394" customWidth="1"/>
    <col min="3589" max="3589" width="13.7109375" style="1394" customWidth="1"/>
    <col min="3590" max="3590" width="12.42578125" style="1394" customWidth="1"/>
    <col min="3591" max="3591" width="12.5703125" style="1394" customWidth="1"/>
    <col min="3592" max="3592" width="12.7109375" style="1394" customWidth="1"/>
    <col min="3593" max="3593" width="12.5703125" style="1394" customWidth="1"/>
    <col min="3594" max="3594" width="11.85546875" style="1394" customWidth="1"/>
    <col min="3595" max="3595" width="9.85546875" style="1394" customWidth="1"/>
    <col min="3596" max="3596" width="9.140625" style="1394"/>
    <col min="3597" max="3597" width="10.28515625" style="1394" customWidth="1"/>
    <col min="3598" max="3840" width="9.140625" style="1394"/>
    <col min="3841" max="3841" width="14.42578125" style="1394" customWidth="1"/>
    <col min="3842" max="3842" width="12.7109375" style="1394" customWidth="1"/>
    <col min="3843" max="3844" width="16.7109375" style="1394" customWidth="1"/>
    <col min="3845" max="3845" width="13.7109375" style="1394" customWidth="1"/>
    <col min="3846" max="3846" width="12.42578125" style="1394" customWidth="1"/>
    <col min="3847" max="3847" width="12.5703125" style="1394" customWidth="1"/>
    <col min="3848" max="3848" width="12.7109375" style="1394" customWidth="1"/>
    <col min="3849" max="3849" width="12.5703125" style="1394" customWidth="1"/>
    <col min="3850" max="3850" width="11.85546875" style="1394" customWidth="1"/>
    <col min="3851" max="3851" width="9.85546875" style="1394" customWidth="1"/>
    <col min="3852" max="3852" width="9.140625" style="1394"/>
    <col min="3853" max="3853" width="10.28515625" style="1394" customWidth="1"/>
    <col min="3854" max="4096" width="9.140625" style="1394"/>
    <col min="4097" max="4097" width="14.42578125" style="1394" customWidth="1"/>
    <col min="4098" max="4098" width="12.7109375" style="1394" customWidth="1"/>
    <col min="4099" max="4100" width="16.7109375" style="1394" customWidth="1"/>
    <col min="4101" max="4101" width="13.7109375" style="1394" customWidth="1"/>
    <col min="4102" max="4102" width="12.42578125" style="1394" customWidth="1"/>
    <col min="4103" max="4103" width="12.5703125" style="1394" customWidth="1"/>
    <col min="4104" max="4104" width="12.7109375" style="1394" customWidth="1"/>
    <col min="4105" max="4105" width="12.5703125" style="1394" customWidth="1"/>
    <col min="4106" max="4106" width="11.85546875" style="1394" customWidth="1"/>
    <col min="4107" max="4107" width="9.85546875" style="1394" customWidth="1"/>
    <col min="4108" max="4108" width="9.140625" style="1394"/>
    <col min="4109" max="4109" width="10.28515625" style="1394" customWidth="1"/>
    <col min="4110" max="4352" width="9.140625" style="1394"/>
    <col min="4353" max="4353" width="14.42578125" style="1394" customWidth="1"/>
    <col min="4354" max="4354" width="12.7109375" style="1394" customWidth="1"/>
    <col min="4355" max="4356" width="16.7109375" style="1394" customWidth="1"/>
    <col min="4357" max="4357" width="13.7109375" style="1394" customWidth="1"/>
    <col min="4358" max="4358" width="12.42578125" style="1394" customWidth="1"/>
    <col min="4359" max="4359" width="12.5703125" style="1394" customWidth="1"/>
    <col min="4360" max="4360" width="12.7109375" style="1394" customWidth="1"/>
    <col min="4361" max="4361" width="12.5703125" style="1394" customWidth="1"/>
    <col min="4362" max="4362" width="11.85546875" style="1394" customWidth="1"/>
    <col min="4363" max="4363" width="9.85546875" style="1394" customWidth="1"/>
    <col min="4364" max="4364" width="9.140625" style="1394"/>
    <col min="4365" max="4365" width="10.28515625" style="1394" customWidth="1"/>
    <col min="4366" max="4608" width="9.140625" style="1394"/>
    <col min="4609" max="4609" width="14.42578125" style="1394" customWidth="1"/>
    <col min="4610" max="4610" width="12.7109375" style="1394" customWidth="1"/>
    <col min="4611" max="4612" width="16.7109375" style="1394" customWidth="1"/>
    <col min="4613" max="4613" width="13.7109375" style="1394" customWidth="1"/>
    <col min="4614" max="4614" width="12.42578125" style="1394" customWidth="1"/>
    <col min="4615" max="4615" width="12.5703125" style="1394" customWidth="1"/>
    <col min="4616" max="4616" width="12.7109375" style="1394" customWidth="1"/>
    <col min="4617" max="4617" width="12.5703125" style="1394" customWidth="1"/>
    <col min="4618" max="4618" width="11.85546875" style="1394" customWidth="1"/>
    <col min="4619" max="4619" width="9.85546875" style="1394" customWidth="1"/>
    <col min="4620" max="4620" width="9.140625" style="1394"/>
    <col min="4621" max="4621" width="10.28515625" style="1394" customWidth="1"/>
    <col min="4622" max="4864" width="9.140625" style="1394"/>
    <col min="4865" max="4865" width="14.42578125" style="1394" customWidth="1"/>
    <col min="4866" max="4866" width="12.7109375" style="1394" customWidth="1"/>
    <col min="4867" max="4868" width="16.7109375" style="1394" customWidth="1"/>
    <col min="4869" max="4869" width="13.7109375" style="1394" customWidth="1"/>
    <col min="4870" max="4870" width="12.42578125" style="1394" customWidth="1"/>
    <col min="4871" max="4871" width="12.5703125" style="1394" customWidth="1"/>
    <col min="4872" max="4872" width="12.7109375" style="1394" customWidth="1"/>
    <col min="4873" max="4873" width="12.5703125" style="1394" customWidth="1"/>
    <col min="4874" max="4874" width="11.85546875" style="1394" customWidth="1"/>
    <col min="4875" max="4875" width="9.85546875" style="1394" customWidth="1"/>
    <col min="4876" max="4876" width="9.140625" style="1394"/>
    <col min="4877" max="4877" width="10.28515625" style="1394" customWidth="1"/>
    <col min="4878" max="5120" width="9.140625" style="1394"/>
    <col min="5121" max="5121" width="14.42578125" style="1394" customWidth="1"/>
    <col min="5122" max="5122" width="12.7109375" style="1394" customWidth="1"/>
    <col min="5123" max="5124" width="16.7109375" style="1394" customWidth="1"/>
    <col min="5125" max="5125" width="13.7109375" style="1394" customWidth="1"/>
    <col min="5126" max="5126" width="12.42578125" style="1394" customWidth="1"/>
    <col min="5127" max="5127" width="12.5703125" style="1394" customWidth="1"/>
    <col min="5128" max="5128" width="12.7109375" style="1394" customWidth="1"/>
    <col min="5129" max="5129" width="12.5703125" style="1394" customWidth="1"/>
    <col min="5130" max="5130" width="11.85546875" style="1394" customWidth="1"/>
    <col min="5131" max="5131" width="9.85546875" style="1394" customWidth="1"/>
    <col min="5132" max="5132" width="9.140625" style="1394"/>
    <col min="5133" max="5133" width="10.28515625" style="1394" customWidth="1"/>
    <col min="5134" max="5376" width="9.140625" style="1394"/>
    <col min="5377" max="5377" width="14.42578125" style="1394" customWidth="1"/>
    <col min="5378" max="5378" width="12.7109375" style="1394" customWidth="1"/>
    <col min="5379" max="5380" width="16.7109375" style="1394" customWidth="1"/>
    <col min="5381" max="5381" width="13.7109375" style="1394" customWidth="1"/>
    <col min="5382" max="5382" width="12.42578125" style="1394" customWidth="1"/>
    <col min="5383" max="5383" width="12.5703125" style="1394" customWidth="1"/>
    <col min="5384" max="5384" width="12.7109375" style="1394" customWidth="1"/>
    <col min="5385" max="5385" width="12.5703125" style="1394" customWidth="1"/>
    <col min="5386" max="5386" width="11.85546875" style="1394" customWidth="1"/>
    <col min="5387" max="5387" width="9.85546875" style="1394" customWidth="1"/>
    <col min="5388" max="5388" width="9.140625" style="1394"/>
    <col min="5389" max="5389" width="10.28515625" style="1394" customWidth="1"/>
    <col min="5390" max="5632" width="9.140625" style="1394"/>
    <col min="5633" max="5633" width="14.42578125" style="1394" customWidth="1"/>
    <col min="5634" max="5634" width="12.7109375" style="1394" customWidth="1"/>
    <col min="5635" max="5636" width="16.7109375" style="1394" customWidth="1"/>
    <col min="5637" max="5637" width="13.7109375" style="1394" customWidth="1"/>
    <col min="5638" max="5638" width="12.42578125" style="1394" customWidth="1"/>
    <col min="5639" max="5639" width="12.5703125" style="1394" customWidth="1"/>
    <col min="5640" max="5640" width="12.7109375" style="1394" customWidth="1"/>
    <col min="5641" max="5641" width="12.5703125" style="1394" customWidth="1"/>
    <col min="5642" max="5642" width="11.85546875" style="1394" customWidth="1"/>
    <col min="5643" max="5643" width="9.85546875" style="1394" customWidth="1"/>
    <col min="5644" max="5644" width="9.140625" style="1394"/>
    <col min="5645" max="5645" width="10.28515625" style="1394" customWidth="1"/>
    <col min="5646" max="5888" width="9.140625" style="1394"/>
    <col min="5889" max="5889" width="14.42578125" style="1394" customWidth="1"/>
    <col min="5890" max="5890" width="12.7109375" style="1394" customWidth="1"/>
    <col min="5891" max="5892" width="16.7109375" style="1394" customWidth="1"/>
    <col min="5893" max="5893" width="13.7109375" style="1394" customWidth="1"/>
    <col min="5894" max="5894" width="12.42578125" style="1394" customWidth="1"/>
    <col min="5895" max="5895" width="12.5703125" style="1394" customWidth="1"/>
    <col min="5896" max="5896" width="12.7109375" style="1394" customWidth="1"/>
    <col min="5897" max="5897" width="12.5703125" style="1394" customWidth="1"/>
    <col min="5898" max="5898" width="11.85546875" style="1394" customWidth="1"/>
    <col min="5899" max="5899" width="9.85546875" style="1394" customWidth="1"/>
    <col min="5900" max="5900" width="9.140625" style="1394"/>
    <col min="5901" max="5901" width="10.28515625" style="1394" customWidth="1"/>
    <col min="5902" max="6144" width="9.140625" style="1394"/>
    <col min="6145" max="6145" width="14.42578125" style="1394" customWidth="1"/>
    <col min="6146" max="6146" width="12.7109375" style="1394" customWidth="1"/>
    <col min="6147" max="6148" width="16.7109375" style="1394" customWidth="1"/>
    <col min="6149" max="6149" width="13.7109375" style="1394" customWidth="1"/>
    <col min="6150" max="6150" width="12.42578125" style="1394" customWidth="1"/>
    <col min="6151" max="6151" width="12.5703125" style="1394" customWidth="1"/>
    <col min="6152" max="6152" width="12.7109375" style="1394" customWidth="1"/>
    <col min="6153" max="6153" width="12.5703125" style="1394" customWidth="1"/>
    <col min="6154" max="6154" width="11.85546875" style="1394" customWidth="1"/>
    <col min="6155" max="6155" width="9.85546875" style="1394" customWidth="1"/>
    <col min="6156" max="6156" width="9.140625" style="1394"/>
    <col min="6157" max="6157" width="10.28515625" style="1394" customWidth="1"/>
    <col min="6158" max="6400" width="9.140625" style="1394"/>
    <col min="6401" max="6401" width="14.42578125" style="1394" customWidth="1"/>
    <col min="6402" max="6402" width="12.7109375" style="1394" customWidth="1"/>
    <col min="6403" max="6404" width="16.7109375" style="1394" customWidth="1"/>
    <col min="6405" max="6405" width="13.7109375" style="1394" customWidth="1"/>
    <col min="6406" max="6406" width="12.42578125" style="1394" customWidth="1"/>
    <col min="6407" max="6407" width="12.5703125" style="1394" customWidth="1"/>
    <col min="6408" max="6408" width="12.7109375" style="1394" customWidth="1"/>
    <col min="6409" max="6409" width="12.5703125" style="1394" customWidth="1"/>
    <col min="6410" max="6410" width="11.85546875" style="1394" customWidth="1"/>
    <col min="6411" max="6411" width="9.85546875" style="1394" customWidth="1"/>
    <col min="6412" max="6412" width="9.140625" style="1394"/>
    <col min="6413" max="6413" width="10.28515625" style="1394" customWidth="1"/>
    <col min="6414" max="6656" width="9.140625" style="1394"/>
    <col min="6657" max="6657" width="14.42578125" style="1394" customWidth="1"/>
    <col min="6658" max="6658" width="12.7109375" style="1394" customWidth="1"/>
    <col min="6659" max="6660" width="16.7109375" style="1394" customWidth="1"/>
    <col min="6661" max="6661" width="13.7109375" style="1394" customWidth="1"/>
    <col min="6662" max="6662" width="12.42578125" style="1394" customWidth="1"/>
    <col min="6663" max="6663" width="12.5703125" style="1394" customWidth="1"/>
    <col min="6664" max="6664" width="12.7109375" style="1394" customWidth="1"/>
    <col min="6665" max="6665" width="12.5703125" style="1394" customWidth="1"/>
    <col min="6666" max="6666" width="11.85546875" style="1394" customWidth="1"/>
    <col min="6667" max="6667" width="9.85546875" style="1394" customWidth="1"/>
    <col min="6668" max="6668" width="9.140625" style="1394"/>
    <col min="6669" max="6669" width="10.28515625" style="1394" customWidth="1"/>
    <col min="6670" max="6912" width="9.140625" style="1394"/>
    <col min="6913" max="6913" width="14.42578125" style="1394" customWidth="1"/>
    <col min="6914" max="6914" width="12.7109375" style="1394" customWidth="1"/>
    <col min="6915" max="6916" width="16.7109375" style="1394" customWidth="1"/>
    <col min="6917" max="6917" width="13.7109375" style="1394" customWidth="1"/>
    <col min="6918" max="6918" width="12.42578125" style="1394" customWidth="1"/>
    <col min="6919" max="6919" width="12.5703125" style="1394" customWidth="1"/>
    <col min="6920" max="6920" width="12.7109375" style="1394" customWidth="1"/>
    <col min="6921" max="6921" width="12.5703125" style="1394" customWidth="1"/>
    <col min="6922" max="6922" width="11.85546875" style="1394" customWidth="1"/>
    <col min="6923" max="6923" width="9.85546875" style="1394" customWidth="1"/>
    <col min="6924" max="6924" width="9.140625" style="1394"/>
    <col min="6925" max="6925" width="10.28515625" style="1394" customWidth="1"/>
    <col min="6926" max="7168" width="9.140625" style="1394"/>
    <col min="7169" max="7169" width="14.42578125" style="1394" customWidth="1"/>
    <col min="7170" max="7170" width="12.7109375" style="1394" customWidth="1"/>
    <col min="7171" max="7172" width="16.7109375" style="1394" customWidth="1"/>
    <col min="7173" max="7173" width="13.7109375" style="1394" customWidth="1"/>
    <col min="7174" max="7174" width="12.42578125" style="1394" customWidth="1"/>
    <col min="7175" max="7175" width="12.5703125" style="1394" customWidth="1"/>
    <col min="7176" max="7176" width="12.7109375" style="1394" customWidth="1"/>
    <col min="7177" max="7177" width="12.5703125" style="1394" customWidth="1"/>
    <col min="7178" max="7178" width="11.85546875" style="1394" customWidth="1"/>
    <col min="7179" max="7179" width="9.85546875" style="1394" customWidth="1"/>
    <col min="7180" max="7180" width="9.140625" style="1394"/>
    <col min="7181" max="7181" width="10.28515625" style="1394" customWidth="1"/>
    <col min="7182" max="7424" width="9.140625" style="1394"/>
    <col min="7425" max="7425" width="14.42578125" style="1394" customWidth="1"/>
    <col min="7426" max="7426" width="12.7109375" style="1394" customWidth="1"/>
    <col min="7427" max="7428" width="16.7109375" style="1394" customWidth="1"/>
    <col min="7429" max="7429" width="13.7109375" style="1394" customWidth="1"/>
    <col min="7430" max="7430" width="12.42578125" style="1394" customWidth="1"/>
    <col min="7431" max="7431" width="12.5703125" style="1394" customWidth="1"/>
    <col min="7432" max="7432" width="12.7109375" style="1394" customWidth="1"/>
    <col min="7433" max="7433" width="12.5703125" style="1394" customWidth="1"/>
    <col min="7434" max="7434" width="11.85546875" style="1394" customWidth="1"/>
    <col min="7435" max="7435" width="9.85546875" style="1394" customWidth="1"/>
    <col min="7436" max="7436" width="9.140625" style="1394"/>
    <col min="7437" max="7437" width="10.28515625" style="1394" customWidth="1"/>
    <col min="7438" max="7680" width="9.140625" style="1394"/>
    <col min="7681" max="7681" width="14.42578125" style="1394" customWidth="1"/>
    <col min="7682" max="7682" width="12.7109375" style="1394" customWidth="1"/>
    <col min="7683" max="7684" width="16.7109375" style="1394" customWidth="1"/>
    <col min="7685" max="7685" width="13.7109375" style="1394" customWidth="1"/>
    <col min="7686" max="7686" width="12.42578125" style="1394" customWidth="1"/>
    <col min="7687" max="7687" width="12.5703125" style="1394" customWidth="1"/>
    <col min="7688" max="7688" width="12.7109375" style="1394" customWidth="1"/>
    <col min="7689" max="7689" width="12.5703125" style="1394" customWidth="1"/>
    <col min="7690" max="7690" width="11.85546875" style="1394" customWidth="1"/>
    <col min="7691" max="7691" width="9.85546875" style="1394" customWidth="1"/>
    <col min="7692" max="7692" width="9.140625" style="1394"/>
    <col min="7693" max="7693" width="10.28515625" style="1394" customWidth="1"/>
    <col min="7694" max="7936" width="9.140625" style="1394"/>
    <col min="7937" max="7937" width="14.42578125" style="1394" customWidth="1"/>
    <col min="7938" max="7938" width="12.7109375" style="1394" customWidth="1"/>
    <col min="7939" max="7940" width="16.7109375" style="1394" customWidth="1"/>
    <col min="7941" max="7941" width="13.7109375" style="1394" customWidth="1"/>
    <col min="7942" max="7942" width="12.42578125" style="1394" customWidth="1"/>
    <col min="7943" max="7943" width="12.5703125" style="1394" customWidth="1"/>
    <col min="7944" max="7944" width="12.7109375" style="1394" customWidth="1"/>
    <col min="7945" max="7945" width="12.5703125" style="1394" customWidth="1"/>
    <col min="7946" max="7946" width="11.85546875" style="1394" customWidth="1"/>
    <col min="7947" max="7947" width="9.85546875" style="1394" customWidth="1"/>
    <col min="7948" max="7948" width="9.140625" style="1394"/>
    <col min="7949" max="7949" width="10.28515625" style="1394" customWidth="1"/>
    <col min="7950" max="8192" width="9.140625" style="1394"/>
    <col min="8193" max="8193" width="14.42578125" style="1394" customWidth="1"/>
    <col min="8194" max="8194" width="12.7109375" style="1394" customWidth="1"/>
    <col min="8195" max="8196" width="16.7109375" style="1394" customWidth="1"/>
    <col min="8197" max="8197" width="13.7109375" style="1394" customWidth="1"/>
    <col min="8198" max="8198" width="12.42578125" style="1394" customWidth="1"/>
    <col min="8199" max="8199" width="12.5703125" style="1394" customWidth="1"/>
    <col min="8200" max="8200" width="12.7109375" style="1394" customWidth="1"/>
    <col min="8201" max="8201" width="12.5703125" style="1394" customWidth="1"/>
    <col min="8202" max="8202" width="11.85546875" style="1394" customWidth="1"/>
    <col min="8203" max="8203" width="9.85546875" style="1394" customWidth="1"/>
    <col min="8204" max="8204" width="9.140625" style="1394"/>
    <col min="8205" max="8205" width="10.28515625" style="1394" customWidth="1"/>
    <col min="8206" max="8448" width="9.140625" style="1394"/>
    <col min="8449" max="8449" width="14.42578125" style="1394" customWidth="1"/>
    <col min="8450" max="8450" width="12.7109375" style="1394" customWidth="1"/>
    <col min="8451" max="8452" width="16.7109375" style="1394" customWidth="1"/>
    <col min="8453" max="8453" width="13.7109375" style="1394" customWidth="1"/>
    <col min="8454" max="8454" width="12.42578125" style="1394" customWidth="1"/>
    <col min="8455" max="8455" width="12.5703125" style="1394" customWidth="1"/>
    <col min="8456" max="8456" width="12.7109375" style="1394" customWidth="1"/>
    <col min="8457" max="8457" width="12.5703125" style="1394" customWidth="1"/>
    <col min="8458" max="8458" width="11.85546875" style="1394" customWidth="1"/>
    <col min="8459" max="8459" width="9.85546875" style="1394" customWidth="1"/>
    <col min="8460" max="8460" width="9.140625" style="1394"/>
    <col min="8461" max="8461" width="10.28515625" style="1394" customWidth="1"/>
    <col min="8462" max="8704" width="9.140625" style="1394"/>
    <col min="8705" max="8705" width="14.42578125" style="1394" customWidth="1"/>
    <col min="8706" max="8706" width="12.7109375" style="1394" customWidth="1"/>
    <col min="8707" max="8708" width="16.7109375" style="1394" customWidth="1"/>
    <col min="8709" max="8709" width="13.7109375" style="1394" customWidth="1"/>
    <col min="8710" max="8710" width="12.42578125" style="1394" customWidth="1"/>
    <col min="8711" max="8711" width="12.5703125" style="1394" customWidth="1"/>
    <col min="8712" max="8712" width="12.7109375" style="1394" customWidth="1"/>
    <col min="8713" max="8713" width="12.5703125" style="1394" customWidth="1"/>
    <col min="8714" max="8714" width="11.85546875" style="1394" customWidth="1"/>
    <col min="8715" max="8715" width="9.85546875" style="1394" customWidth="1"/>
    <col min="8716" max="8716" width="9.140625" style="1394"/>
    <col min="8717" max="8717" width="10.28515625" style="1394" customWidth="1"/>
    <col min="8718" max="8960" width="9.140625" style="1394"/>
    <col min="8961" max="8961" width="14.42578125" style="1394" customWidth="1"/>
    <col min="8962" max="8962" width="12.7109375" style="1394" customWidth="1"/>
    <col min="8963" max="8964" width="16.7109375" style="1394" customWidth="1"/>
    <col min="8965" max="8965" width="13.7109375" style="1394" customWidth="1"/>
    <col min="8966" max="8966" width="12.42578125" style="1394" customWidth="1"/>
    <col min="8967" max="8967" width="12.5703125" style="1394" customWidth="1"/>
    <col min="8968" max="8968" width="12.7109375" style="1394" customWidth="1"/>
    <col min="8969" max="8969" width="12.5703125" style="1394" customWidth="1"/>
    <col min="8970" max="8970" width="11.85546875" style="1394" customWidth="1"/>
    <col min="8971" max="8971" width="9.85546875" style="1394" customWidth="1"/>
    <col min="8972" max="8972" width="9.140625" style="1394"/>
    <col min="8973" max="8973" width="10.28515625" style="1394" customWidth="1"/>
    <col min="8974" max="9216" width="9.140625" style="1394"/>
    <col min="9217" max="9217" width="14.42578125" style="1394" customWidth="1"/>
    <col min="9218" max="9218" width="12.7109375" style="1394" customWidth="1"/>
    <col min="9219" max="9220" width="16.7109375" style="1394" customWidth="1"/>
    <col min="9221" max="9221" width="13.7109375" style="1394" customWidth="1"/>
    <col min="9222" max="9222" width="12.42578125" style="1394" customWidth="1"/>
    <col min="9223" max="9223" width="12.5703125" style="1394" customWidth="1"/>
    <col min="9224" max="9224" width="12.7109375" style="1394" customWidth="1"/>
    <col min="9225" max="9225" width="12.5703125" style="1394" customWidth="1"/>
    <col min="9226" max="9226" width="11.85546875" style="1394" customWidth="1"/>
    <col min="9227" max="9227" width="9.85546875" style="1394" customWidth="1"/>
    <col min="9228" max="9228" width="9.140625" style="1394"/>
    <col min="9229" max="9229" width="10.28515625" style="1394" customWidth="1"/>
    <col min="9230" max="9472" width="9.140625" style="1394"/>
    <col min="9473" max="9473" width="14.42578125" style="1394" customWidth="1"/>
    <col min="9474" max="9474" width="12.7109375" style="1394" customWidth="1"/>
    <col min="9475" max="9476" width="16.7109375" style="1394" customWidth="1"/>
    <col min="9477" max="9477" width="13.7109375" style="1394" customWidth="1"/>
    <col min="9478" max="9478" width="12.42578125" style="1394" customWidth="1"/>
    <col min="9479" max="9479" width="12.5703125" style="1394" customWidth="1"/>
    <col min="9480" max="9480" width="12.7109375" style="1394" customWidth="1"/>
    <col min="9481" max="9481" width="12.5703125" style="1394" customWidth="1"/>
    <col min="9482" max="9482" width="11.85546875" style="1394" customWidth="1"/>
    <col min="9483" max="9483" width="9.85546875" style="1394" customWidth="1"/>
    <col min="9484" max="9484" width="9.140625" style="1394"/>
    <col min="9485" max="9485" width="10.28515625" style="1394" customWidth="1"/>
    <col min="9486" max="9728" width="9.140625" style="1394"/>
    <col min="9729" max="9729" width="14.42578125" style="1394" customWidth="1"/>
    <col min="9730" max="9730" width="12.7109375" style="1394" customWidth="1"/>
    <col min="9731" max="9732" width="16.7109375" style="1394" customWidth="1"/>
    <col min="9733" max="9733" width="13.7109375" style="1394" customWidth="1"/>
    <col min="9734" max="9734" width="12.42578125" style="1394" customWidth="1"/>
    <col min="9735" max="9735" width="12.5703125" style="1394" customWidth="1"/>
    <col min="9736" max="9736" width="12.7109375" style="1394" customWidth="1"/>
    <col min="9737" max="9737" width="12.5703125" style="1394" customWidth="1"/>
    <col min="9738" max="9738" width="11.85546875" style="1394" customWidth="1"/>
    <col min="9739" max="9739" width="9.85546875" style="1394" customWidth="1"/>
    <col min="9740" max="9740" width="9.140625" style="1394"/>
    <col min="9741" max="9741" width="10.28515625" style="1394" customWidth="1"/>
    <col min="9742" max="9984" width="9.140625" style="1394"/>
    <col min="9985" max="9985" width="14.42578125" style="1394" customWidth="1"/>
    <col min="9986" max="9986" width="12.7109375" style="1394" customWidth="1"/>
    <col min="9987" max="9988" width="16.7109375" style="1394" customWidth="1"/>
    <col min="9989" max="9989" width="13.7109375" style="1394" customWidth="1"/>
    <col min="9990" max="9990" width="12.42578125" style="1394" customWidth="1"/>
    <col min="9991" max="9991" width="12.5703125" style="1394" customWidth="1"/>
    <col min="9992" max="9992" width="12.7109375" style="1394" customWidth="1"/>
    <col min="9993" max="9993" width="12.5703125" style="1394" customWidth="1"/>
    <col min="9994" max="9994" width="11.85546875" style="1394" customWidth="1"/>
    <col min="9995" max="9995" width="9.85546875" style="1394" customWidth="1"/>
    <col min="9996" max="9996" width="9.140625" style="1394"/>
    <col min="9997" max="9997" width="10.28515625" style="1394" customWidth="1"/>
    <col min="9998" max="10240" width="9.140625" style="1394"/>
    <col min="10241" max="10241" width="14.42578125" style="1394" customWidth="1"/>
    <col min="10242" max="10242" width="12.7109375" style="1394" customWidth="1"/>
    <col min="10243" max="10244" width="16.7109375" style="1394" customWidth="1"/>
    <col min="10245" max="10245" width="13.7109375" style="1394" customWidth="1"/>
    <col min="10246" max="10246" width="12.42578125" style="1394" customWidth="1"/>
    <col min="10247" max="10247" width="12.5703125" style="1394" customWidth="1"/>
    <col min="10248" max="10248" width="12.7109375" style="1394" customWidth="1"/>
    <col min="10249" max="10249" width="12.5703125" style="1394" customWidth="1"/>
    <col min="10250" max="10250" width="11.85546875" style="1394" customWidth="1"/>
    <col min="10251" max="10251" width="9.85546875" style="1394" customWidth="1"/>
    <col min="10252" max="10252" width="9.140625" style="1394"/>
    <col min="10253" max="10253" width="10.28515625" style="1394" customWidth="1"/>
    <col min="10254" max="10496" width="9.140625" style="1394"/>
    <col min="10497" max="10497" width="14.42578125" style="1394" customWidth="1"/>
    <col min="10498" max="10498" width="12.7109375" style="1394" customWidth="1"/>
    <col min="10499" max="10500" width="16.7109375" style="1394" customWidth="1"/>
    <col min="10501" max="10501" width="13.7109375" style="1394" customWidth="1"/>
    <col min="10502" max="10502" width="12.42578125" style="1394" customWidth="1"/>
    <col min="10503" max="10503" width="12.5703125" style="1394" customWidth="1"/>
    <col min="10504" max="10504" width="12.7109375" style="1394" customWidth="1"/>
    <col min="10505" max="10505" width="12.5703125" style="1394" customWidth="1"/>
    <col min="10506" max="10506" width="11.85546875" style="1394" customWidth="1"/>
    <col min="10507" max="10507" width="9.85546875" style="1394" customWidth="1"/>
    <col min="10508" max="10508" width="9.140625" style="1394"/>
    <col min="10509" max="10509" width="10.28515625" style="1394" customWidth="1"/>
    <col min="10510" max="10752" width="9.140625" style="1394"/>
    <col min="10753" max="10753" width="14.42578125" style="1394" customWidth="1"/>
    <col min="10754" max="10754" width="12.7109375" style="1394" customWidth="1"/>
    <col min="10755" max="10756" width="16.7109375" style="1394" customWidth="1"/>
    <col min="10757" max="10757" width="13.7109375" style="1394" customWidth="1"/>
    <col min="10758" max="10758" width="12.42578125" style="1394" customWidth="1"/>
    <col min="10759" max="10759" width="12.5703125" style="1394" customWidth="1"/>
    <col min="10760" max="10760" width="12.7109375" style="1394" customWidth="1"/>
    <col min="10761" max="10761" width="12.5703125" style="1394" customWidth="1"/>
    <col min="10762" max="10762" width="11.85546875" style="1394" customWidth="1"/>
    <col min="10763" max="10763" width="9.85546875" style="1394" customWidth="1"/>
    <col min="10764" max="10764" width="9.140625" style="1394"/>
    <col min="10765" max="10765" width="10.28515625" style="1394" customWidth="1"/>
    <col min="10766" max="11008" width="9.140625" style="1394"/>
    <col min="11009" max="11009" width="14.42578125" style="1394" customWidth="1"/>
    <col min="11010" max="11010" width="12.7109375" style="1394" customWidth="1"/>
    <col min="11011" max="11012" width="16.7109375" style="1394" customWidth="1"/>
    <col min="11013" max="11013" width="13.7109375" style="1394" customWidth="1"/>
    <col min="11014" max="11014" width="12.42578125" style="1394" customWidth="1"/>
    <col min="11015" max="11015" width="12.5703125" style="1394" customWidth="1"/>
    <col min="11016" max="11016" width="12.7109375" style="1394" customWidth="1"/>
    <col min="11017" max="11017" width="12.5703125" style="1394" customWidth="1"/>
    <col min="11018" max="11018" width="11.85546875" style="1394" customWidth="1"/>
    <col min="11019" max="11019" width="9.85546875" style="1394" customWidth="1"/>
    <col min="11020" max="11020" width="9.140625" style="1394"/>
    <col min="11021" max="11021" width="10.28515625" style="1394" customWidth="1"/>
    <col min="11022" max="11264" width="9.140625" style="1394"/>
    <col min="11265" max="11265" width="14.42578125" style="1394" customWidth="1"/>
    <col min="11266" max="11266" width="12.7109375" style="1394" customWidth="1"/>
    <col min="11267" max="11268" width="16.7109375" style="1394" customWidth="1"/>
    <col min="11269" max="11269" width="13.7109375" style="1394" customWidth="1"/>
    <col min="11270" max="11270" width="12.42578125" style="1394" customWidth="1"/>
    <col min="11271" max="11271" width="12.5703125" style="1394" customWidth="1"/>
    <col min="11272" max="11272" width="12.7109375" style="1394" customWidth="1"/>
    <col min="11273" max="11273" width="12.5703125" style="1394" customWidth="1"/>
    <col min="11274" max="11274" width="11.85546875" style="1394" customWidth="1"/>
    <col min="11275" max="11275" width="9.85546875" style="1394" customWidth="1"/>
    <col min="11276" max="11276" width="9.140625" style="1394"/>
    <col min="11277" max="11277" width="10.28515625" style="1394" customWidth="1"/>
    <col min="11278" max="11520" width="9.140625" style="1394"/>
    <col min="11521" max="11521" width="14.42578125" style="1394" customWidth="1"/>
    <col min="11522" max="11522" width="12.7109375" style="1394" customWidth="1"/>
    <col min="11523" max="11524" width="16.7109375" style="1394" customWidth="1"/>
    <col min="11525" max="11525" width="13.7109375" style="1394" customWidth="1"/>
    <col min="11526" max="11526" width="12.42578125" style="1394" customWidth="1"/>
    <col min="11527" max="11527" width="12.5703125" style="1394" customWidth="1"/>
    <col min="11528" max="11528" width="12.7109375" style="1394" customWidth="1"/>
    <col min="11529" max="11529" width="12.5703125" style="1394" customWidth="1"/>
    <col min="11530" max="11530" width="11.85546875" style="1394" customWidth="1"/>
    <col min="11531" max="11531" width="9.85546875" style="1394" customWidth="1"/>
    <col min="11532" max="11532" width="9.140625" style="1394"/>
    <col min="11533" max="11533" width="10.28515625" style="1394" customWidth="1"/>
    <col min="11534" max="11776" width="9.140625" style="1394"/>
    <col min="11777" max="11777" width="14.42578125" style="1394" customWidth="1"/>
    <col min="11778" max="11778" width="12.7109375" style="1394" customWidth="1"/>
    <col min="11779" max="11780" width="16.7109375" style="1394" customWidth="1"/>
    <col min="11781" max="11781" width="13.7109375" style="1394" customWidth="1"/>
    <col min="11782" max="11782" width="12.42578125" style="1394" customWidth="1"/>
    <col min="11783" max="11783" width="12.5703125" style="1394" customWidth="1"/>
    <col min="11784" max="11784" width="12.7109375" style="1394" customWidth="1"/>
    <col min="11785" max="11785" width="12.5703125" style="1394" customWidth="1"/>
    <col min="11786" max="11786" width="11.85546875" style="1394" customWidth="1"/>
    <col min="11787" max="11787" width="9.85546875" style="1394" customWidth="1"/>
    <col min="11788" max="11788" width="9.140625" style="1394"/>
    <col min="11789" max="11789" width="10.28515625" style="1394" customWidth="1"/>
    <col min="11790" max="12032" width="9.140625" style="1394"/>
    <col min="12033" max="12033" width="14.42578125" style="1394" customWidth="1"/>
    <col min="12034" max="12034" width="12.7109375" style="1394" customWidth="1"/>
    <col min="12035" max="12036" width="16.7109375" style="1394" customWidth="1"/>
    <col min="12037" max="12037" width="13.7109375" style="1394" customWidth="1"/>
    <col min="12038" max="12038" width="12.42578125" style="1394" customWidth="1"/>
    <col min="12039" max="12039" width="12.5703125" style="1394" customWidth="1"/>
    <col min="12040" max="12040" width="12.7109375" style="1394" customWidth="1"/>
    <col min="12041" max="12041" width="12.5703125" style="1394" customWidth="1"/>
    <col min="12042" max="12042" width="11.85546875" style="1394" customWidth="1"/>
    <col min="12043" max="12043" width="9.85546875" style="1394" customWidth="1"/>
    <col min="12044" max="12044" width="9.140625" style="1394"/>
    <col min="12045" max="12045" width="10.28515625" style="1394" customWidth="1"/>
    <col min="12046" max="12288" width="9.140625" style="1394"/>
    <col min="12289" max="12289" width="14.42578125" style="1394" customWidth="1"/>
    <col min="12290" max="12290" width="12.7109375" style="1394" customWidth="1"/>
    <col min="12291" max="12292" width="16.7109375" style="1394" customWidth="1"/>
    <col min="12293" max="12293" width="13.7109375" style="1394" customWidth="1"/>
    <col min="12294" max="12294" width="12.42578125" style="1394" customWidth="1"/>
    <col min="12295" max="12295" width="12.5703125" style="1394" customWidth="1"/>
    <col min="12296" max="12296" width="12.7109375" style="1394" customWidth="1"/>
    <col min="12297" max="12297" width="12.5703125" style="1394" customWidth="1"/>
    <col min="12298" max="12298" width="11.85546875" style="1394" customWidth="1"/>
    <col min="12299" max="12299" width="9.85546875" style="1394" customWidth="1"/>
    <col min="12300" max="12300" width="9.140625" style="1394"/>
    <col min="12301" max="12301" width="10.28515625" style="1394" customWidth="1"/>
    <col min="12302" max="12544" width="9.140625" style="1394"/>
    <col min="12545" max="12545" width="14.42578125" style="1394" customWidth="1"/>
    <col min="12546" max="12546" width="12.7109375" style="1394" customWidth="1"/>
    <col min="12547" max="12548" width="16.7109375" style="1394" customWidth="1"/>
    <col min="12549" max="12549" width="13.7109375" style="1394" customWidth="1"/>
    <col min="12550" max="12550" width="12.42578125" style="1394" customWidth="1"/>
    <col min="12551" max="12551" width="12.5703125" style="1394" customWidth="1"/>
    <col min="12552" max="12552" width="12.7109375" style="1394" customWidth="1"/>
    <col min="12553" max="12553" width="12.5703125" style="1394" customWidth="1"/>
    <col min="12554" max="12554" width="11.85546875" style="1394" customWidth="1"/>
    <col min="12555" max="12555" width="9.85546875" style="1394" customWidth="1"/>
    <col min="12556" max="12556" width="9.140625" style="1394"/>
    <col min="12557" max="12557" width="10.28515625" style="1394" customWidth="1"/>
    <col min="12558" max="12800" width="9.140625" style="1394"/>
    <col min="12801" max="12801" width="14.42578125" style="1394" customWidth="1"/>
    <col min="12802" max="12802" width="12.7109375" style="1394" customWidth="1"/>
    <col min="12803" max="12804" width="16.7109375" style="1394" customWidth="1"/>
    <col min="12805" max="12805" width="13.7109375" style="1394" customWidth="1"/>
    <col min="12806" max="12806" width="12.42578125" style="1394" customWidth="1"/>
    <col min="12807" max="12807" width="12.5703125" style="1394" customWidth="1"/>
    <col min="12808" max="12808" width="12.7109375" style="1394" customWidth="1"/>
    <col min="12809" max="12809" width="12.5703125" style="1394" customWidth="1"/>
    <col min="12810" max="12810" width="11.85546875" style="1394" customWidth="1"/>
    <col min="12811" max="12811" width="9.85546875" style="1394" customWidth="1"/>
    <col min="12812" max="12812" width="9.140625" style="1394"/>
    <col min="12813" max="12813" width="10.28515625" style="1394" customWidth="1"/>
    <col min="12814" max="13056" width="9.140625" style="1394"/>
    <col min="13057" max="13057" width="14.42578125" style="1394" customWidth="1"/>
    <col min="13058" max="13058" width="12.7109375" style="1394" customWidth="1"/>
    <col min="13059" max="13060" width="16.7109375" style="1394" customWidth="1"/>
    <col min="13061" max="13061" width="13.7109375" style="1394" customWidth="1"/>
    <col min="13062" max="13062" width="12.42578125" style="1394" customWidth="1"/>
    <col min="13063" max="13063" width="12.5703125" style="1394" customWidth="1"/>
    <col min="13064" max="13064" width="12.7109375" style="1394" customWidth="1"/>
    <col min="13065" max="13065" width="12.5703125" style="1394" customWidth="1"/>
    <col min="13066" max="13066" width="11.85546875" style="1394" customWidth="1"/>
    <col min="13067" max="13067" width="9.85546875" style="1394" customWidth="1"/>
    <col min="13068" max="13068" width="9.140625" style="1394"/>
    <col min="13069" max="13069" width="10.28515625" style="1394" customWidth="1"/>
    <col min="13070" max="13312" width="9.140625" style="1394"/>
    <col min="13313" max="13313" width="14.42578125" style="1394" customWidth="1"/>
    <col min="13314" max="13314" width="12.7109375" style="1394" customWidth="1"/>
    <col min="13315" max="13316" width="16.7109375" style="1394" customWidth="1"/>
    <col min="13317" max="13317" width="13.7109375" style="1394" customWidth="1"/>
    <col min="13318" max="13318" width="12.42578125" style="1394" customWidth="1"/>
    <col min="13319" max="13319" width="12.5703125" style="1394" customWidth="1"/>
    <col min="13320" max="13320" width="12.7109375" style="1394" customWidth="1"/>
    <col min="13321" max="13321" width="12.5703125" style="1394" customWidth="1"/>
    <col min="13322" max="13322" width="11.85546875" style="1394" customWidth="1"/>
    <col min="13323" max="13323" width="9.85546875" style="1394" customWidth="1"/>
    <col min="13324" max="13324" width="9.140625" style="1394"/>
    <col min="13325" max="13325" width="10.28515625" style="1394" customWidth="1"/>
    <col min="13326" max="13568" width="9.140625" style="1394"/>
    <col min="13569" max="13569" width="14.42578125" style="1394" customWidth="1"/>
    <col min="13570" max="13570" width="12.7109375" style="1394" customWidth="1"/>
    <col min="13571" max="13572" width="16.7109375" style="1394" customWidth="1"/>
    <col min="13573" max="13573" width="13.7109375" style="1394" customWidth="1"/>
    <col min="13574" max="13574" width="12.42578125" style="1394" customWidth="1"/>
    <col min="13575" max="13575" width="12.5703125" style="1394" customWidth="1"/>
    <col min="13576" max="13576" width="12.7109375" style="1394" customWidth="1"/>
    <col min="13577" max="13577" width="12.5703125" style="1394" customWidth="1"/>
    <col min="13578" max="13578" width="11.85546875" style="1394" customWidth="1"/>
    <col min="13579" max="13579" width="9.85546875" style="1394" customWidth="1"/>
    <col min="13580" max="13580" width="9.140625" style="1394"/>
    <col min="13581" max="13581" width="10.28515625" style="1394" customWidth="1"/>
    <col min="13582" max="13824" width="9.140625" style="1394"/>
    <col min="13825" max="13825" width="14.42578125" style="1394" customWidth="1"/>
    <col min="13826" max="13826" width="12.7109375" style="1394" customWidth="1"/>
    <col min="13827" max="13828" width="16.7109375" style="1394" customWidth="1"/>
    <col min="13829" max="13829" width="13.7109375" style="1394" customWidth="1"/>
    <col min="13830" max="13830" width="12.42578125" style="1394" customWidth="1"/>
    <col min="13831" max="13831" width="12.5703125" style="1394" customWidth="1"/>
    <col min="13832" max="13832" width="12.7109375" style="1394" customWidth="1"/>
    <col min="13833" max="13833" width="12.5703125" style="1394" customWidth="1"/>
    <col min="13834" max="13834" width="11.85546875" style="1394" customWidth="1"/>
    <col min="13835" max="13835" width="9.85546875" style="1394" customWidth="1"/>
    <col min="13836" max="13836" width="9.140625" style="1394"/>
    <col min="13837" max="13837" width="10.28515625" style="1394" customWidth="1"/>
    <col min="13838" max="14080" width="9.140625" style="1394"/>
    <col min="14081" max="14081" width="14.42578125" style="1394" customWidth="1"/>
    <col min="14082" max="14082" width="12.7109375" style="1394" customWidth="1"/>
    <col min="14083" max="14084" width="16.7109375" style="1394" customWidth="1"/>
    <col min="14085" max="14085" width="13.7109375" style="1394" customWidth="1"/>
    <col min="14086" max="14086" width="12.42578125" style="1394" customWidth="1"/>
    <col min="14087" max="14087" width="12.5703125" style="1394" customWidth="1"/>
    <col min="14088" max="14088" width="12.7109375" style="1394" customWidth="1"/>
    <col min="14089" max="14089" width="12.5703125" style="1394" customWidth="1"/>
    <col min="14090" max="14090" width="11.85546875" style="1394" customWidth="1"/>
    <col min="14091" max="14091" width="9.85546875" style="1394" customWidth="1"/>
    <col min="14092" max="14092" width="9.140625" style="1394"/>
    <col min="14093" max="14093" width="10.28515625" style="1394" customWidth="1"/>
    <col min="14094" max="14336" width="9.140625" style="1394"/>
    <col min="14337" max="14337" width="14.42578125" style="1394" customWidth="1"/>
    <col min="14338" max="14338" width="12.7109375" style="1394" customWidth="1"/>
    <col min="14339" max="14340" width="16.7109375" style="1394" customWidth="1"/>
    <col min="14341" max="14341" width="13.7109375" style="1394" customWidth="1"/>
    <col min="14342" max="14342" width="12.42578125" style="1394" customWidth="1"/>
    <col min="14343" max="14343" width="12.5703125" style="1394" customWidth="1"/>
    <col min="14344" max="14344" width="12.7109375" style="1394" customWidth="1"/>
    <col min="14345" max="14345" width="12.5703125" style="1394" customWidth="1"/>
    <col min="14346" max="14346" width="11.85546875" style="1394" customWidth="1"/>
    <col min="14347" max="14347" width="9.85546875" style="1394" customWidth="1"/>
    <col min="14348" max="14348" width="9.140625" style="1394"/>
    <col min="14349" max="14349" width="10.28515625" style="1394" customWidth="1"/>
    <col min="14350" max="14592" width="9.140625" style="1394"/>
    <col min="14593" max="14593" width="14.42578125" style="1394" customWidth="1"/>
    <col min="14594" max="14594" width="12.7109375" style="1394" customWidth="1"/>
    <col min="14595" max="14596" width="16.7109375" style="1394" customWidth="1"/>
    <col min="14597" max="14597" width="13.7109375" style="1394" customWidth="1"/>
    <col min="14598" max="14598" width="12.42578125" style="1394" customWidth="1"/>
    <col min="14599" max="14599" width="12.5703125" style="1394" customWidth="1"/>
    <col min="14600" max="14600" width="12.7109375" style="1394" customWidth="1"/>
    <col min="14601" max="14601" width="12.5703125" style="1394" customWidth="1"/>
    <col min="14602" max="14602" width="11.85546875" style="1394" customWidth="1"/>
    <col min="14603" max="14603" width="9.85546875" style="1394" customWidth="1"/>
    <col min="14604" max="14604" width="9.140625" style="1394"/>
    <col min="14605" max="14605" width="10.28515625" style="1394" customWidth="1"/>
    <col min="14606" max="14848" width="9.140625" style="1394"/>
    <col min="14849" max="14849" width="14.42578125" style="1394" customWidth="1"/>
    <col min="14850" max="14850" width="12.7109375" style="1394" customWidth="1"/>
    <col min="14851" max="14852" width="16.7109375" style="1394" customWidth="1"/>
    <col min="14853" max="14853" width="13.7109375" style="1394" customWidth="1"/>
    <col min="14854" max="14854" width="12.42578125" style="1394" customWidth="1"/>
    <col min="14855" max="14855" width="12.5703125" style="1394" customWidth="1"/>
    <col min="14856" max="14856" width="12.7109375" style="1394" customWidth="1"/>
    <col min="14857" max="14857" width="12.5703125" style="1394" customWidth="1"/>
    <col min="14858" max="14858" width="11.85546875" style="1394" customWidth="1"/>
    <col min="14859" max="14859" width="9.85546875" style="1394" customWidth="1"/>
    <col min="14860" max="14860" width="9.140625" style="1394"/>
    <col min="14861" max="14861" width="10.28515625" style="1394" customWidth="1"/>
    <col min="14862" max="15104" width="9.140625" style="1394"/>
    <col min="15105" max="15105" width="14.42578125" style="1394" customWidth="1"/>
    <col min="15106" max="15106" width="12.7109375" style="1394" customWidth="1"/>
    <col min="15107" max="15108" width="16.7109375" style="1394" customWidth="1"/>
    <col min="15109" max="15109" width="13.7109375" style="1394" customWidth="1"/>
    <col min="15110" max="15110" width="12.42578125" style="1394" customWidth="1"/>
    <col min="15111" max="15111" width="12.5703125" style="1394" customWidth="1"/>
    <col min="15112" max="15112" width="12.7109375" style="1394" customWidth="1"/>
    <col min="15113" max="15113" width="12.5703125" style="1394" customWidth="1"/>
    <col min="15114" max="15114" width="11.85546875" style="1394" customWidth="1"/>
    <col min="15115" max="15115" width="9.85546875" style="1394" customWidth="1"/>
    <col min="15116" max="15116" width="9.140625" style="1394"/>
    <col min="15117" max="15117" width="10.28515625" style="1394" customWidth="1"/>
    <col min="15118" max="15360" width="9.140625" style="1394"/>
    <col min="15361" max="15361" width="14.42578125" style="1394" customWidth="1"/>
    <col min="15362" max="15362" width="12.7109375" style="1394" customWidth="1"/>
    <col min="15363" max="15364" width="16.7109375" style="1394" customWidth="1"/>
    <col min="15365" max="15365" width="13.7109375" style="1394" customWidth="1"/>
    <col min="15366" max="15366" width="12.42578125" style="1394" customWidth="1"/>
    <col min="15367" max="15367" width="12.5703125" style="1394" customWidth="1"/>
    <col min="15368" max="15368" width="12.7109375" style="1394" customWidth="1"/>
    <col min="15369" max="15369" width="12.5703125" style="1394" customWidth="1"/>
    <col min="15370" max="15370" width="11.85546875" style="1394" customWidth="1"/>
    <col min="15371" max="15371" width="9.85546875" style="1394" customWidth="1"/>
    <col min="15372" max="15372" width="9.140625" style="1394"/>
    <col min="15373" max="15373" width="10.28515625" style="1394" customWidth="1"/>
    <col min="15374" max="15616" width="9.140625" style="1394"/>
    <col min="15617" max="15617" width="14.42578125" style="1394" customWidth="1"/>
    <col min="15618" max="15618" width="12.7109375" style="1394" customWidth="1"/>
    <col min="15619" max="15620" width="16.7109375" style="1394" customWidth="1"/>
    <col min="15621" max="15621" width="13.7109375" style="1394" customWidth="1"/>
    <col min="15622" max="15622" width="12.42578125" style="1394" customWidth="1"/>
    <col min="15623" max="15623" width="12.5703125" style="1394" customWidth="1"/>
    <col min="15624" max="15624" width="12.7109375" style="1394" customWidth="1"/>
    <col min="15625" max="15625" width="12.5703125" style="1394" customWidth="1"/>
    <col min="15626" max="15626" width="11.85546875" style="1394" customWidth="1"/>
    <col min="15627" max="15627" width="9.85546875" style="1394" customWidth="1"/>
    <col min="15628" max="15628" width="9.140625" style="1394"/>
    <col min="15629" max="15629" width="10.28515625" style="1394" customWidth="1"/>
    <col min="15630" max="15872" width="9.140625" style="1394"/>
    <col min="15873" max="15873" width="14.42578125" style="1394" customWidth="1"/>
    <col min="15874" max="15874" width="12.7109375" style="1394" customWidth="1"/>
    <col min="15875" max="15876" width="16.7109375" style="1394" customWidth="1"/>
    <col min="15877" max="15877" width="13.7109375" style="1394" customWidth="1"/>
    <col min="15878" max="15878" width="12.42578125" style="1394" customWidth="1"/>
    <col min="15879" max="15879" width="12.5703125" style="1394" customWidth="1"/>
    <col min="15880" max="15880" width="12.7109375" style="1394" customWidth="1"/>
    <col min="15881" max="15881" width="12.5703125" style="1394" customWidth="1"/>
    <col min="15882" max="15882" width="11.85546875" style="1394" customWidth="1"/>
    <col min="15883" max="15883" width="9.85546875" style="1394" customWidth="1"/>
    <col min="15884" max="15884" width="9.140625" style="1394"/>
    <col min="15885" max="15885" width="10.28515625" style="1394" customWidth="1"/>
    <col min="15886" max="16128" width="9.140625" style="1394"/>
    <col min="16129" max="16129" width="14.42578125" style="1394" customWidth="1"/>
    <col min="16130" max="16130" width="12.7109375" style="1394" customWidth="1"/>
    <col min="16131" max="16132" width="16.7109375" style="1394" customWidth="1"/>
    <col min="16133" max="16133" width="13.7109375" style="1394" customWidth="1"/>
    <col min="16134" max="16134" width="12.42578125" style="1394" customWidth="1"/>
    <col min="16135" max="16135" width="12.5703125" style="1394" customWidth="1"/>
    <col min="16136" max="16136" width="12.7109375" style="1394" customWidth="1"/>
    <col min="16137" max="16137" width="12.5703125" style="1394" customWidth="1"/>
    <col min="16138" max="16138" width="11.85546875" style="1394" customWidth="1"/>
    <col min="16139" max="16139" width="9.85546875" style="1394" customWidth="1"/>
    <col min="16140" max="16140" width="9.140625" style="1394"/>
    <col min="16141" max="16141" width="10.28515625" style="1394" customWidth="1"/>
    <col min="16142" max="16384" width="9.140625" style="1394"/>
  </cols>
  <sheetData>
    <row r="1" spans="1:10" s="1407" customFormat="1" ht="18.75" customHeight="1">
      <c r="A1" s="1947" t="s">
        <v>3060</v>
      </c>
      <c r="C1" s="1948"/>
      <c r="D1" s="1948"/>
    </row>
    <row r="2" spans="1:10" ht="7.5" customHeight="1" thickBot="1">
      <c r="F2" s="1950"/>
    </row>
    <row r="3" spans="1:10" ht="13.5" thickBot="1">
      <c r="A3" s="1951"/>
      <c r="B3" s="3365" t="s">
        <v>3061</v>
      </c>
      <c r="C3" s="3366"/>
      <c r="D3" s="3366"/>
      <c r="E3" s="3366"/>
      <c r="F3" s="3366"/>
      <c r="G3" s="3366"/>
      <c r="H3" s="3367"/>
    </row>
    <row r="4" spans="1:10" ht="12.75" customHeight="1" thickBot="1">
      <c r="A4" s="1952" t="s">
        <v>212</v>
      </c>
      <c r="B4" s="1953" t="s">
        <v>772</v>
      </c>
      <c r="C4" s="1954"/>
      <c r="D4" s="1955"/>
      <c r="E4" s="3368" t="s">
        <v>1230</v>
      </c>
      <c r="F4" s="3368"/>
      <c r="G4" s="3368"/>
      <c r="H4" s="3369"/>
    </row>
    <row r="5" spans="1:10" ht="12.75" customHeight="1">
      <c r="A5" s="1952"/>
      <c r="B5" s="1956" t="s">
        <v>194</v>
      </c>
      <c r="C5" s="1951" t="s">
        <v>3062</v>
      </c>
      <c r="D5" s="1953" t="s">
        <v>3062</v>
      </c>
      <c r="E5" s="1957" t="s">
        <v>3063</v>
      </c>
      <c r="F5" s="1957" t="s">
        <v>3064</v>
      </c>
      <c r="G5" s="1951" t="s">
        <v>3065</v>
      </c>
      <c r="H5" s="1951" t="s">
        <v>3066</v>
      </c>
      <c r="I5" s="1958"/>
      <c r="J5" s="1958"/>
    </row>
    <row r="6" spans="1:10" ht="15" customHeight="1">
      <c r="A6" s="1952"/>
      <c r="B6" s="1956" t="s">
        <v>3067</v>
      </c>
      <c r="C6" s="1959" t="s">
        <v>3068</v>
      </c>
      <c r="D6" s="1956" t="s">
        <v>3069</v>
      </c>
      <c r="E6" s="1956"/>
      <c r="F6" s="1960"/>
      <c r="G6" s="1959" t="s">
        <v>784</v>
      </c>
      <c r="H6" s="1959" t="s">
        <v>784</v>
      </c>
    </row>
    <row r="7" spans="1:10" ht="12.75" customHeight="1" thickBot="1">
      <c r="A7" s="1961"/>
      <c r="B7" s="1962"/>
      <c r="C7" s="1963"/>
      <c r="D7" s="1962"/>
      <c r="E7" s="1962"/>
      <c r="F7" s="1964" t="s">
        <v>28</v>
      </c>
      <c r="G7" s="1963" t="s">
        <v>1340</v>
      </c>
      <c r="H7" s="1963" t="s">
        <v>3070</v>
      </c>
    </row>
    <row r="8" spans="1:10" ht="12.75" hidden="1" customHeight="1">
      <c r="A8" s="1965">
        <v>37438</v>
      </c>
      <c r="B8" s="1966">
        <v>23</v>
      </c>
      <c r="C8" s="1967">
        <v>703.38</v>
      </c>
      <c r="D8" s="1967">
        <v>375.02</v>
      </c>
      <c r="E8" s="1968">
        <v>79.459999999999994</v>
      </c>
      <c r="F8" s="1969">
        <v>359.86</v>
      </c>
      <c r="G8" s="1970">
        <v>5462</v>
      </c>
      <c r="H8" s="1970">
        <v>390</v>
      </c>
    </row>
    <row r="9" spans="1:10" ht="12.75" hidden="1" customHeight="1">
      <c r="A9" s="1965">
        <v>37469</v>
      </c>
      <c r="B9" s="1966">
        <v>21</v>
      </c>
      <c r="C9" s="1967">
        <v>724.61</v>
      </c>
      <c r="D9" s="1967">
        <v>383.5</v>
      </c>
      <c r="E9" s="1968">
        <v>81.349999999999994</v>
      </c>
      <c r="F9" s="1969">
        <v>369.27</v>
      </c>
      <c r="G9" s="1970">
        <v>4237</v>
      </c>
      <c r="H9" s="1970">
        <v>334</v>
      </c>
    </row>
    <row r="10" spans="1:10" ht="12.75" hidden="1" customHeight="1">
      <c r="A10" s="1965">
        <v>37500</v>
      </c>
      <c r="B10" s="1966">
        <v>20</v>
      </c>
      <c r="C10" s="1967">
        <v>748.41</v>
      </c>
      <c r="D10" s="1967">
        <v>393.72</v>
      </c>
      <c r="E10" s="1968">
        <v>82.34</v>
      </c>
      <c r="F10" s="1969">
        <v>381.25</v>
      </c>
      <c r="G10" s="1970">
        <v>6328</v>
      </c>
      <c r="H10" s="1970">
        <v>488</v>
      </c>
    </row>
    <row r="11" spans="1:10" ht="12.75" hidden="1" customHeight="1">
      <c r="A11" s="1965">
        <v>37530</v>
      </c>
      <c r="B11" s="1966">
        <v>23</v>
      </c>
      <c r="C11" s="1967">
        <v>751.53</v>
      </c>
      <c r="D11" s="1967">
        <v>395.52</v>
      </c>
      <c r="E11" s="1968">
        <v>82.38</v>
      </c>
      <c r="F11" s="1969">
        <v>379.09</v>
      </c>
      <c r="G11" s="1970">
        <v>4380</v>
      </c>
      <c r="H11" s="1970">
        <v>399</v>
      </c>
    </row>
    <row r="12" spans="1:10" ht="12.75" hidden="1" customHeight="1">
      <c r="A12" s="1965">
        <v>37562</v>
      </c>
      <c r="B12" s="1966">
        <v>20</v>
      </c>
      <c r="C12" s="1967">
        <v>757.45</v>
      </c>
      <c r="D12" s="1967">
        <v>400.61</v>
      </c>
      <c r="E12" s="1968">
        <v>82.79</v>
      </c>
      <c r="F12" s="1969">
        <v>380.92</v>
      </c>
      <c r="G12" s="1970">
        <v>5790</v>
      </c>
      <c r="H12" s="1970">
        <v>455</v>
      </c>
    </row>
    <row r="13" spans="1:10" ht="12.75" hidden="1" customHeight="1">
      <c r="A13" s="1965">
        <v>37592</v>
      </c>
      <c r="B13" s="1966">
        <v>20</v>
      </c>
      <c r="C13" s="1967">
        <v>792.91</v>
      </c>
      <c r="D13" s="1967">
        <v>420.66</v>
      </c>
      <c r="E13" s="1968">
        <v>86.5</v>
      </c>
      <c r="F13" s="1969">
        <v>394.26</v>
      </c>
      <c r="G13" s="1970">
        <v>5671</v>
      </c>
      <c r="H13" s="1970">
        <v>421</v>
      </c>
    </row>
    <row r="14" spans="1:10" ht="12.75" hidden="1" customHeight="1">
      <c r="A14" s="1965">
        <v>37624</v>
      </c>
      <c r="B14" s="1966">
        <v>21</v>
      </c>
      <c r="C14" s="1967">
        <v>855</v>
      </c>
      <c r="D14" s="1971">
        <v>463.05</v>
      </c>
      <c r="E14" s="1972">
        <v>94.07</v>
      </c>
      <c r="F14" s="1969">
        <v>419.4</v>
      </c>
      <c r="G14" s="1970">
        <v>7066</v>
      </c>
      <c r="H14" s="1970">
        <v>370</v>
      </c>
    </row>
    <row r="15" spans="1:10" ht="12.75" hidden="1" customHeight="1">
      <c r="A15" s="1965">
        <v>37655</v>
      </c>
      <c r="B15" s="1966">
        <v>19</v>
      </c>
      <c r="C15" s="1967">
        <v>879.71</v>
      </c>
      <c r="D15" s="1971">
        <v>491.9</v>
      </c>
      <c r="E15" s="1972">
        <v>96.74</v>
      </c>
      <c r="F15" s="1969">
        <v>430.16</v>
      </c>
      <c r="G15" s="1970">
        <v>8543</v>
      </c>
      <c r="H15" s="1970">
        <v>419.83</v>
      </c>
    </row>
    <row r="16" spans="1:10" ht="12.75" hidden="1" customHeight="1">
      <c r="A16" s="1965">
        <v>37683</v>
      </c>
      <c r="B16" s="1966">
        <v>20</v>
      </c>
      <c r="C16" s="1967">
        <v>870.27</v>
      </c>
      <c r="D16" s="1971">
        <v>492.47</v>
      </c>
      <c r="E16" s="1972">
        <v>95.12</v>
      </c>
      <c r="F16" s="1969">
        <v>425.16</v>
      </c>
      <c r="G16" s="1970">
        <v>6958</v>
      </c>
      <c r="H16" s="1970">
        <v>440</v>
      </c>
    </row>
    <row r="17" spans="1:8" ht="12.75" hidden="1" customHeight="1">
      <c r="A17" s="1965">
        <v>37714</v>
      </c>
      <c r="B17" s="1966">
        <v>21</v>
      </c>
      <c r="C17" s="1967">
        <v>910.33</v>
      </c>
      <c r="D17" s="1971">
        <v>518.30999999999995</v>
      </c>
      <c r="E17" s="1972">
        <v>98.54</v>
      </c>
      <c r="F17" s="1969">
        <v>440</v>
      </c>
      <c r="G17" s="1970">
        <v>7399</v>
      </c>
      <c r="H17" s="1970">
        <v>814</v>
      </c>
    </row>
    <row r="18" spans="1:8" ht="12.75" hidden="1" customHeight="1">
      <c r="A18" s="1965">
        <v>37742</v>
      </c>
      <c r="B18" s="1966">
        <v>21</v>
      </c>
      <c r="C18" s="1967">
        <v>968.13</v>
      </c>
      <c r="D18" s="1971">
        <v>548.11</v>
      </c>
      <c r="E18" s="1972">
        <v>104.06</v>
      </c>
      <c r="F18" s="1969">
        <v>465.27</v>
      </c>
      <c r="G18" s="1970">
        <v>10253</v>
      </c>
      <c r="H18" s="1970">
        <v>659</v>
      </c>
    </row>
    <row r="19" spans="1:8" ht="12.75" hidden="1" customHeight="1">
      <c r="A19" s="1965">
        <v>37773</v>
      </c>
      <c r="B19" s="1966">
        <v>21</v>
      </c>
      <c r="C19" s="1967">
        <v>1004.17</v>
      </c>
      <c r="D19" s="1971">
        <v>551.09</v>
      </c>
      <c r="E19" s="1972">
        <v>105.98</v>
      </c>
      <c r="F19" s="1969">
        <v>481.03</v>
      </c>
      <c r="G19" s="1970">
        <v>10462</v>
      </c>
      <c r="H19" s="1970">
        <v>970</v>
      </c>
    </row>
    <row r="20" spans="1:8" ht="12.75" hidden="1" customHeight="1">
      <c r="A20" s="1965">
        <v>37805</v>
      </c>
      <c r="B20" s="1966">
        <v>20</v>
      </c>
      <c r="C20" s="1967">
        <v>1013.62</v>
      </c>
      <c r="D20" s="1971">
        <v>537.32000000000005</v>
      </c>
      <c r="E20" s="1972">
        <v>105.19</v>
      </c>
      <c r="F20" s="1969">
        <v>480.96</v>
      </c>
      <c r="G20" s="1970">
        <v>20172</v>
      </c>
      <c r="H20" s="1970">
        <v>1026</v>
      </c>
    </row>
    <row r="21" spans="1:8" ht="13.5" hidden="1" customHeight="1">
      <c r="A21" s="1965">
        <v>37836</v>
      </c>
      <c r="B21" s="1966">
        <v>21</v>
      </c>
      <c r="C21" s="1971">
        <v>995.12</v>
      </c>
      <c r="D21" s="1971">
        <v>531.36</v>
      </c>
      <c r="E21" s="1972">
        <v>102.27</v>
      </c>
      <c r="F21" s="1969">
        <v>472.29</v>
      </c>
      <c r="G21" s="1970">
        <v>11623</v>
      </c>
      <c r="H21" s="1970">
        <v>855</v>
      </c>
    </row>
    <row r="22" spans="1:8" ht="12.75" hidden="1" customHeight="1">
      <c r="A22" s="1965">
        <v>37867</v>
      </c>
      <c r="B22" s="1973">
        <v>21</v>
      </c>
      <c r="C22" s="1971">
        <v>1018.06</v>
      </c>
      <c r="D22" s="1971">
        <v>544.78</v>
      </c>
      <c r="E22" s="1972">
        <v>105.32</v>
      </c>
      <c r="F22" s="1969">
        <v>483.08</v>
      </c>
      <c r="G22" s="1970">
        <v>6792</v>
      </c>
      <c r="H22" s="1970">
        <v>464</v>
      </c>
    </row>
    <row r="23" spans="1:8" ht="12.75" hidden="1" customHeight="1">
      <c r="A23" s="1965">
        <v>37897</v>
      </c>
      <c r="B23" s="1973">
        <v>23</v>
      </c>
      <c r="C23" s="1971">
        <v>1089.51</v>
      </c>
      <c r="D23" s="1971">
        <v>591.4</v>
      </c>
      <c r="E23" s="1972">
        <v>113.54</v>
      </c>
      <c r="F23" s="1969">
        <v>512.29</v>
      </c>
      <c r="G23" s="1970">
        <v>19436</v>
      </c>
      <c r="H23" s="1970">
        <v>995</v>
      </c>
    </row>
    <row r="24" spans="1:8" ht="12.75" hidden="1" customHeight="1">
      <c r="A24" s="1965">
        <v>37928</v>
      </c>
      <c r="B24" s="1966">
        <v>19</v>
      </c>
      <c r="C24" s="1971">
        <v>1163.97</v>
      </c>
      <c r="D24" s="1971">
        <v>639.53</v>
      </c>
      <c r="E24" s="1972">
        <v>120.18</v>
      </c>
      <c r="F24" s="1969">
        <v>545.24</v>
      </c>
      <c r="G24" s="1970">
        <v>7775</v>
      </c>
      <c r="H24" s="1970">
        <v>545</v>
      </c>
    </row>
    <row r="25" spans="1:8" ht="12.75" hidden="1" customHeight="1">
      <c r="A25" s="1965">
        <v>37958</v>
      </c>
      <c r="B25" s="1966">
        <v>22</v>
      </c>
      <c r="C25" s="1971">
        <v>1194.27</v>
      </c>
      <c r="D25" s="1971">
        <v>691.95</v>
      </c>
      <c r="E25" s="1972">
        <v>121.5</v>
      </c>
      <c r="F25" s="1969">
        <v>554.84</v>
      </c>
      <c r="G25" s="1970">
        <v>9682.2000000000007</v>
      </c>
      <c r="H25" s="1970">
        <v>408</v>
      </c>
    </row>
    <row r="26" spans="1:8" ht="12.75" hidden="1" customHeight="1">
      <c r="A26" s="1965">
        <v>37989</v>
      </c>
      <c r="B26" s="1974">
        <v>19</v>
      </c>
      <c r="C26" s="1971">
        <v>1231.02</v>
      </c>
      <c r="D26" s="1971">
        <v>732.75</v>
      </c>
      <c r="E26" s="1971">
        <v>123.2</v>
      </c>
      <c r="F26" s="1975">
        <v>565.4</v>
      </c>
      <c r="G26" s="1976">
        <v>13223</v>
      </c>
      <c r="H26" s="1976">
        <v>703</v>
      </c>
    </row>
    <row r="27" spans="1:8" ht="12.75" hidden="1" customHeight="1">
      <c r="A27" s="1965">
        <v>38021</v>
      </c>
      <c r="B27" s="1974">
        <v>18</v>
      </c>
      <c r="C27" s="1971">
        <v>1306.7</v>
      </c>
      <c r="D27" s="1971">
        <v>787.86</v>
      </c>
      <c r="E27" s="1971">
        <v>130.58000000000001</v>
      </c>
      <c r="F27" s="1975">
        <v>599.33000000000004</v>
      </c>
      <c r="G27" s="1976">
        <v>15372</v>
      </c>
      <c r="H27" s="1976">
        <v>825</v>
      </c>
    </row>
    <row r="28" spans="1:8" ht="12.75" hidden="1" customHeight="1">
      <c r="A28" s="1965">
        <v>38047</v>
      </c>
      <c r="B28" s="1974">
        <v>22</v>
      </c>
      <c r="C28" s="1971">
        <v>1322.36</v>
      </c>
      <c r="D28" s="1971">
        <v>785.43</v>
      </c>
      <c r="E28" s="1971">
        <v>130.88999999999999</v>
      </c>
      <c r="F28" s="1975">
        <v>605.41</v>
      </c>
      <c r="G28" s="1976">
        <v>10015</v>
      </c>
      <c r="H28" s="1976">
        <v>369</v>
      </c>
    </row>
    <row r="29" spans="1:8" ht="12.75" hidden="1" customHeight="1">
      <c r="A29" s="1965">
        <v>38078</v>
      </c>
      <c r="B29" s="1977">
        <v>22</v>
      </c>
      <c r="C29" s="1971">
        <v>1376.95</v>
      </c>
      <c r="D29" s="1971">
        <v>788.88</v>
      </c>
      <c r="E29" s="1971">
        <v>132.37</v>
      </c>
      <c r="F29" s="1975">
        <v>623.96</v>
      </c>
      <c r="G29" s="1976">
        <v>8819</v>
      </c>
      <c r="H29" s="1976">
        <v>321</v>
      </c>
    </row>
    <row r="30" spans="1:8" ht="12.75" hidden="1" customHeight="1">
      <c r="A30" s="1965">
        <v>38108</v>
      </c>
      <c r="B30" s="1977">
        <v>21</v>
      </c>
      <c r="C30" s="1971">
        <v>1441.08</v>
      </c>
      <c r="D30" s="1971">
        <v>802.63</v>
      </c>
      <c r="E30" s="1971">
        <v>137.75</v>
      </c>
      <c r="F30" s="1975">
        <v>650.94000000000005</v>
      </c>
      <c r="G30" s="1976">
        <v>14037</v>
      </c>
      <c r="H30" s="1976">
        <v>624</v>
      </c>
    </row>
    <row r="31" spans="1:8" ht="12.75" hidden="1" customHeight="1">
      <c r="A31" s="1965">
        <v>38139</v>
      </c>
      <c r="B31" s="1974">
        <v>22</v>
      </c>
      <c r="C31" s="1971">
        <v>1457.2</v>
      </c>
      <c r="D31" s="1971">
        <v>805.75</v>
      </c>
      <c r="E31" s="1971">
        <v>138.49</v>
      </c>
      <c r="F31" s="1975">
        <v>656.8</v>
      </c>
      <c r="G31" s="1976">
        <v>12794</v>
      </c>
      <c r="H31" s="1976">
        <v>670</v>
      </c>
    </row>
    <row r="32" spans="1:8" ht="12.75" hidden="1" customHeight="1">
      <c r="A32" s="1965">
        <v>38169</v>
      </c>
      <c r="B32" s="1974">
        <v>22</v>
      </c>
      <c r="C32" s="1971">
        <v>1453.15</v>
      </c>
      <c r="D32" s="1971">
        <v>801.78</v>
      </c>
      <c r="E32" s="1971">
        <v>136.01</v>
      </c>
      <c r="F32" s="1975">
        <v>651.09</v>
      </c>
      <c r="G32" s="1976">
        <v>7884</v>
      </c>
      <c r="H32" s="1976">
        <v>459</v>
      </c>
    </row>
    <row r="33" spans="1:8" ht="12.75" hidden="1" customHeight="1">
      <c r="A33" s="1965">
        <v>38200</v>
      </c>
      <c r="B33" s="1974">
        <v>22</v>
      </c>
      <c r="C33" s="1971">
        <v>1444.65</v>
      </c>
      <c r="D33" s="1971">
        <v>793.9</v>
      </c>
      <c r="E33" s="1971">
        <v>134.07</v>
      </c>
      <c r="F33" s="1975">
        <v>646.79</v>
      </c>
      <c r="G33" s="1976">
        <v>7304</v>
      </c>
      <c r="H33" s="1976">
        <v>482</v>
      </c>
    </row>
    <row r="34" spans="1:8" ht="12.75" hidden="1" customHeight="1">
      <c r="A34" s="1965">
        <v>38231</v>
      </c>
      <c r="B34" s="1974">
        <v>22</v>
      </c>
      <c r="C34" s="1971">
        <v>1455.79</v>
      </c>
      <c r="D34" s="1971">
        <v>794.7</v>
      </c>
      <c r="E34" s="1971">
        <v>135.30000000000001</v>
      </c>
      <c r="F34" s="1975">
        <v>651.04</v>
      </c>
      <c r="G34" s="1976">
        <v>9027</v>
      </c>
      <c r="H34" s="1976">
        <v>558</v>
      </c>
    </row>
    <row r="35" spans="1:8" ht="12.75" hidden="1" customHeight="1">
      <c r="A35" s="1978">
        <v>38261</v>
      </c>
      <c r="B35" s="1974">
        <v>21</v>
      </c>
      <c r="C35" s="1971">
        <v>1499.44</v>
      </c>
      <c r="D35" s="1971">
        <v>817.72</v>
      </c>
      <c r="E35" s="1971">
        <v>138.04</v>
      </c>
      <c r="F35" s="1975">
        <v>666.32</v>
      </c>
      <c r="G35" s="1976">
        <v>12770</v>
      </c>
      <c r="H35" s="1979">
        <v>573.98400000000004</v>
      </c>
    </row>
    <row r="36" spans="1:8" ht="12.75" hidden="1" customHeight="1">
      <c r="A36" s="1965">
        <v>38292</v>
      </c>
      <c r="B36" s="1974">
        <v>20</v>
      </c>
      <c r="C36" s="1971">
        <v>1529.97</v>
      </c>
      <c r="D36" s="1971">
        <v>836.12</v>
      </c>
      <c r="E36" s="1971">
        <v>141.09</v>
      </c>
      <c r="F36" s="1975">
        <v>677.77</v>
      </c>
      <c r="G36" s="1976">
        <v>12281</v>
      </c>
      <c r="H36" s="1976">
        <v>640</v>
      </c>
    </row>
    <row r="37" spans="1:8" ht="12.75" hidden="1" customHeight="1">
      <c r="A37" s="1965">
        <v>38322</v>
      </c>
      <c r="B37" s="1974">
        <v>23</v>
      </c>
      <c r="C37" s="1971">
        <v>1585.78</v>
      </c>
      <c r="D37" s="1971">
        <v>873.31</v>
      </c>
      <c r="E37" s="1971">
        <v>146.06</v>
      </c>
      <c r="F37" s="1975">
        <v>697.01</v>
      </c>
      <c r="G37" s="1976">
        <v>11043</v>
      </c>
      <c r="H37" s="1976">
        <v>753</v>
      </c>
    </row>
    <row r="38" spans="1:8" ht="12.75" hidden="1" customHeight="1">
      <c r="A38" s="1965">
        <v>38353</v>
      </c>
      <c r="B38" s="1974">
        <v>19</v>
      </c>
      <c r="C38" s="1971">
        <v>1656.32</v>
      </c>
      <c r="D38" s="1971">
        <v>909.02</v>
      </c>
      <c r="E38" s="1971">
        <v>151.65</v>
      </c>
      <c r="F38" s="1975">
        <v>722.2</v>
      </c>
      <c r="G38" s="1976">
        <v>11864</v>
      </c>
      <c r="H38" s="1976">
        <v>1010.5</v>
      </c>
    </row>
    <row r="39" spans="1:8" ht="12.75" hidden="1" customHeight="1">
      <c r="A39" s="1965">
        <v>38384</v>
      </c>
      <c r="B39" s="1974">
        <v>18</v>
      </c>
      <c r="C39" s="1971">
        <v>1684.81</v>
      </c>
      <c r="D39" s="1971">
        <v>913.47</v>
      </c>
      <c r="E39" s="1971">
        <v>153.96</v>
      </c>
      <c r="F39" s="1975">
        <v>731.03</v>
      </c>
      <c r="G39" s="1976">
        <v>10978</v>
      </c>
      <c r="H39" s="1976">
        <v>400</v>
      </c>
    </row>
    <row r="40" spans="1:8" ht="12.75" hidden="1" customHeight="1">
      <c r="A40" s="1965">
        <v>38412</v>
      </c>
      <c r="B40" s="1974">
        <v>20</v>
      </c>
      <c r="C40" s="1971">
        <v>1713.2</v>
      </c>
      <c r="D40" s="1971">
        <v>922.99</v>
      </c>
      <c r="E40" s="1971">
        <v>158.25</v>
      </c>
      <c r="F40" s="1975">
        <v>742.65</v>
      </c>
      <c r="G40" s="1976">
        <v>18126</v>
      </c>
      <c r="H40" s="1976">
        <v>805</v>
      </c>
    </row>
    <row r="41" spans="1:8" ht="12.75" hidden="1" customHeight="1">
      <c r="A41" s="1965">
        <v>38443</v>
      </c>
      <c r="B41" s="1974">
        <v>21</v>
      </c>
      <c r="C41" s="1971">
        <v>1705.97</v>
      </c>
      <c r="D41" s="1971">
        <v>915.09</v>
      </c>
      <c r="E41" s="1971">
        <v>155.06</v>
      </c>
      <c r="F41" s="1975">
        <v>730.93</v>
      </c>
      <c r="G41" s="1976">
        <v>12972</v>
      </c>
      <c r="H41" s="1976">
        <v>463</v>
      </c>
    </row>
    <row r="42" spans="1:8" ht="12.75" hidden="1" customHeight="1">
      <c r="A42" s="1965">
        <v>38473</v>
      </c>
      <c r="B42" s="1974">
        <v>22</v>
      </c>
      <c r="C42" s="1971">
        <v>1649.42</v>
      </c>
      <c r="D42" s="1971">
        <v>883.36</v>
      </c>
      <c r="E42" s="1971">
        <v>148.54</v>
      </c>
      <c r="F42" s="1975">
        <v>705.22</v>
      </c>
      <c r="G42" s="1976">
        <v>9013</v>
      </c>
      <c r="H42" s="1976">
        <v>272</v>
      </c>
    </row>
    <row r="43" spans="1:8" ht="12.75" hidden="1" customHeight="1">
      <c r="A43" s="1965">
        <v>38504</v>
      </c>
      <c r="B43" s="1974">
        <v>22</v>
      </c>
      <c r="C43" s="1971">
        <v>1681.86</v>
      </c>
      <c r="D43" s="1971">
        <v>895.08</v>
      </c>
      <c r="E43" s="1971">
        <v>152.52000000000001</v>
      </c>
      <c r="F43" s="1975">
        <v>717.54</v>
      </c>
      <c r="G43" s="1976">
        <v>29856</v>
      </c>
      <c r="H43" s="1976">
        <v>804</v>
      </c>
    </row>
    <row r="44" spans="1:8" ht="12.75" hidden="1" customHeight="1">
      <c r="A44" s="1965">
        <v>38534</v>
      </c>
      <c r="B44" s="1974">
        <v>21</v>
      </c>
      <c r="C44" s="1971">
        <v>1724.38</v>
      </c>
      <c r="D44" s="1971">
        <v>911.56</v>
      </c>
      <c r="E44" s="1971">
        <v>155.41999999999999</v>
      </c>
      <c r="F44" s="1975">
        <v>726.77</v>
      </c>
      <c r="G44" s="1976">
        <v>8071</v>
      </c>
      <c r="H44" s="1976">
        <v>520</v>
      </c>
    </row>
    <row r="45" spans="1:8" ht="12.75" hidden="1" customHeight="1">
      <c r="A45" s="1965">
        <v>38565</v>
      </c>
      <c r="B45" s="1974">
        <v>23</v>
      </c>
      <c r="C45" s="1971">
        <v>1812.43</v>
      </c>
      <c r="D45" s="1971">
        <v>952.76</v>
      </c>
      <c r="E45" s="1980">
        <v>164.74</v>
      </c>
      <c r="F45" s="1969">
        <v>759.86</v>
      </c>
      <c r="G45" s="1970">
        <v>11593</v>
      </c>
      <c r="H45" s="1970">
        <v>612</v>
      </c>
    </row>
    <row r="46" spans="1:8" ht="12.75" hidden="1" customHeight="1">
      <c r="A46" s="1965">
        <v>38596</v>
      </c>
      <c r="B46" s="1974">
        <v>21</v>
      </c>
      <c r="C46" s="1971">
        <v>1922.12</v>
      </c>
      <c r="D46" s="1971">
        <v>1003.55</v>
      </c>
      <c r="E46" s="1972">
        <v>176.47</v>
      </c>
      <c r="F46" s="1969">
        <v>805.72</v>
      </c>
      <c r="G46" s="1970">
        <v>17669</v>
      </c>
      <c r="H46" s="1970">
        <v>1026</v>
      </c>
    </row>
    <row r="47" spans="1:8" ht="12.75" hidden="1" customHeight="1">
      <c r="A47" s="1965">
        <v>38626</v>
      </c>
      <c r="B47" s="1974">
        <v>21</v>
      </c>
      <c r="C47" s="1971">
        <v>1957.01</v>
      </c>
      <c r="D47" s="1971">
        <v>1007.65</v>
      </c>
      <c r="E47" s="1972">
        <v>178.24</v>
      </c>
      <c r="F47" s="1969">
        <v>815.68</v>
      </c>
      <c r="G47" s="1970">
        <v>15882</v>
      </c>
      <c r="H47" s="1970">
        <v>762</v>
      </c>
    </row>
    <row r="48" spans="1:8" ht="12.75" hidden="1" customHeight="1">
      <c r="A48" s="1965">
        <v>38657</v>
      </c>
      <c r="B48" s="1974">
        <v>19</v>
      </c>
      <c r="C48" s="1971">
        <v>1965.17</v>
      </c>
      <c r="D48" s="1971">
        <v>1007.33</v>
      </c>
      <c r="E48" s="1972">
        <v>177.89</v>
      </c>
      <c r="F48" s="1969">
        <v>816.57</v>
      </c>
      <c r="G48" s="1970">
        <v>25540</v>
      </c>
      <c r="H48" s="1970">
        <v>935</v>
      </c>
    </row>
    <row r="49" spans="1:8" ht="12.75" hidden="1" customHeight="1">
      <c r="A49" s="1965">
        <v>38687</v>
      </c>
      <c r="B49" s="1974">
        <v>22</v>
      </c>
      <c r="C49" s="1971">
        <v>1958.47</v>
      </c>
      <c r="D49" s="1971">
        <v>1000.5</v>
      </c>
      <c r="E49" s="1972">
        <v>176.76</v>
      </c>
      <c r="F49" s="1969">
        <v>807.72</v>
      </c>
      <c r="G49" s="1970">
        <v>45862</v>
      </c>
      <c r="H49" s="1970">
        <v>5243</v>
      </c>
    </row>
    <row r="50" spans="1:8" ht="12.75" hidden="1" customHeight="1">
      <c r="A50" s="1978">
        <v>38718</v>
      </c>
      <c r="B50" s="1974">
        <v>21</v>
      </c>
      <c r="C50" s="1971">
        <v>1982.3</v>
      </c>
      <c r="D50" s="1971">
        <v>1012.04</v>
      </c>
      <c r="E50" s="1972">
        <v>178.52</v>
      </c>
      <c r="F50" s="1969">
        <v>816.24</v>
      </c>
      <c r="G50" s="1970">
        <v>19067</v>
      </c>
      <c r="H50" s="1981">
        <v>700</v>
      </c>
    </row>
    <row r="51" spans="1:8" ht="12.75" hidden="1" customHeight="1">
      <c r="A51" s="1978">
        <v>38749</v>
      </c>
      <c r="B51" s="1974">
        <v>19</v>
      </c>
      <c r="C51" s="1971">
        <v>2028.15</v>
      </c>
      <c r="D51" s="1971">
        <v>1033.42</v>
      </c>
      <c r="E51" s="1972">
        <v>183.78</v>
      </c>
      <c r="F51" s="1969">
        <v>834.57</v>
      </c>
      <c r="G51" s="1970">
        <v>21168</v>
      </c>
      <c r="H51" s="1981">
        <v>865</v>
      </c>
    </row>
    <row r="52" spans="1:8" ht="12.75" hidden="1" customHeight="1">
      <c r="A52" s="1978">
        <v>38777</v>
      </c>
      <c r="B52" s="1974">
        <v>22</v>
      </c>
      <c r="C52" s="1971">
        <v>2059.31</v>
      </c>
      <c r="D52" s="1971">
        <v>1047.3599999999999</v>
      </c>
      <c r="E52" s="1972">
        <v>184.86</v>
      </c>
      <c r="F52" s="1969">
        <v>845.69</v>
      </c>
      <c r="G52" s="1970">
        <v>12508</v>
      </c>
      <c r="H52" s="1981">
        <v>684</v>
      </c>
    </row>
    <row r="53" spans="1:8" ht="12.75" hidden="1" customHeight="1">
      <c r="A53" s="1965">
        <v>38808</v>
      </c>
      <c r="B53" s="1974">
        <v>20</v>
      </c>
      <c r="C53" s="1971">
        <v>2044.66</v>
      </c>
      <c r="D53" s="1971">
        <v>1037.69</v>
      </c>
      <c r="E53" s="1972">
        <v>181.23</v>
      </c>
      <c r="F53" s="1969">
        <v>833.78</v>
      </c>
      <c r="G53" s="1970">
        <v>10726</v>
      </c>
      <c r="H53" s="1981">
        <v>631</v>
      </c>
    </row>
    <row r="54" spans="1:8" ht="12.75" hidden="1" customHeight="1">
      <c r="A54" s="1965">
        <v>38838</v>
      </c>
      <c r="B54" s="1974">
        <v>22</v>
      </c>
      <c r="C54" s="1971">
        <v>2038.16</v>
      </c>
      <c r="D54" s="1971">
        <v>1034.25</v>
      </c>
      <c r="E54" s="1972">
        <v>180.08</v>
      </c>
      <c r="F54" s="1969">
        <v>828.41</v>
      </c>
      <c r="G54" s="1970">
        <v>13755.8</v>
      </c>
      <c r="H54" s="1970">
        <v>386</v>
      </c>
    </row>
    <row r="55" spans="1:8" ht="12.75" hidden="1" customHeight="1">
      <c r="A55" s="1965">
        <v>38869</v>
      </c>
      <c r="B55" s="1974">
        <v>22</v>
      </c>
      <c r="C55" s="1971">
        <v>2023.92</v>
      </c>
      <c r="D55" s="1971">
        <v>1026.75</v>
      </c>
      <c r="E55" s="1972">
        <v>178.23</v>
      </c>
      <c r="F55" s="1969">
        <v>818.95</v>
      </c>
      <c r="G55" s="1970">
        <v>15269</v>
      </c>
      <c r="H55" s="1970">
        <v>1054</v>
      </c>
    </row>
    <row r="56" spans="1:8" ht="12.75" hidden="1" customHeight="1">
      <c r="A56" s="1965">
        <v>38899</v>
      </c>
      <c r="B56" s="1974">
        <v>21</v>
      </c>
      <c r="C56" s="1971">
        <v>2110.1</v>
      </c>
      <c r="D56" s="1971">
        <v>1060.6300000000001</v>
      </c>
      <c r="E56" s="1972">
        <v>187</v>
      </c>
      <c r="F56" s="1969">
        <v>852.36</v>
      </c>
      <c r="G56" s="1970">
        <v>18819</v>
      </c>
      <c r="H56" s="1970">
        <v>425.6</v>
      </c>
    </row>
    <row r="57" spans="1:8" ht="12.75" hidden="1" customHeight="1">
      <c r="A57" s="1965">
        <v>38930</v>
      </c>
      <c r="B57" s="1974">
        <v>21</v>
      </c>
      <c r="C57" s="1971">
        <v>2223.5500000000002</v>
      </c>
      <c r="D57" s="1971">
        <v>1089.49</v>
      </c>
      <c r="E57" s="1972">
        <v>195.58</v>
      </c>
      <c r="F57" s="1969">
        <v>890.52</v>
      </c>
      <c r="G57" s="1970">
        <v>14331</v>
      </c>
      <c r="H57" s="1970">
        <v>794</v>
      </c>
    </row>
    <row r="58" spans="1:8" ht="12.75" hidden="1" customHeight="1">
      <c r="A58" s="1965">
        <v>38961</v>
      </c>
      <c r="B58" s="1974">
        <v>21</v>
      </c>
      <c r="C58" s="1971">
        <v>2394.35</v>
      </c>
      <c r="D58" s="1971">
        <v>1154.33</v>
      </c>
      <c r="E58" s="1972">
        <v>207.36</v>
      </c>
      <c r="F58" s="1969">
        <v>957.06</v>
      </c>
      <c r="G58" s="1970">
        <v>16903.900000000001</v>
      </c>
      <c r="H58" s="1970">
        <v>622.79999999999995</v>
      </c>
    </row>
    <row r="59" spans="1:8" ht="12.75" hidden="1" customHeight="1">
      <c r="A59" s="1965">
        <v>38991</v>
      </c>
      <c r="B59" s="1974">
        <v>21</v>
      </c>
      <c r="C59" s="1971">
        <v>2631.06</v>
      </c>
      <c r="D59" s="1971">
        <v>1259.0899999999999</v>
      </c>
      <c r="E59" s="1972">
        <v>228.19</v>
      </c>
      <c r="F59" s="1969">
        <v>1046.08</v>
      </c>
      <c r="G59" s="1970">
        <v>17704</v>
      </c>
      <c r="H59" s="1970">
        <v>551.31799999999998</v>
      </c>
    </row>
    <row r="60" spans="1:8" ht="12.75" hidden="1" customHeight="1">
      <c r="A60" s="1965">
        <v>39022</v>
      </c>
      <c r="B60" s="1974">
        <v>21</v>
      </c>
      <c r="C60" s="1971">
        <v>2979.76</v>
      </c>
      <c r="D60" s="1971">
        <v>1412.8</v>
      </c>
      <c r="E60" s="1972">
        <v>255.29</v>
      </c>
      <c r="F60" s="1969">
        <v>1181.17</v>
      </c>
      <c r="G60" s="1970">
        <v>24762</v>
      </c>
      <c r="H60" s="1970">
        <v>771</v>
      </c>
    </row>
    <row r="61" spans="1:8" ht="12.75" hidden="1" customHeight="1">
      <c r="A61" s="1965">
        <v>39052</v>
      </c>
      <c r="B61" s="1974">
        <v>20</v>
      </c>
      <c r="C61" s="1971">
        <v>3028.73</v>
      </c>
      <c r="D61" s="1971">
        <v>1426.82</v>
      </c>
      <c r="E61" s="1972">
        <v>259.47000000000003</v>
      </c>
      <c r="F61" s="1969">
        <v>1193.69</v>
      </c>
      <c r="G61" s="1970">
        <v>105922</v>
      </c>
      <c r="H61" s="1970">
        <v>3221</v>
      </c>
    </row>
    <row r="62" spans="1:8" ht="12.75" hidden="1" customHeight="1">
      <c r="A62" s="1965">
        <v>39083</v>
      </c>
      <c r="B62" s="1974">
        <v>21</v>
      </c>
      <c r="C62" s="1971">
        <v>3244.01</v>
      </c>
      <c r="D62" s="1971">
        <v>1515.07</v>
      </c>
      <c r="E62" s="1972">
        <v>281.14999999999998</v>
      </c>
      <c r="F62" s="1969">
        <v>1276.51</v>
      </c>
      <c r="G62" s="1970">
        <v>25890</v>
      </c>
      <c r="H62" s="1970">
        <v>686.3</v>
      </c>
    </row>
    <row r="63" spans="1:8" ht="12.75" hidden="1" customHeight="1">
      <c r="A63" s="1965">
        <v>39114</v>
      </c>
      <c r="B63" s="1974">
        <v>18</v>
      </c>
      <c r="C63" s="1971">
        <v>3265.93</v>
      </c>
      <c r="D63" s="1971">
        <v>1534.24</v>
      </c>
      <c r="E63" s="1972">
        <v>286.47000000000003</v>
      </c>
      <c r="F63" s="1969">
        <v>1284.03</v>
      </c>
      <c r="G63" s="1970">
        <v>215289.557</v>
      </c>
      <c r="H63" s="1970">
        <v>4616.0870000000004</v>
      </c>
    </row>
    <row r="64" spans="1:8" ht="12.75" hidden="1" customHeight="1">
      <c r="A64" s="1965">
        <v>39142</v>
      </c>
      <c r="B64" s="1974">
        <v>20</v>
      </c>
      <c r="C64" s="1971">
        <v>3327.8</v>
      </c>
      <c r="D64" s="1971">
        <v>1591.49</v>
      </c>
      <c r="E64" s="1972">
        <v>294.11</v>
      </c>
      <c r="F64" s="1969">
        <v>1305.58</v>
      </c>
      <c r="G64" s="1970">
        <v>20607.429</v>
      </c>
      <c r="H64" s="1970">
        <v>529.08500000000004</v>
      </c>
    </row>
    <row r="65" spans="1:8" ht="12.75" hidden="1" customHeight="1">
      <c r="A65" s="1965">
        <v>39173</v>
      </c>
      <c r="B65" s="1974">
        <v>21</v>
      </c>
      <c r="C65" s="1971">
        <v>3444.42</v>
      </c>
      <c r="D65" s="1971">
        <v>1669.21</v>
      </c>
      <c r="E65" s="1972">
        <v>304.26</v>
      </c>
      <c r="F65" s="1969">
        <v>1345.27</v>
      </c>
      <c r="G65" s="1970">
        <v>27817</v>
      </c>
      <c r="H65" s="1970">
        <v>684</v>
      </c>
    </row>
    <row r="66" spans="1:8" ht="12.75" hidden="1" customHeight="1">
      <c r="A66" s="1965">
        <v>39203</v>
      </c>
      <c r="B66" s="1974">
        <v>22</v>
      </c>
      <c r="C66" s="1971">
        <v>3513.32</v>
      </c>
      <c r="D66" s="1971">
        <v>1730.77</v>
      </c>
      <c r="E66" s="1972">
        <v>317.95</v>
      </c>
      <c r="F66" s="1969">
        <v>1369.27</v>
      </c>
      <c r="G66" s="1970">
        <v>31129.279999999999</v>
      </c>
      <c r="H66" s="1970">
        <v>636.38300000000004</v>
      </c>
    </row>
    <row r="67" spans="1:8" ht="12.75" hidden="1" customHeight="1">
      <c r="A67" s="1965">
        <v>39234</v>
      </c>
      <c r="B67" s="1974">
        <v>21</v>
      </c>
      <c r="C67" s="1971">
        <v>3698.34</v>
      </c>
      <c r="D67" s="1971">
        <v>1811.6</v>
      </c>
      <c r="E67" s="1972">
        <v>327.11</v>
      </c>
      <c r="F67" s="1969">
        <v>1386.03</v>
      </c>
      <c r="G67" s="1970">
        <v>28688</v>
      </c>
      <c r="H67" s="1970">
        <v>641.274</v>
      </c>
    </row>
    <row r="68" spans="1:8" ht="12.75" hidden="1" customHeight="1">
      <c r="A68" s="1965">
        <v>39264</v>
      </c>
      <c r="B68" s="1974">
        <v>22</v>
      </c>
      <c r="C68" s="1971">
        <v>3758.4</v>
      </c>
      <c r="D68" s="1971">
        <v>1851.74</v>
      </c>
      <c r="E68" s="1972">
        <v>347.12</v>
      </c>
      <c r="F68" s="1969">
        <v>1457.49</v>
      </c>
      <c r="G68" s="1970">
        <v>19415.598000000002</v>
      </c>
      <c r="H68" s="1970">
        <v>436.88600000000002</v>
      </c>
    </row>
    <row r="69" spans="1:8" ht="12.75" hidden="1" customHeight="1">
      <c r="A69" s="1965">
        <v>39295</v>
      </c>
      <c r="B69" s="1974">
        <v>23</v>
      </c>
      <c r="C69" s="1971">
        <v>3823.44</v>
      </c>
      <c r="D69" s="1971">
        <v>1909.21</v>
      </c>
      <c r="E69" s="1972">
        <v>356.91</v>
      </c>
      <c r="F69" s="1969">
        <v>1480.6</v>
      </c>
      <c r="G69" s="1970">
        <v>21702</v>
      </c>
      <c r="H69" s="1970">
        <v>625</v>
      </c>
    </row>
    <row r="70" spans="1:8" ht="12.75" hidden="1" customHeight="1">
      <c r="A70" s="1965">
        <v>39326</v>
      </c>
      <c r="B70" s="1974">
        <v>20</v>
      </c>
      <c r="C70" s="1971">
        <v>3848.39</v>
      </c>
      <c r="D70" s="1971">
        <v>1928.04</v>
      </c>
      <c r="E70" s="1972">
        <v>362</v>
      </c>
      <c r="F70" s="1969">
        <v>1484.38</v>
      </c>
      <c r="G70" s="1970">
        <v>26549.976999999999</v>
      </c>
      <c r="H70" s="1970">
        <v>566.15899999999999</v>
      </c>
    </row>
    <row r="71" spans="1:8" ht="12.75" hidden="1" customHeight="1">
      <c r="A71" s="1965">
        <v>39356</v>
      </c>
      <c r="B71" s="1974">
        <v>23</v>
      </c>
      <c r="C71" s="1971">
        <v>4289.03</v>
      </c>
      <c r="D71" s="1971">
        <v>2182.33</v>
      </c>
      <c r="E71" s="1972">
        <v>409.25</v>
      </c>
      <c r="F71" s="1969">
        <v>1644.98</v>
      </c>
      <c r="G71" s="1970">
        <v>49955.307999999997</v>
      </c>
      <c r="H71" s="1970">
        <v>806.62400000000002</v>
      </c>
    </row>
    <row r="72" spans="1:8" ht="12.75" hidden="1" customHeight="1">
      <c r="A72" s="1965">
        <v>39387</v>
      </c>
      <c r="B72" s="1974">
        <v>19</v>
      </c>
      <c r="C72" s="1971">
        <v>4729.45</v>
      </c>
      <c r="D72" s="1971">
        <v>2423.71</v>
      </c>
      <c r="E72" s="1972">
        <v>464.41</v>
      </c>
      <c r="F72" s="1969">
        <v>1809.61</v>
      </c>
      <c r="G72" s="1970">
        <v>66924.271999999997</v>
      </c>
      <c r="H72" s="1970">
        <v>1736.2529999999999</v>
      </c>
    </row>
    <row r="73" spans="1:8" ht="12.75" hidden="1" customHeight="1">
      <c r="A73" s="1965">
        <v>39417</v>
      </c>
      <c r="B73" s="1974">
        <v>20</v>
      </c>
      <c r="C73" s="1971">
        <v>4779.3615000000009</v>
      </c>
      <c r="D73" s="1971">
        <v>2506.6840000000002</v>
      </c>
      <c r="E73" s="1972">
        <v>468.03199999999998</v>
      </c>
      <c r="F73" s="1969">
        <v>1819.6895</v>
      </c>
      <c r="G73" s="1970">
        <v>62188</v>
      </c>
      <c r="H73" s="1970">
        <v>1041</v>
      </c>
    </row>
    <row r="74" spans="1:8" ht="12.75" hidden="1" customHeight="1">
      <c r="A74" s="1965">
        <v>39448</v>
      </c>
      <c r="B74" s="1974">
        <v>20</v>
      </c>
      <c r="C74" s="1971">
        <v>5097.03</v>
      </c>
      <c r="D74" s="1971">
        <v>2739.86</v>
      </c>
      <c r="E74" s="1972">
        <v>505.55</v>
      </c>
      <c r="F74" s="1969">
        <v>1938.86</v>
      </c>
      <c r="G74" s="1970">
        <v>52533</v>
      </c>
      <c r="H74" s="1970">
        <v>1097</v>
      </c>
    </row>
    <row r="75" spans="1:8" ht="12.75" hidden="1" customHeight="1">
      <c r="A75" s="1965">
        <v>39479</v>
      </c>
      <c r="B75" s="1974">
        <v>19</v>
      </c>
      <c r="C75" s="1971">
        <v>5334.6215789473672</v>
      </c>
      <c r="D75" s="1971">
        <v>2906.4263157894734</v>
      </c>
      <c r="E75" s="1972">
        <v>523.21421052631592</v>
      </c>
      <c r="F75" s="1969">
        <v>2028.65</v>
      </c>
      <c r="G75" s="1970">
        <v>65724</v>
      </c>
      <c r="H75" s="1970">
        <v>870</v>
      </c>
    </row>
    <row r="76" spans="1:8" ht="12.75" hidden="1" customHeight="1">
      <c r="A76" s="1965">
        <v>39508</v>
      </c>
      <c r="B76" s="1974">
        <v>19</v>
      </c>
      <c r="C76" s="1971">
        <v>5047.18</v>
      </c>
      <c r="D76" s="1971">
        <v>2897.84</v>
      </c>
      <c r="E76" s="1972">
        <v>486.33</v>
      </c>
      <c r="F76" s="1969">
        <v>1916.63</v>
      </c>
      <c r="G76" s="1970">
        <v>50776</v>
      </c>
      <c r="H76" s="1970">
        <v>854</v>
      </c>
    </row>
    <row r="77" spans="1:8" ht="12.75" hidden="1" customHeight="1">
      <c r="A77" s="1965">
        <v>39539</v>
      </c>
      <c r="B77" s="1974">
        <v>21</v>
      </c>
      <c r="C77" s="1971">
        <v>4752.76</v>
      </c>
      <c r="D77" s="1971">
        <v>2815.46</v>
      </c>
      <c r="E77" s="1972">
        <v>446.57</v>
      </c>
      <c r="F77" s="1969">
        <v>1796.01</v>
      </c>
      <c r="G77" s="1970">
        <v>36358</v>
      </c>
      <c r="H77" s="1970">
        <v>1091</v>
      </c>
    </row>
    <row r="78" spans="1:8" ht="12.75" hidden="1" customHeight="1">
      <c r="A78" s="1965">
        <v>39569</v>
      </c>
      <c r="B78" s="1974">
        <v>21</v>
      </c>
      <c r="C78" s="1971">
        <v>4960.6499999999996</v>
      </c>
      <c r="D78" s="1971">
        <v>2800.19</v>
      </c>
      <c r="E78" s="1972">
        <v>471.43</v>
      </c>
      <c r="F78" s="1969">
        <v>1870.7</v>
      </c>
      <c r="G78" s="1970">
        <v>56054</v>
      </c>
      <c r="H78" s="1970">
        <v>1132</v>
      </c>
    </row>
    <row r="79" spans="1:8" ht="12.75" hidden="1" customHeight="1">
      <c r="A79" s="1965">
        <v>39600</v>
      </c>
      <c r="B79" s="1974">
        <v>21</v>
      </c>
      <c r="C79" s="1971">
        <v>4966.8900000000003</v>
      </c>
      <c r="D79" s="1971">
        <v>2797.4</v>
      </c>
      <c r="E79" s="1972">
        <v>469.24</v>
      </c>
      <c r="F79" s="1969">
        <v>1871.83</v>
      </c>
      <c r="G79" s="1970">
        <v>70459</v>
      </c>
      <c r="H79" s="1970">
        <v>1700</v>
      </c>
    </row>
    <row r="80" spans="1:8" ht="12.75" hidden="1" customHeight="1">
      <c r="A80" s="1965">
        <v>39630</v>
      </c>
      <c r="B80" s="1974">
        <v>23</v>
      </c>
      <c r="C80" s="1971">
        <v>4557.3900000000003</v>
      </c>
      <c r="D80" s="1971">
        <v>2626.4</v>
      </c>
      <c r="E80" s="1972">
        <v>420.36</v>
      </c>
      <c r="F80" s="1969">
        <v>1709.9</v>
      </c>
      <c r="G80" s="1970">
        <v>25202</v>
      </c>
      <c r="H80" s="1970">
        <v>876</v>
      </c>
    </row>
    <row r="81" spans="1:8" ht="12.75" hidden="1" customHeight="1">
      <c r="A81" s="1965">
        <v>39661</v>
      </c>
      <c r="B81" s="1974">
        <v>20</v>
      </c>
      <c r="C81" s="1971">
        <v>4564.1099999999997</v>
      </c>
      <c r="D81" s="1971">
        <v>2550.79</v>
      </c>
      <c r="E81" s="1972">
        <v>418.64</v>
      </c>
      <c r="F81" s="1969">
        <v>1708.4</v>
      </c>
      <c r="G81" s="1970">
        <v>43094</v>
      </c>
      <c r="H81" s="1970">
        <v>705</v>
      </c>
    </row>
    <row r="82" spans="1:8" ht="12.75" hidden="1" customHeight="1">
      <c r="A82" s="1965">
        <v>39699</v>
      </c>
      <c r="B82" s="1974">
        <v>21</v>
      </c>
      <c r="C82" s="1971">
        <v>4369.83</v>
      </c>
      <c r="D82" s="1971">
        <v>2326.5700000000002</v>
      </c>
      <c r="E82" s="1972">
        <v>393.49</v>
      </c>
      <c r="F82" s="1969">
        <v>1630.66</v>
      </c>
      <c r="G82" s="1970">
        <v>37203</v>
      </c>
      <c r="H82" s="1970">
        <v>504</v>
      </c>
    </row>
    <row r="83" spans="1:8" ht="12.75" hidden="1" customHeight="1">
      <c r="A83" s="1965">
        <v>39729</v>
      </c>
      <c r="B83" s="1974">
        <v>21</v>
      </c>
      <c r="C83" s="1971">
        <v>3873.6</v>
      </c>
      <c r="D83" s="1971">
        <v>1976.09</v>
      </c>
      <c r="E83" s="1972">
        <v>339.74</v>
      </c>
      <c r="F83" s="1969">
        <v>1434.25</v>
      </c>
      <c r="G83" s="1970">
        <v>45100</v>
      </c>
      <c r="H83" s="1970">
        <v>902</v>
      </c>
    </row>
    <row r="84" spans="1:8" ht="12.75" hidden="1" customHeight="1">
      <c r="A84" s="1965">
        <v>39760</v>
      </c>
      <c r="B84" s="1974">
        <v>20</v>
      </c>
      <c r="C84" s="1971">
        <v>3431.06</v>
      </c>
      <c r="D84" s="1971">
        <v>1653.51</v>
      </c>
      <c r="E84" s="1972">
        <v>289.25450000000001</v>
      </c>
      <c r="F84" s="1969">
        <v>1266.8094999999998</v>
      </c>
      <c r="G84" s="1970">
        <v>40288</v>
      </c>
      <c r="H84" s="1970">
        <v>766</v>
      </c>
    </row>
    <row r="85" spans="1:8" ht="12.75" hidden="1" customHeight="1">
      <c r="A85" s="1965">
        <v>39790</v>
      </c>
      <c r="B85" s="1974">
        <v>22</v>
      </c>
      <c r="C85" s="1971">
        <v>3220.7404545454551</v>
      </c>
      <c r="D85" s="1971">
        <v>1551.9959090909092</v>
      </c>
      <c r="E85" s="1972">
        <v>266.05318181818183</v>
      </c>
      <c r="F85" s="1969">
        <v>1179.2677272727271</v>
      </c>
      <c r="G85" s="1970">
        <v>38757</v>
      </c>
      <c r="H85" s="1970">
        <v>674</v>
      </c>
    </row>
    <row r="86" spans="1:8" ht="12.75" hidden="1" customHeight="1">
      <c r="A86" s="1965">
        <v>39821</v>
      </c>
      <c r="B86" s="1974">
        <v>19</v>
      </c>
      <c r="C86" s="1971">
        <v>3205.9642105263156</v>
      </c>
      <c r="D86" s="1971">
        <v>1528.0031578947367</v>
      </c>
      <c r="E86" s="1972">
        <v>265.43842105263167</v>
      </c>
      <c r="F86" s="1969">
        <v>1171.0794736842101</v>
      </c>
      <c r="G86" s="1970">
        <v>14198</v>
      </c>
      <c r="H86" s="1970">
        <v>370</v>
      </c>
    </row>
    <row r="87" spans="1:8" ht="12.75" hidden="1" customHeight="1">
      <c r="A87" s="1965">
        <v>39852</v>
      </c>
      <c r="B87" s="1974">
        <v>19</v>
      </c>
      <c r="C87" s="1971">
        <v>2771.1478947368423</v>
      </c>
      <c r="D87" s="1971">
        <v>1286.3705263157894</v>
      </c>
      <c r="E87" s="1972">
        <v>219.57157894736847</v>
      </c>
      <c r="F87" s="1969">
        <v>1011.6305263157897</v>
      </c>
      <c r="G87" s="1970">
        <v>30908</v>
      </c>
      <c r="H87" s="1970">
        <v>664</v>
      </c>
    </row>
    <row r="88" spans="1:8" ht="12.75" hidden="1" customHeight="1">
      <c r="A88" s="1965">
        <v>39880</v>
      </c>
      <c r="B88" s="1974">
        <v>20</v>
      </c>
      <c r="C88" s="1971">
        <v>2673.8294999999994</v>
      </c>
      <c r="D88" s="1971">
        <v>1220.9910000000002</v>
      </c>
      <c r="E88" s="1972">
        <v>210.45700000000005</v>
      </c>
      <c r="F88" s="1969">
        <v>974.81600000000003</v>
      </c>
      <c r="G88" s="1970">
        <v>22700</v>
      </c>
      <c r="H88" s="1970">
        <v>594</v>
      </c>
    </row>
    <row r="89" spans="1:8" ht="12.75" hidden="1" customHeight="1">
      <c r="A89" s="1965">
        <v>39911</v>
      </c>
      <c r="B89" s="1974">
        <v>22</v>
      </c>
      <c r="C89" s="1971">
        <v>3146.7736363636359</v>
      </c>
      <c r="D89" s="1971">
        <v>1446.2295454545456</v>
      </c>
      <c r="E89" s="1972">
        <v>250.3868181818182</v>
      </c>
      <c r="F89" s="1969">
        <v>1141.6222727272725</v>
      </c>
      <c r="G89" s="1970">
        <v>61733</v>
      </c>
      <c r="H89" s="1970">
        <v>1170</v>
      </c>
    </row>
    <row r="90" spans="1:8" ht="12.75" hidden="1" customHeight="1">
      <c r="A90" s="1965">
        <v>39941</v>
      </c>
      <c r="B90" s="1974">
        <v>20</v>
      </c>
      <c r="C90" s="1971">
        <v>3297.8479999999995</v>
      </c>
      <c r="D90" s="1971">
        <v>1537.1479999999999</v>
      </c>
      <c r="E90" s="1972">
        <v>263.45</v>
      </c>
      <c r="F90" s="1969">
        <v>1194.3605</v>
      </c>
      <c r="G90" s="1970">
        <v>64090</v>
      </c>
      <c r="H90" s="1970">
        <v>1116</v>
      </c>
    </row>
    <row r="91" spans="1:8" ht="12.75" hidden="1" customHeight="1">
      <c r="A91" s="1965">
        <v>39972</v>
      </c>
      <c r="B91" s="1974">
        <v>22</v>
      </c>
      <c r="C91" s="1971">
        <v>3903.7250000000004</v>
      </c>
      <c r="D91" s="1971">
        <v>1846.6913636363633</v>
      </c>
      <c r="E91" s="1972">
        <v>319.95227272727271</v>
      </c>
      <c r="F91" s="1969">
        <v>1412.1186363636361</v>
      </c>
      <c r="G91" s="1970">
        <v>54702</v>
      </c>
      <c r="H91" s="1970">
        <v>918</v>
      </c>
    </row>
    <row r="92" spans="1:8" ht="12.75" hidden="1" customHeight="1">
      <c r="A92" s="1965">
        <v>40002</v>
      </c>
      <c r="B92" s="1974">
        <v>23</v>
      </c>
      <c r="C92" s="1971">
        <v>3914.88</v>
      </c>
      <c r="D92" s="1971">
        <v>1869.76</v>
      </c>
      <c r="E92" s="1972">
        <v>318.86</v>
      </c>
      <c r="F92" s="1969">
        <v>1408.19</v>
      </c>
      <c r="G92" s="1970">
        <v>29655</v>
      </c>
      <c r="H92" s="1970">
        <v>919</v>
      </c>
    </row>
    <row r="93" spans="1:8" ht="12.75" hidden="1" customHeight="1">
      <c r="A93" s="1965">
        <v>40033</v>
      </c>
      <c r="B93" s="1974">
        <v>20</v>
      </c>
      <c r="C93" s="1971">
        <v>4160.22</v>
      </c>
      <c r="D93" s="1971">
        <v>2008.75</v>
      </c>
      <c r="E93" s="1972">
        <v>335.63</v>
      </c>
      <c r="F93" s="1969">
        <v>1493.15</v>
      </c>
      <c r="G93" s="1970">
        <v>36738</v>
      </c>
      <c r="H93" s="1970">
        <v>822</v>
      </c>
    </row>
    <row r="94" spans="1:8" ht="12.75" hidden="1" customHeight="1">
      <c r="A94" s="1965">
        <v>40064</v>
      </c>
      <c r="B94" s="1974">
        <v>21</v>
      </c>
      <c r="C94" s="1971">
        <v>4464.2119047619053</v>
      </c>
      <c r="D94" s="1971">
        <v>2197.2742857142857</v>
      </c>
      <c r="E94" s="1972">
        <v>362.01428571428568</v>
      </c>
      <c r="F94" s="1969">
        <v>1597.3671428571431</v>
      </c>
      <c r="G94" s="1970">
        <v>42226</v>
      </c>
      <c r="H94" s="1970">
        <v>863</v>
      </c>
    </row>
    <row r="95" spans="1:8" ht="12.75" hidden="1" customHeight="1">
      <c r="A95" s="1965">
        <v>40094</v>
      </c>
      <c r="B95" s="1974">
        <v>22</v>
      </c>
      <c r="C95" s="1971">
        <v>4767.124545454546</v>
      </c>
      <c r="D95" s="1971">
        <v>2403.7390909090905</v>
      </c>
      <c r="E95" s="1972">
        <v>381.49681818181813</v>
      </c>
      <c r="F95" s="1969">
        <v>1696.5281818181816</v>
      </c>
      <c r="G95" s="1970">
        <v>43510</v>
      </c>
      <c r="H95" s="1970">
        <v>769</v>
      </c>
    </row>
    <row r="96" spans="1:8" ht="12.75" hidden="1" customHeight="1">
      <c r="A96" s="1965">
        <v>40125</v>
      </c>
      <c r="B96" s="1974">
        <v>20</v>
      </c>
      <c r="C96" s="1971">
        <v>4721.5674129955196</v>
      </c>
      <c r="D96" s="1971">
        <v>2406.3637595919799</v>
      </c>
      <c r="E96" s="1972">
        <v>372.11362115828592</v>
      </c>
      <c r="F96" s="1969">
        <v>1677.3474031503495</v>
      </c>
      <c r="G96" s="1970">
        <v>40743</v>
      </c>
      <c r="H96" s="1970">
        <v>877</v>
      </c>
    </row>
    <row r="97" spans="1:8" ht="12.75" hidden="1" customHeight="1">
      <c r="A97" s="1965">
        <v>40155</v>
      </c>
      <c r="B97" s="1974">
        <v>22</v>
      </c>
      <c r="C97" s="1971">
        <v>4701.4132797052725</v>
      </c>
      <c r="D97" s="1971">
        <v>2446.8369212574939</v>
      </c>
      <c r="E97" s="1972">
        <v>362.67871098361297</v>
      </c>
      <c r="F97" s="1969">
        <v>1657.6934882367291</v>
      </c>
      <c r="G97" s="1970">
        <v>56531</v>
      </c>
      <c r="H97" s="1970">
        <v>1654</v>
      </c>
    </row>
    <row r="98" spans="1:8" ht="12.75" hidden="1" customHeight="1">
      <c r="A98" s="1965">
        <v>40186</v>
      </c>
      <c r="B98" s="1974">
        <v>20</v>
      </c>
      <c r="C98" s="1971">
        <v>4827.1281697691684</v>
      </c>
      <c r="D98" s="1971">
        <v>2475.0554744435585</v>
      </c>
      <c r="E98" s="1972">
        <v>365.83203606426071</v>
      </c>
      <c r="F98" s="1969">
        <v>1700.434026533318</v>
      </c>
      <c r="G98" s="1970">
        <v>38064</v>
      </c>
      <c r="H98" s="1970">
        <v>1413</v>
      </c>
    </row>
    <row r="99" spans="1:8" ht="12.75" hidden="1" customHeight="1">
      <c r="A99" s="1965">
        <v>40217</v>
      </c>
      <c r="B99" s="1974">
        <v>18</v>
      </c>
      <c r="C99" s="1971">
        <v>4805.5193926340053</v>
      </c>
      <c r="D99" s="1971">
        <v>2430.7307198612152</v>
      </c>
      <c r="E99" s="1972">
        <v>353.9740535310724</v>
      </c>
      <c r="F99" s="1969">
        <v>1692.2094895967871</v>
      </c>
      <c r="G99" s="1970">
        <v>40847</v>
      </c>
      <c r="H99" s="1970">
        <v>785</v>
      </c>
    </row>
    <row r="100" spans="1:8" ht="12.75" hidden="1" customHeight="1">
      <c r="A100" s="1965">
        <v>40245</v>
      </c>
      <c r="B100" s="1974">
        <v>21</v>
      </c>
      <c r="C100" s="1971">
        <v>4674.8081776468707</v>
      </c>
      <c r="D100" s="1971">
        <v>2350.0572374430562</v>
      </c>
      <c r="E100" s="1972">
        <v>341.97600536861296</v>
      </c>
      <c r="F100" s="1969">
        <v>1643.7926014056338</v>
      </c>
      <c r="G100" s="1970">
        <v>82793</v>
      </c>
      <c r="H100" s="1970">
        <v>4025</v>
      </c>
    </row>
    <row r="101" spans="1:8" ht="12.75" hidden="1" customHeight="1">
      <c r="A101" s="1965">
        <v>40276</v>
      </c>
      <c r="B101" s="1974">
        <v>22</v>
      </c>
      <c r="C101" s="1971">
        <v>4760.5342160712489</v>
      </c>
      <c r="D101" s="1971">
        <v>2382.7889710460195</v>
      </c>
      <c r="E101" s="1972">
        <v>345.60349215515083</v>
      </c>
      <c r="F101" s="1969">
        <v>1668.8078676625278</v>
      </c>
      <c r="G101" s="1970">
        <v>54778</v>
      </c>
      <c r="H101" s="1970">
        <v>1748</v>
      </c>
    </row>
    <row r="102" spans="1:8" ht="12.75" hidden="1" customHeight="1">
      <c r="A102" s="1965">
        <v>40306</v>
      </c>
      <c r="B102" s="1974">
        <v>20</v>
      </c>
      <c r="C102" s="1971">
        <v>4662.6628687485299</v>
      </c>
      <c r="D102" s="1971">
        <v>2210.6989462763413</v>
      </c>
      <c r="E102" s="1972">
        <v>332.38117521174797</v>
      </c>
      <c r="F102" s="1969">
        <v>1631.7926129041973</v>
      </c>
      <c r="G102" s="1970">
        <v>67156</v>
      </c>
      <c r="H102" s="1970">
        <v>868</v>
      </c>
    </row>
    <row r="103" spans="1:8" ht="12.75" hidden="1" customHeight="1">
      <c r="A103" s="1965">
        <v>40337</v>
      </c>
      <c r="B103" s="1974">
        <v>22</v>
      </c>
      <c r="C103" s="1971">
        <v>4672.8805318184213</v>
      </c>
      <c r="D103" s="1971">
        <v>2190.7194830182489</v>
      </c>
      <c r="E103" s="1972">
        <v>331.08397814321273</v>
      </c>
      <c r="F103" s="1969">
        <v>1632.9807664416192</v>
      </c>
      <c r="G103" s="1970">
        <v>32840</v>
      </c>
      <c r="H103" s="1970">
        <v>564</v>
      </c>
    </row>
    <row r="104" spans="1:8" s="1389" customFormat="1" ht="21.75" hidden="1" customHeight="1">
      <c r="A104" s="1982">
        <v>40367</v>
      </c>
      <c r="B104" s="1974">
        <v>22</v>
      </c>
      <c r="C104" s="1971">
        <v>4838.2017363038049</v>
      </c>
      <c r="D104" s="1971">
        <v>2387.9606222700363</v>
      </c>
      <c r="E104" s="1972">
        <v>335.74937648069584</v>
      </c>
      <c r="F104" s="1969">
        <v>1682.4248521466639</v>
      </c>
      <c r="G104" s="1970">
        <v>54326</v>
      </c>
      <c r="H104" s="1970">
        <v>2003</v>
      </c>
    </row>
    <row r="105" spans="1:8" s="1389" customFormat="1" ht="21.75" hidden="1" customHeight="1">
      <c r="A105" s="1982">
        <v>40398</v>
      </c>
      <c r="B105" s="1974">
        <v>22</v>
      </c>
      <c r="C105" s="1971">
        <v>4988.2433227794754</v>
      </c>
      <c r="D105" s="1971">
        <v>2514.5728062364096</v>
      </c>
      <c r="E105" s="1972">
        <v>342.64115513215557</v>
      </c>
      <c r="F105" s="1969">
        <v>1732.0934897286488</v>
      </c>
      <c r="G105" s="1970">
        <v>27448</v>
      </c>
      <c r="H105" s="1970">
        <v>980</v>
      </c>
    </row>
    <row r="106" spans="1:8" s="1389" customFormat="1" ht="21.75" hidden="1" customHeight="1">
      <c r="A106" s="1982">
        <v>40429</v>
      </c>
      <c r="B106" s="1974">
        <v>21</v>
      </c>
      <c r="C106" s="1971">
        <v>5022.4022225149456</v>
      </c>
      <c r="D106" s="1971">
        <v>2518.2450421749295</v>
      </c>
      <c r="E106" s="1972">
        <v>334.51944034010921</v>
      </c>
      <c r="F106" s="1969">
        <v>1738.0269440402251</v>
      </c>
      <c r="G106" s="1970">
        <v>43286</v>
      </c>
      <c r="H106" s="1970">
        <v>1176</v>
      </c>
    </row>
    <row r="107" spans="1:8" s="1389" customFormat="1" ht="21.75" hidden="1" customHeight="1">
      <c r="A107" s="1982">
        <v>40459</v>
      </c>
      <c r="B107" s="1974">
        <v>21</v>
      </c>
      <c r="C107" s="1971">
        <v>5285.4285551968696</v>
      </c>
      <c r="D107" s="1971">
        <v>2713.2079883741744</v>
      </c>
      <c r="E107" s="1972">
        <v>348.07677117991886</v>
      </c>
      <c r="F107" s="1969">
        <v>1823.9338179872177</v>
      </c>
      <c r="G107" s="1970">
        <v>51066</v>
      </c>
      <c r="H107" s="1970">
        <v>895</v>
      </c>
    </row>
    <row r="108" spans="1:8" s="1389" customFormat="1" ht="21.75" hidden="1" customHeight="1">
      <c r="A108" s="1982">
        <v>40490</v>
      </c>
      <c r="B108" s="1974">
        <v>20</v>
      </c>
      <c r="C108" s="1971">
        <v>5501.1338542679714</v>
      </c>
      <c r="D108" s="1971">
        <v>2807.6990289142145</v>
      </c>
      <c r="E108" s="1972">
        <v>361.86941521596083</v>
      </c>
      <c r="F108" s="1969">
        <v>1896.7225727265977</v>
      </c>
      <c r="G108" s="1970">
        <v>45840</v>
      </c>
      <c r="H108" s="1970">
        <v>970</v>
      </c>
    </row>
    <row r="109" spans="1:8" s="1389" customFormat="1" ht="21.75" hidden="1" customHeight="1">
      <c r="A109" s="1982">
        <v>40520</v>
      </c>
      <c r="B109" s="1974">
        <v>23</v>
      </c>
      <c r="C109" s="1971">
        <v>5618.3541600930466</v>
      </c>
      <c r="D109" s="1971">
        <v>2822.6191139903472</v>
      </c>
      <c r="E109" s="1972">
        <v>366.39261578827808</v>
      </c>
      <c r="F109" s="1969">
        <v>1924.7444906555879</v>
      </c>
      <c r="G109" s="1970">
        <v>24223</v>
      </c>
      <c r="H109" s="1970">
        <v>687</v>
      </c>
    </row>
    <row r="110" spans="1:8" s="1389" customFormat="1" ht="21.75" hidden="1" customHeight="1">
      <c r="A110" s="1982">
        <v>40551</v>
      </c>
      <c r="B110" s="1974">
        <v>19</v>
      </c>
      <c r="C110" s="1971">
        <v>5913.2862330420758</v>
      </c>
      <c r="D110" s="1971">
        <v>3006.7265101479898</v>
      </c>
      <c r="E110" s="1972">
        <v>385.70946088370619</v>
      </c>
      <c r="F110" s="1969">
        <v>2023.8537404096467</v>
      </c>
      <c r="G110" s="1970">
        <v>63052</v>
      </c>
      <c r="H110" s="1970">
        <v>1131</v>
      </c>
    </row>
    <row r="111" spans="1:8" s="1389" customFormat="1" ht="21.75" hidden="1" customHeight="1">
      <c r="A111" s="1982">
        <v>40582</v>
      </c>
      <c r="B111" s="1974">
        <v>18</v>
      </c>
      <c r="C111" s="1971">
        <v>5971.5883042516125</v>
      </c>
      <c r="D111" s="1971">
        <v>3100.530430433852</v>
      </c>
      <c r="E111" s="1972">
        <v>388.02398015466383</v>
      </c>
      <c r="F111" s="1969">
        <v>2042.9682051176185</v>
      </c>
      <c r="G111" s="1970">
        <v>36863</v>
      </c>
      <c r="H111" s="1970">
        <v>798</v>
      </c>
    </row>
    <row r="112" spans="1:8" s="1389" customFormat="1" ht="21.75" hidden="1" customHeight="1">
      <c r="A112" s="1982">
        <v>40610</v>
      </c>
      <c r="B112" s="1974">
        <v>22</v>
      </c>
      <c r="C112" s="1971">
        <v>5831.1306084196221</v>
      </c>
      <c r="D112" s="1971">
        <v>3076.7769249677276</v>
      </c>
      <c r="E112" s="1972">
        <v>375.53189619666387</v>
      </c>
      <c r="F112" s="1969">
        <v>1992.36040584489</v>
      </c>
      <c r="G112" s="1970">
        <v>32668.889211363639</v>
      </c>
      <c r="H112" s="1970">
        <v>598</v>
      </c>
    </row>
    <row r="113" spans="1:8" s="1389" customFormat="1" ht="21.75" hidden="1" customHeight="1">
      <c r="A113" s="1982">
        <v>40641</v>
      </c>
      <c r="B113" s="1974">
        <v>20</v>
      </c>
      <c r="C113" s="1971">
        <v>5989.9702859358367</v>
      </c>
      <c r="D113" s="1971">
        <v>3269.5195610526985</v>
      </c>
      <c r="E113" s="1972">
        <v>382.92513075988165</v>
      </c>
      <c r="F113" s="1969">
        <v>2041.4989029438213</v>
      </c>
      <c r="G113" s="1970">
        <v>30257</v>
      </c>
      <c r="H113" s="1970">
        <v>623</v>
      </c>
    </row>
    <row r="114" spans="1:8" s="1389" customFormat="1" ht="21.75" hidden="1" customHeight="1">
      <c r="A114" s="1982">
        <v>40671</v>
      </c>
      <c r="B114" s="1974">
        <v>22</v>
      </c>
      <c r="C114" s="1971">
        <v>6123.3196184820754</v>
      </c>
      <c r="D114" s="1971">
        <v>3355.5446732187688</v>
      </c>
      <c r="E114" s="1972">
        <v>391.50420544999781</v>
      </c>
      <c r="F114" s="1969">
        <v>2084.7833272037842</v>
      </c>
      <c r="G114" s="1970">
        <v>52608</v>
      </c>
      <c r="H114" s="1970">
        <v>931</v>
      </c>
    </row>
    <row r="115" spans="1:8" s="1389" customFormat="1" ht="21.75" hidden="1" customHeight="1">
      <c r="A115" s="1982">
        <v>40702</v>
      </c>
      <c r="B115" s="1974">
        <v>22</v>
      </c>
      <c r="C115" s="1971">
        <v>6134.9756152538139</v>
      </c>
      <c r="D115" s="1971">
        <v>3330.8548858048957</v>
      </c>
      <c r="E115" s="1972">
        <v>393.56788981559907</v>
      </c>
      <c r="F115" s="1969">
        <v>2085.3614012646781</v>
      </c>
      <c r="G115" s="1970">
        <v>34508</v>
      </c>
      <c r="H115" s="1970">
        <v>655</v>
      </c>
    </row>
    <row r="116" spans="1:8" s="1389" customFormat="1" ht="21.75" hidden="1" customHeight="1">
      <c r="A116" s="1982">
        <v>40732</v>
      </c>
      <c r="B116" s="1974">
        <v>21</v>
      </c>
      <c r="C116" s="1971">
        <v>6100.5340312545441</v>
      </c>
      <c r="D116" s="1971">
        <v>3311.6270853551978</v>
      </c>
      <c r="E116" s="1972">
        <v>385.70675885352853</v>
      </c>
      <c r="F116" s="1969">
        <v>2064.2108597424194</v>
      </c>
      <c r="G116" s="1970">
        <v>34925</v>
      </c>
      <c r="H116" s="1970">
        <v>747</v>
      </c>
    </row>
    <row r="117" spans="1:8" s="1389" customFormat="1" ht="21.75" hidden="1" customHeight="1">
      <c r="A117" s="1982">
        <v>40763</v>
      </c>
      <c r="B117" s="1974">
        <v>22</v>
      </c>
      <c r="C117" s="1971">
        <v>5808.8463405194743</v>
      </c>
      <c r="D117" s="1971">
        <v>3183.1998574103122</v>
      </c>
      <c r="E117" s="1972">
        <v>364.34880298524291</v>
      </c>
      <c r="F117" s="1969">
        <v>1958.5331262179209</v>
      </c>
      <c r="G117" s="1970">
        <v>53001</v>
      </c>
      <c r="H117" s="1970">
        <v>881</v>
      </c>
    </row>
    <row r="118" spans="1:8" s="1389" customFormat="1" ht="21.75" hidden="1" customHeight="1">
      <c r="A118" s="1982">
        <v>40794</v>
      </c>
      <c r="B118" s="1974">
        <v>21</v>
      </c>
      <c r="C118" s="1971">
        <v>5670.9189604148805</v>
      </c>
      <c r="D118" s="1971">
        <v>3059.7972168683987</v>
      </c>
      <c r="E118" s="1972">
        <v>353.40800894684475</v>
      </c>
      <c r="F118" s="1969">
        <v>1905.4120639045841</v>
      </c>
      <c r="G118" s="1970">
        <v>28224</v>
      </c>
      <c r="H118" s="1970">
        <v>561</v>
      </c>
    </row>
    <row r="119" spans="1:8" s="1389" customFormat="1" ht="21.75" hidden="1" customHeight="1">
      <c r="A119" s="1982">
        <v>40824</v>
      </c>
      <c r="B119" s="1974">
        <v>20</v>
      </c>
      <c r="C119" s="1971">
        <v>5637.5744888979953</v>
      </c>
      <c r="D119" s="1971">
        <v>2995.3269299796339</v>
      </c>
      <c r="E119" s="1972">
        <v>349.34833664543714</v>
      </c>
      <c r="F119" s="1969">
        <v>1889.8135130994874</v>
      </c>
      <c r="G119" s="1970">
        <v>134903</v>
      </c>
      <c r="H119" s="1970">
        <v>2876</v>
      </c>
    </row>
    <row r="120" spans="1:8" s="1389" customFormat="1" ht="21.75" hidden="1" customHeight="1">
      <c r="A120" s="1982">
        <v>40855</v>
      </c>
      <c r="B120" s="1974">
        <v>20</v>
      </c>
      <c r="C120" s="1971">
        <v>5670.6592734865053</v>
      </c>
      <c r="D120" s="1971">
        <v>3004.8248623912759</v>
      </c>
      <c r="E120" s="1972">
        <v>351.42636680825899</v>
      </c>
      <c r="F120" s="1969">
        <v>1899.078404469974</v>
      </c>
      <c r="G120" s="1970">
        <v>203815</v>
      </c>
      <c r="H120" s="1970">
        <v>1755</v>
      </c>
    </row>
    <row r="121" spans="1:8" s="1389" customFormat="1" ht="21.75" hidden="1" customHeight="1">
      <c r="A121" s="1982">
        <v>40885</v>
      </c>
      <c r="B121" s="1974">
        <v>22</v>
      </c>
      <c r="C121" s="1971">
        <v>5594.3785752621407</v>
      </c>
      <c r="D121" s="1971">
        <v>2944.5615894899115</v>
      </c>
      <c r="E121" s="1972">
        <v>344.85004846409981</v>
      </c>
      <c r="F121" s="1969">
        <v>1864.2220738195088</v>
      </c>
      <c r="G121" s="1970">
        <v>26850</v>
      </c>
      <c r="H121" s="1970">
        <v>367</v>
      </c>
    </row>
    <row r="122" spans="1:8" s="1389" customFormat="1" ht="21.75" hidden="1" customHeight="1">
      <c r="A122" s="1982">
        <v>40916</v>
      </c>
      <c r="B122" s="1974">
        <v>20</v>
      </c>
      <c r="C122" s="1971">
        <v>5610.8151320798479</v>
      </c>
      <c r="D122" s="1971">
        <v>2953.8328536620202</v>
      </c>
      <c r="E122" s="1972">
        <v>346.98399905645067</v>
      </c>
      <c r="F122" s="1969">
        <v>1865.3933302329146</v>
      </c>
      <c r="G122" s="1970">
        <v>23760</v>
      </c>
      <c r="H122" s="1970">
        <v>463</v>
      </c>
    </row>
    <row r="123" spans="1:8" s="1389" customFormat="1" ht="21.75" hidden="1" customHeight="1">
      <c r="A123" s="1982">
        <v>40947</v>
      </c>
      <c r="B123" s="1974">
        <v>18</v>
      </c>
      <c r="C123" s="1971">
        <v>5470.1114168408585</v>
      </c>
      <c r="D123" s="1971">
        <v>2913.2561118098797</v>
      </c>
      <c r="E123" s="1972">
        <v>340.90402923250309</v>
      </c>
      <c r="F123" s="1969">
        <v>1816.4284835109709</v>
      </c>
      <c r="G123" s="1970">
        <v>29830</v>
      </c>
      <c r="H123" s="1970">
        <v>569</v>
      </c>
    </row>
    <row r="124" spans="1:8" s="1389" customFormat="1" ht="21.75" hidden="1" customHeight="1">
      <c r="A124" s="1982">
        <v>40976</v>
      </c>
      <c r="B124" s="1974">
        <v>20</v>
      </c>
      <c r="C124" s="1971">
        <v>5344.216449809076</v>
      </c>
      <c r="D124" s="1971">
        <v>2843.40224746678</v>
      </c>
      <c r="E124" s="1972">
        <v>331.90113355150743</v>
      </c>
      <c r="F124" s="1969">
        <v>1772.0401656764675</v>
      </c>
      <c r="G124" s="1970">
        <v>22808</v>
      </c>
      <c r="H124" s="1970">
        <v>587</v>
      </c>
    </row>
    <row r="125" spans="1:8" s="1389" customFormat="1" ht="21.75" hidden="1" customHeight="1">
      <c r="A125" s="1982">
        <v>41007</v>
      </c>
      <c r="B125" s="1974">
        <v>21</v>
      </c>
      <c r="C125" s="1971">
        <v>5432.8290132240727</v>
      </c>
      <c r="D125" s="1971">
        <v>2876.0336849063874</v>
      </c>
      <c r="E125" s="1972">
        <v>338.76382206302799</v>
      </c>
      <c r="F125" s="1969">
        <v>1797.9146441970308</v>
      </c>
      <c r="G125" s="1970">
        <v>27694</v>
      </c>
      <c r="H125" s="1970">
        <v>444</v>
      </c>
    </row>
    <row r="126" spans="1:8" s="1389" customFormat="1" ht="21.75" hidden="1" customHeight="1">
      <c r="A126" s="1982">
        <v>41030</v>
      </c>
      <c r="B126" s="1974">
        <v>22</v>
      </c>
      <c r="C126" s="1971">
        <v>5473.6417947698528</v>
      </c>
      <c r="D126" s="1971">
        <v>2864.68</v>
      </c>
      <c r="E126" s="1972">
        <v>342.88817332746271</v>
      </c>
      <c r="F126" s="1969">
        <v>1809.4602287430114</v>
      </c>
      <c r="G126" s="1970">
        <v>49260.276581363636</v>
      </c>
      <c r="H126" s="1970">
        <v>1218</v>
      </c>
    </row>
    <row r="127" spans="1:8" s="1389" customFormat="1" ht="21.75" hidden="1" customHeight="1">
      <c r="A127" s="1982">
        <v>41061</v>
      </c>
      <c r="B127" s="1974">
        <v>21</v>
      </c>
      <c r="C127" s="1971">
        <v>5420.0854013313028</v>
      </c>
      <c r="D127" s="1971">
        <v>2758.76320559943</v>
      </c>
      <c r="E127" s="1972">
        <v>340.89007235984388</v>
      </c>
      <c r="F127" s="1969">
        <v>1788.7070911958654</v>
      </c>
      <c r="G127" s="1970">
        <v>27132.0045942857</v>
      </c>
      <c r="H127" s="1970">
        <v>528.29661904761906</v>
      </c>
    </row>
    <row r="128" spans="1:8" s="1389" customFormat="1" ht="21.75" hidden="1" customHeight="1">
      <c r="A128" s="1982">
        <v>41091</v>
      </c>
      <c r="B128" s="1974">
        <v>22</v>
      </c>
      <c r="C128" s="1971">
        <v>5349.9797180510968</v>
      </c>
      <c r="D128" s="1971">
        <v>2662.3849025838758</v>
      </c>
      <c r="E128" s="1972">
        <v>337.62030270935105</v>
      </c>
      <c r="F128" s="1969">
        <v>1757.0258603567993</v>
      </c>
      <c r="G128" s="1970">
        <v>55150</v>
      </c>
      <c r="H128" s="1970">
        <v>835</v>
      </c>
    </row>
    <row r="129" spans="1:8" s="1389" customFormat="1" ht="21.75" hidden="1" customHeight="1">
      <c r="A129" s="1982">
        <v>41122</v>
      </c>
      <c r="B129" s="1974">
        <v>21</v>
      </c>
      <c r="C129" s="1971">
        <v>5245.0794021110551</v>
      </c>
      <c r="D129" s="1972">
        <v>2639.3387503780659</v>
      </c>
      <c r="E129" s="1972">
        <v>333.33846830889098</v>
      </c>
      <c r="F129" s="1969">
        <v>1719.9610192639136</v>
      </c>
      <c r="G129" s="1970">
        <v>44271</v>
      </c>
      <c r="H129" s="1970">
        <v>897</v>
      </c>
    </row>
    <row r="130" spans="1:8" s="1389" customFormat="1" ht="21.75" hidden="1" customHeight="1">
      <c r="A130" s="1982">
        <v>41153</v>
      </c>
      <c r="B130" s="1974">
        <v>19</v>
      </c>
      <c r="C130" s="1971">
        <v>5192.6105554554606</v>
      </c>
      <c r="D130" s="1971">
        <v>2641.6586168231688</v>
      </c>
      <c r="E130" s="1972">
        <v>330.92570796411428</v>
      </c>
      <c r="F130" s="1969">
        <v>1702.112424445781</v>
      </c>
      <c r="G130" s="1970">
        <v>48290</v>
      </c>
      <c r="H130" s="1970">
        <v>1046</v>
      </c>
    </row>
    <row r="131" spans="1:8" s="1389" customFormat="1" ht="21.75" hidden="1" customHeight="1">
      <c r="A131" s="1982">
        <v>41183</v>
      </c>
      <c r="B131" s="1974">
        <v>23</v>
      </c>
      <c r="C131" s="1971">
        <v>5167.6407259096486</v>
      </c>
      <c r="D131" s="1971">
        <v>2596.9531537295984</v>
      </c>
      <c r="E131" s="1972">
        <v>326.87429115643334</v>
      </c>
      <c r="F131" s="1969">
        <v>1692.5891542268419</v>
      </c>
      <c r="G131" s="1970">
        <v>42041</v>
      </c>
      <c r="H131" s="1970">
        <v>1208</v>
      </c>
    </row>
    <row r="132" spans="1:8" s="1389" customFormat="1" ht="21.75" hidden="1" customHeight="1">
      <c r="A132" s="1982">
        <v>41214</v>
      </c>
      <c r="B132" s="1974">
        <v>20</v>
      </c>
      <c r="C132" s="1971">
        <v>5111.2919006366801</v>
      </c>
      <c r="D132" s="1971">
        <v>2552.5462217573104</v>
      </c>
      <c r="E132" s="1972">
        <v>320.88367861160424</v>
      </c>
      <c r="F132" s="1969">
        <v>1663.6266381723792</v>
      </c>
      <c r="G132" s="1970">
        <v>43271</v>
      </c>
      <c r="H132" s="1970">
        <v>2242</v>
      </c>
    </row>
    <row r="133" spans="1:8" s="1389" customFormat="1" ht="21.75" hidden="1" customHeight="1">
      <c r="A133" s="1982">
        <v>41244</v>
      </c>
      <c r="B133" s="1974">
        <v>20</v>
      </c>
      <c r="C133" s="1971">
        <v>5289.9115873023793</v>
      </c>
      <c r="D133" s="1971">
        <v>2678.9063357086279</v>
      </c>
      <c r="E133" s="1972">
        <v>333.15411350648162</v>
      </c>
      <c r="F133" s="1969">
        <v>1710.9982147528208</v>
      </c>
      <c r="G133" s="1970">
        <v>43266</v>
      </c>
      <c r="H133" s="1970">
        <v>976</v>
      </c>
    </row>
    <row r="134" spans="1:8" s="1389" customFormat="1" ht="21.75" hidden="1" customHeight="1">
      <c r="A134" s="1982">
        <v>41275</v>
      </c>
      <c r="B134" s="1974">
        <v>21</v>
      </c>
      <c r="C134" s="1971">
        <v>5491.2625203959324</v>
      </c>
      <c r="D134" s="1971">
        <v>2797.8274260708181</v>
      </c>
      <c r="E134" s="1972">
        <v>347.03893506091526</v>
      </c>
      <c r="F134" s="1969">
        <v>1771.9293336032008</v>
      </c>
      <c r="G134" s="1970">
        <v>50325</v>
      </c>
      <c r="H134" s="1970">
        <v>1480</v>
      </c>
    </row>
    <row r="135" spans="1:8" s="1389" customFormat="1" ht="21.75" hidden="1" customHeight="1">
      <c r="A135" s="1982">
        <v>41306</v>
      </c>
      <c r="B135" s="1974">
        <v>19</v>
      </c>
      <c r="C135" s="1971">
        <v>5711.7698208890888</v>
      </c>
      <c r="D135" s="1971">
        <v>2913.3728545294202</v>
      </c>
      <c r="E135" s="1972">
        <v>361.36561988269057</v>
      </c>
      <c r="F135" s="1969">
        <v>1842.5341962184448</v>
      </c>
      <c r="G135" s="1970">
        <v>56805</v>
      </c>
      <c r="H135" s="1970">
        <v>1454</v>
      </c>
    </row>
    <row r="136" spans="1:8" s="1389" customFormat="1" ht="21.75" hidden="1" customHeight="1">
      <c r="A136" s="1982">
        <v>41334</v>
      </c>
      <c r="B136" s="1974">
        <v>20</v>
      </c>
      <c r="C136" s="1971">
        <v>5905.6085627081156</v>
      </c>
      <c r="D136" s="1971">
        <v>2970.1544057385718</v>
      </c>
      <c r="E136" s="1972">
        <v>378.60650682257977</v>
      </c>
      <c r="F136" s="1969">
        <v>1903.5645159361095</v>
      </c>
      <c r="G136" s="1970">
        <v>44332</v>
      </c>
      <c r="H136" s="1970">
        <v>6979</v>
      </c>
    </row>
    <row r="137" spans="1:8" s="1389" customFormat="1" ht="21.75" hidden="1" customHeight="1">
      <c r="A137" s="1982">
        <v>41365</v>
      </c>
      <c r="B137" s="1974">
        <v>20</v>
      </c>
      <c r="C137" s="1971">
        <v>5925.8694118838303</v>
      </c>
      <c r="D137" s="1971">
        <v>2977.7162584739845</v>
      </c>
      <c r="E137" s="1972">
        <v>379.77221068014592</v>
      </c>
      <c r="F137" s="1969">
        <v>1909.18382824572</v>
      </c>
      <c r="G137" s="1970">
        <v>23747</v>
      </c>
      <c r="H137" s="1970">
        <v>7035</v>
      </c>
    </row>
    <row r="138" spans="1:8" s="1389" customFormat="1" ht="21.75" hidden="1" customHeight="1">
      <c r="A138" s="1983">
        <v>41395</v>
      </c>
      <c r="B138" s="1974">
        <v>22</v>
      </c>
      <c r="C138" s="1971">
        <v>6035.6893429399342</v>
      </c>
      <c r="D138" s="1971">
        <v>3022.7819214621345</v>
      </c>
      <c r="E138" s="1972">
        <v>384.92912600965792</v>
      </c>
      <c r="F138" s="1969">
        <v>1943.3664041456955</v>
      </c>
      <c r="G138" s="1970">
        <v>34240</v>
      </c>
      <c r="H138" s="1970">
        <v>5315</v>
      </c>
    </row>
    <row r="139" spans="1:8" s="1389" customFormat="1" ht="21.75" hidden="1" customHeight="1">
      <c r="A139" s="1983">
        <v>41426</v>
      </c>
      <c r="B139" s="1974">
        <v>20</v>
      </c>
      <c r="C139" s="1971">
        <v>6003.8818344144211</v>
      </c>
      <c r="D139" s="1971">
        <v>3019.4429969149505</v>
      </c>
      <c r="E139" s="1972">
        <v>379.205154828746</v>
      </c>
      <c r="F139" s="1969">
        <v>1929.9368160751917</v>
      </c>
      <c r="G139" s="1970">
        <v>49521</v>
      </c>
      <c r="H139" s="1970">
        <v>13235</v>
      </c>
    </row>
    <row r="140" spans="1:8" s="1389" customFormat="1" ht="21.75" customHeight="1">
      <c r="A140" s="1983">
        <v>41456</v>
      </c>
      <c r="B140" s="1974">
        <v>23</v>
      </c>
      <c r="C140" s="1971">
        <v>5861.2335306335744</v>
      </c>
      <c r="D140" s="1971">
        <v>2932.1836157815283</v>
      </c>
      <c r="E140" s="1972">
        <v>365.89100458220588</v>
      </c>
      <c r="F140" s="1969">
        <v>1873.6728068604425</v>
      </c>
      <c r="G140" s="1970">
        <v>20939</v>
      </c>
      <c r="H140" s="1970">
        <v>2425</v>
      </c>
    </row>
    <row r="141" spans="1:8" s="1389" customFormat="1" ht="21.75" customHeight="1">
      <c r="A141" s="1984">
        <v>41487</v>
      </c>
      <c r="B141" s="1985">
        <v>21</v>
      </c>
      <c r="C141" s="1986">
        <v>5938.6437072263843</v>
      </c>
      <c r="D141" s="1986">
        <v>2987.154768060127</v>
      </c>
      <c r="E141" s="1987">
        <v>371.43416315744048</v>
      </c>
      <c r="F141" s="1988">
        <v>1894.1986776730573</v>
      </c>
      <c r="G141" s="1989">
        <f>35688769.0185714/1000</f>
        <v>35688.769018571402</v>
      </c>
      <c r="H141" s="1989">
        <f>11766444.7619048/1000</f>
        <v>11766.444761904801</v>
      </c>
    </row>
    <row r="142" spans="1:8" s="1389" customFormat="1" ht="21.75" customHeight="1">
      <c r="A142" s="1983">
        <v>41518</v>
      </c>
      <c r="B142" s="1974">
        <v>20</v>
      </c>
      <c r="C142" s="1971">
        <v>6135.9122365628855</v>
      </c>
      <c r="D142" s="1971">
        <v>3089.75435174942</v>
      </c>
      <c r="E142" s="1972">
        <v>378.95210710928052</v>
      </c>
      <c r="F142" s="1969">
        <v>1949.1574629356851</v>
      </c>
      <c r="G142" s="1970">
        <f>45673182.1695/1000</f>
        <v>45673.182169500004</v>
      </c>
      <c r="H142" s="1970">
        <v>15597.3014</v>
      </c>
    </row>
    <row r="143" spans="1:8" s="1389" customFormat="1" ht="21.75" customHeight="1">
      <c r="A143" s="1983">
        <v>41548</v>
      </c>
      <c r="B143" s="1974">
        <v>23</v>
      </c>
      <c r="C143" s="1971">
        <v>6263.9843439559036</v>
      </c>
      <c r="D143" s="1971">
        <v>3209.972628184551</v>
      </c>
      <c r="E143" s="1972">
        <v>388.04733826287656</v>
      </c>
      <c r="F143" s="1969">
        <v>1984.2677177535472</v>
      </c>
      <c r="G143" s="1989">
        <v>71113.644136521732</v>
      </c>
      <c r="H143" s="1989">
        <v>8909.6984347826092</v>
      </c>
    </row>
    <row r="144" spans="1:8" s="1389" customFormat="1" ht="21.75" customHeight="1">
      <c r="A144" s="1983">
        <v>41579</v>
      </c>
      <c r="B144" s="1974">
        <v>23</v>
      </c>
      <c r="C144" s="1971">
        <v>6435.1746965896145</v>
      </c>
      <c r="D144" s="1971">
        <v>3276.4817615889151</v>
      </c>
      <c r="E144" s="1972">
        <v>397.34544073953288</v>
      </c>
      <c r="F144" s="1969">
        <v>2036.8240879558823</v>
      </c>
      <c r="G144" s="1989">
        <v>32633.431793500007</v>
      </c>
      <c r="H144" s="1989">
        <v>3966.7009500000004</v>
      </c>
    </row>
    <row r="145" spans="1:12" s="1389" customFormat="1" ht="21.75" customHeight="1">
      <c r="A145" s="1983">
        <v>41609</v>
      </c>
      <c r="B145" s="1974">
        <v>21</v>
      </c>
      <c r="C145" s="1971">
        <v>6565.9314861770808</v>
      </c>
      <c r="D145" s="1971">
        <v>3365.3160475398963</v>
      </c>
      <c r="E145" s="1972">
        <v>401.65649020014359</v>
      </c>
      <c r="F145" s="1969">
        <v>2064.8483022954238</v>
      </c>
      <c r="G145" s="1989">
        <v>41835.919750952402</v>
      </c>
      <c r="H145" s="1989">
        <v>5609.1432380952401</v>
      </c>
    </row>
    <row r="146" spans="1:12" s="1389" customFormat="1" ht="21.75" customHeight="1">
      <c r="A146" s="1983">
        <v>41640</v>
      </c>
      <c r="B146" s="1974">
        <v>19</v>
      </c>
      <c r="C146" s="1971">
        <v>6752.2293580895366</v>
      </c>
      <c r="D146" s="1971">
        <v>3464.2036812287797</v>
      </c>
      <c r="E146" s="1972">
        <v>407.15387740249116</v>
      </c>
      <c r="F146" s="1969">
        <v>2119.8054832397761</v>
      </c>
      <c r="G146" s="1989">
        <f>58767026.7063158/1000</f>
        <v>58767.026706315803</v>
      </c>
      <c r="H146" s="1989">
        <f>9147190.57894737/1000</f>
        <v>9147.1905789473713</v>
      </c>
    </row>
    <row r="147" spans="1:12" s="1389" customFormat="1" ht="21.75" customHeight="1">
      <c r="A147" s="1983">
        <v>41671</v>
      </c>
      <c r="B147" s="1974">
        <v>18</v>
      </c>
      <c r="C147" s="1971">
        <v>6622.5085866794834</v>
      </c>
      <c r="D147" s="1971">
        <v>3395.5105736274477</v>
      </c>
      <c r="E147" s="1972">
        <v>399.92717494601004</v>
      </c>
      <c r="F147" s="1969">
        <v>2078.3765063013252</v>
      </c>
      <c r="G147" s="1989">
        <f>51213340.6883333/1000</f>
        <v>51213.340688333301</v>
      </c>
      <c r="H147" s="1989">
        <f>6046684.11111111/1000</f>
        <v>6046.6841111111098</v>
      </c>
    </row>
    <row r="148" spans="1:12" s="1389" customFormat="1" ht="21.75" customHeight="1">
      <c r="A148" s="1983">
        <v>41699</v>
      </c>
      <c r="B148" s="1974">
        <v>19</v>
      </c>
      <c r="C148" s="1971">
        <v>6610.4170439451073</v>
      </c>
      <c r="D148" s="1971">
        <v>3406.4342368498687</v>
      </c>
      <c r="E148" s="1972">
        <v>402.2470838394197</v>
      </c>
      <c r="F148" s="1969">
        <v>2073.2155678745858</v>
      </c>
      <c r="G148" s="1989">
        <v>82767.679326315789</v>
      </c>
      <c r="H148" s="1989">
        <v>8674.0475263157896</v>
      </c>
    </row>
    <row r="149" spans="1:12" s="1389" customFormat="1" ht="21.75" customHeight="1">
      <c r="A149" s="1983">
        <v>41730</v>
      </c>
      <c r="B149" s="1974">
        <v>22</v>
      </c>
      <c r="C149" s="1971">
        <v>6677.2</v>
      </c>
      <c r="D149" s="1971">
        <v>3445.81</v>
      </c>
      <c r="E149" s="1972">
        <v>406.44</v>
      </c>
      <c r="F149" s="1969">
        <v>2089.04</v>
      </c>
      <c r="G149" s="1989">
        <v>47264.600630000001</v>
      </c>
      <c r="H149" s="1989">
        <v>8115.54864</v>
      </c>
    </row>
    <row r="150" spans="1:12" s="1389" customFormat="1" ht="21.75" customHeight="1">
      <c r="A150" s="1983">
        <v>41760</v>
      </c>
      <c r="B150" s="1974">
        <v>21</v>
      </c>
      <c r="C150" s="1971">
        <v>6583.58</v>
      </c>
      <c r="D150" s="1971">
        <v>3395.9570834660444</v>
      </c>
      <c r="E150" s="1972">
        <v>402.65869764358536</v>
      </c>
      <c r="F150" s="1969">
        <v>2056.1273025810301</v>
      </c>
      <c r="G150" s="1989">
        <v>69349.756773333298</v>
      </c>
      <c r="H150" s="1989">
        <v>19624.936047619001</v>
      </c>
    </row>
    <row r="151" spans="1:12" s="1389" customFormat="1" ht="21.75" customHeight="1">
      <c r="A151" s="1983">
        <v>41791</v>
      </c>
      <c r="B151" s="1974">
        <v>21</v>
      </c>
      <c r="C151" s="1971">
        <v>6680.5379999999996</v>
      </c>
      <c r="D151" s="1971">
        <v>3422.55</v>
      </c>
      <c r="E151" s="1972">
        <v>403.45600000000002</v>
      </c>
      <c r="F151" s="1969">
        <v>2078.529</v>
      </c>
      <c r="G151" s="1989">
        <v>117258.61</v>
      </c>
      <c r="H151" s="1989">
        <v>12715.77</v>
      </c>
    </row>
    <row r="152" spans="1:12" s="1389" customFormat="1" ht="15.75" customHeight="1" thickBot="1">
      <c r="A152" s="1990">
        <v>41821</v>
      </c>
      <c r="B152" s="1991">
        <v>22</v>
      </c>
      <c r="C152" s="1992">
        <v>6721.4557813452557</v>
      </c>
      <c r="D152" s="1992">
        <v>3438.4133489568339</v>
      </c>
      <c r="E152" s="1993">
        <v>401.17550313104226</v>
      </c>
      <c r="F152" s="1994">
        <v>2081.9618208644174</v>
      </c>
      <c r="G152" s="1995">
        <v>41509</v>
      </c>
      <c r="H152" s="1995">
        <v>9324.2000000000007</v>
      </c>
    </row>
    <row r="153" spans="1:12" s="2000" customFormat="1" ht="12.75" customHeight="1">
      <c r="A153" s="1996"/>
      <c r="B153" s="1997"/>
      <c r="C153" s="1998"/>
      <c r="D153" s="1998"/>
      <c r="E153" s="1999"/>
      <c r="F153" s="1997"/>
      <c r="G153" s="1997"/>
      <c r="H153" s="1997"/>
      <c r="J153" s="1389"/>
      <c r="K153" s="1389"/>
    </row>
    <row r="154" spans="1:12" s="2000" customFormat="1" ht="12.75" customHeight="1">
      <c r="A154" s="1996" t="s">
        <v>3071</v>
      </c>
      <c r="B154" s="1997"/>
      <c r="C154" s="1998"/>
      <c r="D154" s="1998"/>
      <c r="E154" s="1999"/>
      <c r="F154" s="1997"/>
      <c r="G154" s="1997"/>
      <c r="H154" s="1997"/>
    </row>
    <row r="155" spans="1:12" s="2000" customFormat="1" ht="12.75" customHeight="1">
      <c r="A155" s="2001" t="s">
        <v>3072</v>
      </c>
      <c r="B155" s="1997"/>
      <c r="C155" s="1998"/>
      <c r="D155" s="1998"/>
      <c r="E155" s="1999"/>
      <c r="F155" s="1997"/>
      <c r="G155" s="1997"/>
      <c r="H155" s="1389"/>
      <c r="I155" s="1389"/>
      <c r="J155" s="1389"/>
      <c r="K155" s="1389"/>
      <c r="L155" s="1389"/>
    </row>
    <row r="156" spans="1:12" s="2000" customFormat="1" ht="12.75" customHeight="1">
      <c r="A156" s="2000" t="s">
        <v>3073</v>
      </c>
      <c r="C156" s="2002"/>
      <c r="D156" s="2002"/>
      <c r="E156" s="2001"/>
    </row>
    <row r="157" spans="1:12" s="2000" customFormat="1" ht="12.75" customHeight="1">
      <c r="A157" s="1996" t="s">
        <v>3074</v>
      </c>
      <c r="C157" s="2003"/>
      <c r="D157" s="2003"/>
      <c r="H157" s="1389"/>
      <c r="I157" s="1389"/>
      <c r="J157" s="1389"/>
      <c r="K157" s="1389"/>
      <c r="L157" s="1389"/>
    </row>
    <row r="158" spans="1:12" s="2000" customFormat="1" ht="12.75" customHeight="1">
      <c r="A158" s="2001" t="s">
        <v>3075</v>
      </c>
      <c r="C158" s="2003"/>
      <c r="D158" s="2003"/>
      <c r="H158" s="1389"/>
      <c r="I158" s="1389"/>
      <c r="J158" s="1389"/>
      <c r="K158" s="1389"/>
      <c r="L158" s="1389"/>
    </row>
    <row r="159" spans="1:12" s="1407" customFormat="1" ht="57.75" customHeight="1">
      <c r="A159" s="3370" t="s">
        <v>3076</v>
      </c>
      <c r="B159" s="3370"/>
      <c r="C159" s="3370"/>
      <c r="D159" s="3370"/>
      <c r="E159" s="2004"/>
      <c r="F159" s="2005"/>
      <c r="G159" s="2005"/>
      <c r="H159" s="1389"/>
      <c r="I159" s="1389"/>
      <c r="J159" s="1389"/>
      <c r="K159" s="1389"/>
      <c r="L159" s="1389"/>
    </row>
    <row r="160" spans="1:12" ht="12.75" customHeight="1" thickBot="1">
      <c r="A160" s="2006"/>
      <c r="B160" s="2006"/>
      <c r="C160" s="2007"/>
      <c r="D160" s="2008" t="s">
        <v>74</v>
      </c>
      <c r="H160" s="1389"/>
      <c r="I160" s="1389"/>
      <c r="J160" s="1389"/>
      <c r="K160" s="1389"/>
      <c r="L160" s="1389"/>
    </row>
    <row r="161" spans="1:12" ht="46.5" customHeight="1" thickBot="1">
      <c r="A161" s="2009" t="s">
        <v>212</v>
      </c>
      <c r="B161" s="2009" t="s">
        <v>3077</v>
      </c>
      <c r="C161" s="2009" t="s">
        <v>3078</v>
      </c>
      <c r="D161" s="2010" t="s">
        <v>3079</v>
      </c>
      <c r="H161" s="1389"/>
      <c r="I161" s="1389"/>
      <c r="J161" s="1389"/>
      <c r="K161" s="1389"/>
      <c r="L161" s="1389"/>
    </row>
    <row r="162" spans="1:12" ht="16.5" hidden="1" customHeight="1">
      <c r="A162" s="1965">
        <v>40217</v>
      </c>
      <c r="B162" s="2011">
        <v>161.03771599999999</v>
      </c>
      <c r="C162" s="2012">
        <v>131.77647004000002</v>
      </c>
      <c r="D162" s="2013" t="s">
        <v>3080</v>
      </c>
      <c r="E162" s="2014"/>
      <c r="F162" s="2015"/>
    </row>
    <row r="163" spans="1:12" ht="15" hidden="1" customHeight="1">
      <c r="A163" s="1965">
        <v>40245</v>
      </c>
      <c r="B163" s="2011">
        <v>403.32256000000001</v>
      </c>
      <c r="C163" s="2012">
        <v>356.66909319999996</v>
      </c>
      <c r="D163" s="2013" t="s">
        <v>3081</v>
      </c>
      <c r="E163" s="2014"/>
      <c r="F163" s="2015"/>
    </row>
    <row r="164" spans="1:12" ht="15" hidden="1" customHeight="1">
      <c r="A164" s="1965">
        <v>40276</v>
      </c>
      <c r="B164" s="2011">
        <v>521.20303650000005</v>
      </c>
      <c r="C164" s="2012">
        <v>201.15583000000001</v>
      </c>
      <c r="D164" s="2013" t="s">
        <v>3082</v>
      </c>
      <c r="E164" s="2014"/>
      <c r="F164" s="2016"/>
      <c r="G164" s="2017"/>
      <c r="H164" s="2017"/>
    </row>
    <row r="165" spans="1:12" ht="15" hidden="1" customHeight="1">
      <c r="A165" s="1965">
        <v>40306</v>
      </c>
      <c r="B165" s="2011">
        <v>329.135806</v>
      </c>
      <c r="C165" s="2012">
        <v>128.8008695</v>
      </c>
      <c r="D165" s="2013" t="s">
        <v>3083</v>
      </c>
      <c r="E165" s="2014"/>
      <c r="F165" s="2015"/>
      <c r="G165" s="2017"/>
      <c r="H165" s="2017"/>
    </row>
    <row r="166" spans="1:12" ht="15" hidden="1" customHeight="1">
      <c r="A166" s="1965">
        <v>40337</v>
      </c>
      <c r="B166" s="2011">
        <v>207.11887580000001</v>
      </c>
      <c r="C166" s="2012">
        <v>28.417289</v>
      </c>
      <c r="D166" s="2013" t="s">
        <v>3084</v>
      </c>
      <c r="E166" s="2014"/>
      <c r="F166" s="2015"/>
      <c r="G166" s="2017"/>
      <c r="H166" s="2017"/>
    </row>
    <row r="167" spans="1:12" ht="15" hidden="1" customHeight="1">
      <c r="A167" s="1982">
        <v>40367</v>
      </c>
      <c r="B167" s="2011">
        <v>270.14908350000002</v>
      </c>
      <c r="C167" s="2012">
        <v>133.29416225</v>
      </c>
      <c r="D167" s="2013" t="s">
        <v>3085</v>
      </c>
      <c r="E167" s="2014"/>
      <c r="F167" s="2015"/>
      <c r="G167" s="2017"/>
      <c r="H167" s="2017"/>
    </row>
    <row r="168" spans="1:12" ht="15" hidden="1" customHeight="1">
      <c r="A168" s="1982">
        <v>40398</v>
      </c>
      <c r="B168" s="2011">
        <v>217.86438000000001</v>
      </c>
      <c r="C168" s="2012">
        <v>79.483020699999997</v>
      </c>
      <c r="D168" s="2013" t="s">
        <v>3086</v>
      </c>
      <c r="E168" s="2014"/>
      <c r="F168" s="2016"/>
      <c r="G168" s="2015"/>
    </row>
    <row r="169" spans="1:12" ht="15" hidden="1" customHeight="1">
      <c r="A169" s="1982">
        <v>40429</v>
      </c>
      <c r="B169" s="2011">
        <v>388.8727184</v>
      </c>
      <c r="C169" s="2012">
        <v>199.41526140000002</v>
      </c>
      <c r="D169" s="2013" t="s">
        <v>3087</v>
      </c>
      <c r="E169" s="2014"/>
      <c r="F169" s="2015"/>
      <c r="G169" s="2015"/>
    </row>
    <row r="170" spans="1:12" ht="15" hidden="1" customHeight="1">
      <c r="A170" s="1982">
        <v>40459</v>
      </c>
      <c r="B170" s="2011">
        <v>348.71195539999997</v>
      </c>
      <c r="C170" s="2012">
        <v>354.42421330000002</v>
      </c>
      <c r="D170" s="2013" t="s">
        <v>3088</v>
      </c>
      <c r="E170" s="2014"/>
      <c r="F170" s="2015"/>
      <c r="G170" s="2015"/>
    </row>
    <row r="171" spans="1:12" ht="15" hidden="1" customHeight="1">
      <c r="A171" s="1982">
        <v>40490</v>
      </c>
      <c r="B171" s="2011">
        <v>347.89406220000001</v>
      </c>
      <c r="C171" s="2012">
        <v>128.35713510000002</v>
      </c>
      <c r="D171" s="2013" t="s">
        <v>3089</v>
      </c>
      <c r="E171" s="2014"/>
      <c r="F171" s="2015"/>
      <c r="G171" s="2015"/>
    </row>
    <row r="172" spans="1:12" ht="15" hidden="1" customHeight="1">
      <c r="A172" s="1982">
        <v>40520</v>
      </c>
      <c r="B172" s="2011">
        <v>178.9509745</v>
      </c>
      <c r="C172" s="2012">
        <v>55.540696149999995</v>
      </c>
      <c r="D172" s="2013" t="s">
        <v>3090</v>
      </c>
      <c r="E172" s="2014"/>
      <c r="F172" s="2015"/>
    </row>
    <row r="173" spans="1:12" ht="15" hidden="1" customHeight="1">
      <c r="A173" s="1982">
        <v>40551</v>
      </c>
      <c r="B173" s="2018">
        <v>725.55969600000003</v>
      </c>
      <c r="C173" s="2019">
        <v>370.46430950000001</v>
      </c>
      <c r="D173" s="2013" t="s">
        <v>3091</v>
      </c>
      <c r="E173" s="2014"/>
      <c r="F173" s="2015"/>
    </row>
    <row r="174" spans="1:12" ht="15" hidden="1" customHeight="1">
      <c r="A174" s="1982">
        <v>40582</v>
      </c>
      <c r="B174" s="2018">
        <v>154.24198669999998</v>
      </c>
      <c r="C174" s="2020">
        <v>111.00644709999999</v>
      </c>
      <c r="D174" s="2013" t="s">
        <v>3092</v>
      </c>
      <c r="E174" s="2014"/>
      <c r="F174" s="2015"/>
    </row>
    <row r="175" spans="1:12" ht="15" hidden="1" customHeight="1">
      <c r="A175" s="1982">
        <v>40610</v>
      </c>
      <c r="B175" s="2018">
        <v>42.2</v>
      </c>
      <c r="C175" s="2020">
        <v>203.6</v>
      </c>
      <c r="D175" s="2013" t="s">
        <v>3093</v>
      </c>
      <c r="E175" s="2014"/>
      <c r="F175" s="2015"/>
    </row>
    <row r="176" spans="1:12" ht="15" hidden="1" customHeight="1">
      <c r="A176" s="1982">
        <v>40641</v>
      </c>
      <c r="B176" s="2018">
        <v>142.80000000000001</v>
      </c>
      <c r="C176" s="2020">
        <v>119.9</v>
      </c>
      <c r="D176" s="2013" t="s">
        <v>3094</v>
      </c>
      <c r="E176" s="2014"/>
      <c r="F176" s="2015"/>
    </row>
    <row r="177" spans="1:8" ht="15" hidden="1" customHeight="1">
      <c r="A177" s="1982">
        <v>40671</v>
      </c>
      <c r="B177" s="2018">
        <v>246.9</v>
      </c>
      <c r="C177" s="2020">
        <v>263.39999999999998</v>
      </c>
      <c r="D177" s="2013" t="s">
        <v>3095</v>
      </c>
      <c r="E177" s="2014"/>
      <c r="F177" s="2015"/>
    </row>
    <row r="178" spans="1:8" ht="15" hidden="1" customHeight="1">
      <c r="A178" s="1982">
        <v>40702</v>
      </c>
      <c r="B178" s="2018">
        <v>201.6</v>
      </c>
      <c r="C178" s="2020">
        <v>336.5</v>
      </c>
      <c r="D178" s="2013" t="s">
        <v>3096</v>
      </c>
      <c r="E178" s="2014"/>
      <c r="F178" s="2021"/>
    </row>
    <row r="179" spans="1:8" ht="15" hidden="1" customHeight="1">
      <c r="A179" s="1982">
        <v>40732</v>
      </c>
      <c r="B179" s="2018">
        <v>218.3</v>
      </c>
      <c r="C179" s="2020">
        <v>240.4</v>
      </c>
      <c r="D179" s="2013" t="s">
        <v>3097</v>
      </c>
      <c r="E179" s="2014"/>
      <c r="F179" s="2015"/>
      <c r="G179" s="2022"/>
    </row>
    <row r="180" spans="1:8" ht="15" hidden="1" customHeight="1">
      <c r="A180" s="1982">
        <v>40763</v>
      </c>
      <c r="B180" s="2018">
        <v>168.1</v>
      </c>
      <c r="C180" s="2020">
        <v>606.6</v>
      </c>
      <c r="D180" s="2013" t="s">
        <v>3098</v>
      </c>
      <c r="E180" s="2014"/>
      <c r="F180" s="2015"/>
      <c r="G180" s="2022"/>
    </row>
    <row r="181" spans="1:8" ht="15" hidden="1" customHeight="1">
      <c r="A181" s="1982">
        <v>40794</v>
      </c>
      <c r="B181" s="2018">
        <v>130.69999999999999</v>
      </c>
      <c r="C181" s="2020">
        <v>174.4</v>
      </c>
      <c r="D181" s="2013" t="s">
        <v>3099</v>
      </c>
      <c r="E181" s="2014"/>
      <c r="F181" s="2015"/>
      <c r="G181" s="2022"/>
    </row>
    <row r="182" spans="1:8" ht="15" hidden="1" customHeight="1">
      <c r="A182" s="1982">
        <v>40824</v>
      </c>
      <c r="B182" s="2018">
        <v>166.1</v>
      </c>
      <c r="C182" s="2020">
        <v>339.9</v>
      </c>
      <c r="D182" s="2013" t="s">
        <v>3100</v>
      </c>
      <c r="E182" s="2014"/>
      <c r="F182" s="2015"/>
      <c r="G182" s="2022"/>
      <c r="H182" s="2017"/>
    </row>
    <row r="183" spans="1:8" ht="15" hidden="1" customHeight="1">
      <c r="A183" s="1982">
        <v>40855</v>
      </c>
      <c r="B183" s="2018">
        <v>3631.7</v>
      </c>
      <c r="C183" s="2020">
        <v>3694.6</v>
      </c>
      <c r="D183" s="2013" t="s">
        <v>3101</v>
      </c>
      <c r="E183" s="2014"/>
      <c r="F183" s="2015"/>
      <c r="G183" s="2022"/>
      <c r="H183" s="2017"/>
    </row>
    <row r="184" spans="1:8" ht="15" hidden="1" customHeight="1">
      <c r="A184" s="1982">
        <v>40885</v>
      </c>
      <c r="B184" s="2020">
        <v>329.8</v>
      </c>
      <c r="C184" s="2020">
        <v>175.4</v>
      </c>
      <c r="D184" s="2013" t="s">
        <v>3102</v>
      </c>
      <c r="E184" s="2014"/>
      <c r="F184" s="2021"/>
      <c r="G184" s="2022"/>
      <c r="H184" s="2017"/>
    </row>
    <row r="185" spans="1:8" ht="15" hidden="1" customHeight="1">
      <c r="A185" s="1982">
        <v>40916</v>
      </c>
      <c r="B185" s="2020">
        <v>125.6</v>
      </c>
      <c r="C185" s="2020">
        <v>111.1</v>
      </c>
      <c r="D185" s="2013" t="s">
        <v>3103</v>
      </c>
      <c r="E185" s="2014"/>
      <c r="F185" s="2021"/>
      <c r="G185" s="2022"/>
      <c r="H185" s="2017"/>
    </row>
    <row r="186" spans="1:8" ht="15" hidden="1" customHeight="1">
      <c r="A186" s="1982">
        <v>40947</v>
      </c>
      <c r="B186" s="2020">
        <v>180</v>
      </c>
      <c r="C186" s="2020">
        <v>131.6</v>
      </c>
      <c r="D186" s="2013" t="s">
        <v>3104</v>
      </c>
      <c r="E186" s="2014"/>
      <c r="F186" s="2021"/>
      <c r="G186" s="2022"/>
      <c r="H186" s="2017"/>
    </row>
    <row r="187" spans="1:8" ht="15" hidden="1" customHeight="1">
      <c r="A187" s="1982">
        <v>40976</v>
      </c>
      <c r="B187" s="2020">
        <v>151.69999999999999</v>
      </c>
      <c r="C187" s="2020">
        <v>123.2</v>
      </c>
      <c r="D187" s="2013" t="s">
        <v>3105</v>
      </c>
      <c r="E187" s="2014"/>
      <c r="F187" s="2021"/>
      <c r="G187" s="2022"/>
      <c r="H187" s="2017"/>
    </row>
    <row r="188" spans="1:8" ht="15" hidden="1" customHeight="1">
      <c r="A188" s="1982">
        <v>41007</v>
      </c>
      <c r="B188" s="2020">
        <v>311.5</v>
      </c>
      <c r="C188" s="2020">
        <v>291.5</v>
      </c>
      <c r="D188" s="2013" t="s">
        <v>3106</v>
      </c>
      <c r="E188" s="2014"/>
      <c r="F188" s="2021"/>
      <c r="G188" s="2022"/>
      <c r="H188" s="2017"/>
    </row>
    <row r="189" spans="1:8" ht="15" hidden="1" customHeight="1">
      <c r="A189" s="1982">
        <v>41037</v>
      </c>
      <c r="B189" s="2020">
        <v>210.2</v>
      </c>
      <c r="C189" s="2020">
        <v>395.36</v>
      </c>
      <c r="D189" s="2023">
        <v>-185.2</v>
      </c>
      <c r="E189" s="2014"/>
      <c r="F189" s="2021"/>
      <c r="G189" s="2022"/>
      <c r="H189" s="2017"/>
    </row>
    <row r="190" spans="1:8" ht="15" hidden="1" customHeight="1">
      <c r="A190" s="1982">
        <v>41068</v>
      </c>
      <c r="B190" s="2020">
        <v>154.94</v>
      </c>
      <c r="C190" s="2020">
        <v>223.923</v>
      </c>
      <c r="D190" s="2023">
        <v>-68.983000000000004</v>
      </c>
      <c r="E190" s="2014"/>
      <c r="F190" s="2021"/>
      <c r="G190" s="2022"/>
      <c r="H190" s="2017"/>
    </row>
    <row r="191" spans="1:8" ht="15" hidden="1" customHeight="1">
      <c r="A191" s="1982">
        <v>41098</v>
      </c>
      <c r="B191" s="2020">
        <v>389.9</v>
      </c>
      <c r="C191" s="2020">
        <v>344.3</v>
      </c>
      <c r="D191" s="2023" t="s">
        <v>3107</v>
      </c>
      <c r="E191" s="2014"/>
      <c r="F191" s="2021"/>
      <c r="G191" s="2022"/>
      <c r="H191" s="2017"/>
    </row>
    <row r="192" spans="1:8" ht="15" hidden="1" customHeight="1">
      <c r="A192" s="1982">
        <v>41129</v>
      </c>
      <c r="B192" s="2020">
        <v>209.5</v>
      </c>
      <c r="C192" s="2020">
        <v>315.5</v>
      </c>
      <c r="D192" s="2023" t="s">
        <v>3108</v>
      </c>
      <c r="E192" s="2014"/>
      <c r="F192" s="2021"/>
      <c r="G192" s="2022"/>
      <c r="H192" s="2017"/>
    </row>
    <row r="193" spans="1:11" ht="15" hidden="1" customHeight="1">
      <c r="A193" s="1982">
        <v>41160</v>
      </c>
      <c r="B193" s="2020">
        <v>163.1</v>
      </c>
      <c r="C193" s="2020">
        <v>243.9</v>
      </c>
      <c r="D193" s="2023">
        <v>-80.8</v>
      </c>
      <c r="E193" s="2014"/>
      <c r="F193" s="2021"/>
      <c r="G193" s="2022"/>
      <c r="H193" s="2017"/>
    </row>
    <row r="194" spans="1:11" ht="15" hidden="1" customHeight="1">
      <c r="A194" s="1982">
        <v>41190</v>
      </c>
      <c r="B194" s="2020">
        <v>216.6</v>
      </c>
      <c r="C194" s="2020">
        <v>236.5</v>
      </c>
      <c r="D194" s="2023">
        <f>B194-C194</f>
        <v>-19.900000000000006</v>
      </c>
      <c r="E194" s="2014"/>
      <c r="F194" s="2021"/>
      <c r="G194" s="2022"/>
      <c r="H194" s="2017"/>
    </row>
    <row r="195" spans="1:11" ht="15" hidden="1" customHeight="1">
      <c r="A195" s="1982">
        <v>41221</v>
      </c>
      <c r="B195" s="2024">
        <v>347.4</v>
      </c>
      <c r="C195" s="2024">
        <v>135.5</v>
      </c>
      <c r="D195" s="2023">
        <f t="shared" ref="D195:D211" si="0">B195-C195</f>
        <v>211.89999999999998</v>
      </c>
      <c r="E195" s="2014"/>
      <c r="F195" s="2021"/>
      <c r="G195" s="2022"/>
      <c r="H195" s="2025"/>
    </row>
    <row r="196" spans="1:11" ht="15" hidden="1" customHeight="1">
      <c r="A196" s="1982">
        <v>41251</v>
      </c>
      <c r="B196" s="2020">
        <v>313.17</v>
      </c>
      <c r="C196" s="2020">
        <v>120.857</v>
      </c>
      <c r="D196" s="2023">
        <f t="shared" si="0"/>
        <v>192.31300000000002</v>
      </c>
      <c r="E196" s="2014"/>
      <c r="F196" s="2021"/>
      <c r="G196" s="2022"/>
      <c r="H196" s="2017"/>
    </row>
    <row r="197" spans="1:11" ht="15" hidden="1" customHeight="1">
      <c r="A197" s="1982">
        <v>41282</v>
      </c>
      <c r="B197" s="2020">
        <v>530.9</v>
      </c>
      <c r="C197" s="2020">
        <v>391.2</v>
      </c>
      <c r="D197" s="2023">
        <f t="shared" si="0"/>
        <v>139.69999999999999</v>
      </c>
      <c r="E197" s="2014"/>
      <c r="F197" s="2021"/>
      <c r="G197" s="2022"/>
      <c r="H197" s="2017"/>
    </row>
    <row r="198" spans="1:11" ht="15" hidden="1" customHeight="1">
      <c r="A198" s="1982">
        <v>41313</v>
      </c>
      <c r="B198" s="2020">
        <v>565.5</v>
      </c>
      <c r="C198" s="2020">
        <v>447.5</v>
      </c>
      <c r="D198" s="2023">
        <f t="shared" si="0"/>
        <v>118</v>
      </c>
      <c r="E198" s="2014"/>
      <c r="F198" s="2021"/>
      <c r="G198" s="2022"/>
      <c r="H198" s="2017"/>
    </row>
    <row r="199" spans="1:11" ht="15" hidden="1" customHeight="1">
      <c r="A199" s="1982">
        <v>41341</v>
      </c>
      <c r="B199" s="2020">
        <v>384.6</v>
      </c>
      <c r="C199" s="2020">
        <v>129.4</v>
      </c>
      <c r="D199" s="2023">
        <f t="shared" si="0"/>
        <v>255.20000000000002</v>
      </c>
      <c r="E199" s="2014"/>
      <c r="F199" s="2021"/>
      <c r="G199" s="2026"/>
      <c r="H199" s="2026"/>
      <c r="I199" s="2026"/>
      <c r="K199" s="2026"/>
    </row>
    <row r="200" spans="1:11" ht="15" hidden="1" customHeight="1">
      <c r="A200" s="1982">
        <v>41372</v>
      </c>
      <c r="B200" s="2020">
        <v>240.5</v>
      </c>
      <c r="C200" s="2020">
        <v>113.6</v>
      </c>
      <c r="D200" s="2023">
        <f t="shared" si="0"/>
        <v>126.9</v>
      </c>
      <c r="E200" s="2014"/>
      <c r="F200" s="2021"/>
      <c r="G200" s="2022"/>
      <c r="H200" s="2017"/>
    </row>
    <row r="201" spans="1:11" ht="15" hidden="1" customHeight="1">
      <c r="A201" s="1983">
        <v>41402</v>
      </c>
      <c r="B201" s="2020">
        <v>331.9</v>
      </c>
      <c r="C201" s="2020">
        <v>235.2</v>
      </c>
      <c r="D201" s="2023">
        <f t="shared" si="0"/>
        <v>96.699999999999989</v>
      </c>
      <c r="E201" s="2014"/>
      <c r="F201" s="2021"/>
      <c r="G201" s="2022"/>
      <c r="H201" s="2017"/>
    </row>
    <row r="202" spans="1:11" ht="15" hidden="1" customHeight="1">
      <c r="A202" s="1983">
        <v>41433</v>
      </c>
      <c r="B202" s="2020">
        <v>474.5</v>
      </c>
      <c r="C202" s="2020">
        <v>440</v>
      </c>
      <c r="D202" s="2023">
        <f t="shared" si="0"/>
        <v>34.5</v>
      </c>
      <c r="E202" s="2014"/>
      <c r="F202" s="2021"/>
      <c r="G202" s="2022"/>
      <c r="H202" s="2017"/>
      <c r="I202" s="2026"/>
      <c r="J202" s="2026"/>
    </row>
    <row r="203" spans="1:11" ht="15" customHeight="1">
      <c r="A203" s="1983">
        <v>41463</v>
      </c>
      <c r="B203" s="2020">
        <v>167.53213600000001</v>
      </c>
      <c r="C203" s="2024">
        <v>87.90154167</v>
      </c>
      <c r="D203" s="2023">
        <f t="shared" si="0"/>
        <v>79.630594330000008</v>
      </c>
      <c r="E203" s="2014"/>
      <c r="F203" s="2021"/>
      <c r="G203" s="2022"/>
      <c r="H203" s="2017"/>
    </row>
    <row r="204" spans="1:11" ht="15" customHeight="1">
      <c r="A204" s="1983">
        <v>41494</v>
      </c>
      <c r="B204" s="2020">
        <v>300.86</v>
      </c>
      <c r="C204" s="2020">
        <v>275.04000000000002</v>
      </c>
      <c r="D204" s="2023">
        <f t="shared" si="0"/>
        <v>25.819999999999993</v>
      </c>
      <c r="E204" s="2014"/>
      <c r="F204" s="2021"/>
      <c r="G204" s="2022"/>
      <c r="H204" s="2017"/>
    </row>
    <row r="205" spans="1:11" ht="18" customHeight="1">
      <c r="A205" s="1983">
        <v>41525</v>
      </c>
      <c r="B205" s="2024">
        <v>213.7</v>
      </c>
      <c r="C205" s="2020">
        <v>520.1</v>
      </c>
      <c r="D205" s="2023">
        <f t="shared" si="0"/>
        <v>-306.40000000000003</v>
      </c>
      <c r="E205" s="2014"/>
      <c r="F205" s="2021"/>
      <c r="G205" s="2022"/>
      <c r="H205" s="2017"/>
    </row>
    <row r="206" spans="1:11" ht="18" customHeight="1">
      <c r="A206" s="1983">
        <v>41555</v>
      </c>
      <c r="B206" s="2020">
        <v>743.9</v>
      </c>
      <c r="C206" s="2020">
        <v>1020.6</v>
      </c>
      <c r="D206" s="2023">
        <f t="shared" si="0"/>
        <v>-276.70000000000005</v>
      </c>
      <c r="E206" s="2014"/>
      <c r="F206" s="2021"/>
      <c r="G206" s="2022"/>
      <c r="H206" s="2027"/>
      <c r="I206" s="2022"/>
      <c r="J206" s="2022"/>
    </row>
    <row r="207" spans="1:11" ht="18" customHeight="1">
      <c r="A207" s="1983">
        <v>41586</v>
      </c>
      <c r="B207" s="2024">
        <v>184.5</v>
      </c>
      <c r="C207" s="2020">
        <v>112</v>
      </c>
      <c r="D207" s="2023">
        <f t="shared" si="0"/>
        <v>72.5</v>
      </c>
      <c r="E207" s="2014"/>
      <c r="F207" s="2021"/>
      <c r="G207" s="2026"/>
      <c r="H207" s="2026"/>
      <c r="I207" s="2026"/>
      <c r="J207" s="2022"/>
    </row>
    <row r="208" spans="1:11" ht="18" customHeight="1">
      <c r="A208" s="1983">
        <v>41616</v>
      </c>
      <c r="B208" s="2020">
        <v>501.6</v>
      </c>
      <c r="C208" s="2020">
        <v>493.5</v>
      </c>
      <c r="D208" s="2023">
        <f t="shared" si="0"/>
        <v>8.1000000000000227</v>
      </c>
      <c r="E208" s="2014"/>
      <c r="F208" s="2021"/>
      <c r="G208" s="2022"/>
      <c r="H208" s="2027"/>
      <c r="I208" s="2022"/>
      <c r="J208" s="2022"/>
    </row>
    <row r="209" spans="1:10" ht="18" customHeight="1">
      <c r="A209" s="1983">
        <v>41647</v>
      </c>
      <c r="B209" s="2020">
        <v>439.2</v>
      </c>
      <c r="C209" s="2020">
        <v>475</v>
      </c>
      <c r="D209" s="2023">
        <f t="shared" si="0"/>
        <v>-35.800000000000011</v>
      </c>
      <c r="E209" s="2014"/>
      <c r="F209" s="2021"/>
      <c r="G209" s="2022"/>
      <c r="H209" s="2027"/>
      <c r="I209" s="2022"/>
      <c r="J209" s="2022"/>
    </row>
    <row r="210" spans="1:10" ht="18" customHeight="1">
      <c r="A210" s="1983">
        <v>41678</v>
      </c>
      <c r="B210" s="2024">
        <v>455.9</v>
      </c>
      <c r="C210" s="2024">
        <v>475.2</v>
      </c>
      <c r="D210" s="2028">
        <f t="shared" si="0"/>
        <v>-19.300000000000011</v>
      </c>
      <c r="E210" s="2014"/>
      <c r="F210" s="2021"/>
      <c r="G210" s="2021"/>
      <c r="H210" s="2021"/>
      <c r="I210" s="2022"/>
      <c r="J210" s="2022"/>
    </row>
    <row r="211" spans="1:10" ht="18" customHeight="1">
      <c r="A211" s="1983">
        <v>41706</v>
      </c>
      <c r="B211" s="2020">
        <v>159.49</v>
      </c>
      <c r="C211" s="2020">
        <v>257</v>
      </c>
      <c r="D211" s="2023">
        <f t="shared" si="0"/>
        <v>-97.509999999999991</v>
      </c>
      <c r="E211" s="2014"/>
      <c r="F211" s="2021"/>
      <c r="G211" s="2021"/>
      <c r="H211" s="2021"/>
      <c r="I211" s="2022"/>
      <c r="J211" s="2022"/>
    </row>
    <row r="212" spans="1:10" ht="18" customHeight="1">
      <c r="A212" s="1983">
        <v>41737</v>
      </c>
      <c r="B212" s="2020">
        <v>516.6</v>
      </c>
      <c r="C212" s="2020">
        <v>528.29999999999995</v>
      </c>
      <c r="D212" s="2023">
        <f>B212-C212</f>
        <v>-11.699999999999932</v>
      </c>
      <c r="E212" s="2014"/>
      <c r="F212" s="2021"/>
      <c r="G212" s="2021"/>
      <c r="H212" s="2021"/>
      <c r="I212" s="2022"/>
      <c r="J212" s="2022"/>
    </row>
    <row r="213" spans="1:10" ht="18" customHeight="1">
      <c r="A213" s="1983">
        <v>41767</v>
      </c>
      <c r="B213" s="2020">
        <v>924.98</v>
      </c>
      <c r="C213" s="2020">
        <v>641.19000000000005</v>
      </c>
      <c r="D213" s="2023">
        <f>B213-C213</f>
        <v>283.78999999999996</v>
      </c>
      <c r="E213" s="2014"/>
      <c r="F213" s="2021"/>
      <c r="G213" s="2021"/>
      <c r="H213" s="2021"/>
      <c r="I213" s="2022"/>
      <c r="J213" s="2022"/>
    </row>
    <row r="214" spans="1:10" ht="18" customHeight="1">
      <c r="A214" s="1983">
        <v>41798</v>
      </c>
      <c r="B214" s="2020">
        <v>846.45</v>
      </c>
      <c r="C214" s="2020">
        <v>784.9</v>
      </c>
      <c r="D214" s="2023">
        <f>B214-C214</f>
        <v>61.550000000000068</v>
      </c>
      <c r="E214" s="2014"/>
      <c r="F214" s="2021"/>
      <c r="G214" s="2021"/>
      <c r="H214" s="2021"/>
      <c r="I214" s="2022"/>
      <c r="J214" s="2022"/>
    </row>
    <row r="215" spans="1:10" ht="18" customHeight="1" thickBot="1">
      <c r="A215" s="1983">
        <v>41828</v>
      </c>
      <c r="B215" s="2024">
        <v>330.4</v>
      </c>
      <c r="C215" s="2024">
        <v>313.5</v>
      </c>
      <c r="D215" s="2028">
        <f>B215-C215</f>
        <v>16.899999999999977</v>
      </c>
      <c r="E215" s="2014"/>
      <c r="F215" s="2021"/>
      <c r="G215" s="2021"/>
      <c r="H215" s="2021"/>
      <c r="I215" s="2022"/>
      <c r="J215" s="2022"/>
    </row>
    <row r="216" spans="1:10" ht="23.25" customHeight="1" thickBot="1">
      <c r="A216" s="2029" t="s">
        <v>198</v>
      </c>
      <c r="B216" s="2030">
        <f>SUM(B203:B215)</f>
        <v>5785.1121359999988</v>
      </c>
      <c r="C216" s="2030">
        <f>SUM(C203:C215)</f>
        <v>5984.2315416700003</v>
      </c>
      <c r="D216" s="2030">
        <f>B216-C216</f>
        <v>-199.11940567000147</v>
      </c>
      <c r="E216" s="2031"/>
      <c r="F216" s="2021"/>
      <c r="G216" s="2022"/>
      <c r="H216" s="2027"/>
      <c r="I216" s="2026"/>
      <c r="J216" s="2022"/>
    </row>
    <row r="217" spans="1:10" ht="14.25" customHeight="1">
      <c r="A217" s="2032"/>
      <c r="B217" s="2033"/>
      <c r="C217" s="2033"/>
      <c r="D217" s="2033"/>
      <c r="E217" s="2033"/>
      <c r="F217" s="2027"/>
    </row>
    <row r="218" spans="1:10" s="2034" customFormat="1" ht="12.75" customHeight="1">
      <c r="A218" s="1449" t="s">
        <v>3109</v>
      </c>
      <c r="C218" s="2035"/>
      <c r="D218" s="2036"/>
      <c r="E218" s="2037"/>
      <c r="F218" s="2027"/>
    </row>
    <row r="219" spans="1:10" s="2034" customFormat="1" ht="12.75" customHeight="1">
      <c r="A219" s="1449" t="s">
        <v>3075</v>
      </c>
      <c r="C219" s="2035"/>
      <c r="D219" s="2038"/>
      <c r="E219" s="2027"/>
      <c r="F219" s="2027"/>
      <c r="H219" s="2039"/>
    </row>
    <row r="220" spans="1:10" ht="12.75" customHeight="1">
      <c r="B220" s="2040"/>
      <c r="C220" s="2041"/>
      <c r="D220" s="2042"/>
      <c r="E220" s="2027"/>
      <c r="F220" s="2027"/>
      <c r="G220" s="2039"/>
    </row>
    <row r="221" spans="1:10" ht="12.75" hidden="1" customHeight="1">
      <c r="A221" s="2043"/>
    </row>
    <row r="222" spans="1:10" ht="12.75" hidden="1" customHeight="1">
      <c r="B222" s="2044"/>
      <c r="C222" s="1430"/>
      <c r="D222" s="1430"/>
      <c r="E222" s="2045"/>
      <c r="F222" s="2046"/>
      <c r="G222" s="2047"/>
      <c r="H222" s="2047"/>
    </row>
    <row r="223" spans="1:10" ht="12.75" hidden="1" customHeight="1"/>
    <row r="224" spans="1:10" ht="12.75" hidden="1" customHeight="1"/>
    <row r="225" spans="1:7" ht="12.75" hidden="1" customHeight="1"/>
    <row r="226" spans="1:7" ht="12.75" hidden="1" customHeight="1"/>
    <row r="227" spans="1:7" ht="12.75" hidden="1" customHeight="1"/>
    <row r="228" spans="1:7" ht="12.75" customHeight="1">
      <c r="C228" s="2048"/>
      <c r="D228" s="2042"/>
      <c r="E228" s="2027"/>
      <c r="F228" s="2027"/>
      <c r="G228" s="2017"/>
    </row>
    <row r="229" spans="1:7" ht="12.75" customHeight="1">
      <c r="C229" s="2048"/>
      <c r="D229" s="2049"/>
      <c r="E229" s="2017"/>
      <c r="F229" s="2027"/>
    </row>
    <row r="230" spans="1:7">
      <c r="B230" s="2017"/>
      <c r="C230" s="2038"/>
      <c r="D230" s="2038"/>
      <c r="E230" s="2017"/>
      <c r="F230" s="2017"/>
    </row>
    <row r="231" spans="1:7">
      <c r="B231" s="2017"/>
      <c r="C231" s="2038"/>
      <c r="D231" s="2036"/>
      <c r="E231" s="2017"/>
    </row>
    <row r="232" spans="1:7">
      <c r="A232" s="1950"/>
      <c r="B232" s="2017"/>
      <c r="C232" s="2038"/>
      <c r="D232" s="2048"/>
      <c r="E232" s="2017"/>
      <c r="F232" s="2025"/>
      <c r="G232" s="2050"/>
    </row>
    <row r="233" spans="1:7">
      <c r="B233" s="2051"/>
      <c r="C233" s="2038"/>
      <c r="D233" s="2048"/>
      <c r="E233" s="2017"/>
      <c r="F233" s="2017"/>
    </row>
    <row r="234" spans="1:7">
      <c r="B234" s="2027"/>
      <c r="C234" s="2038"/>
      <c r="D234" s="2052"/>
      <c r="E234" s="2050"/>
    </row>
    <row r="235" spans="1:7">
      <c r="B235" s="2017"/>
      <c r="C235" s="2048"/>
      <c r="D235" s="2048"/>
    </row>
    <row r="236" spans="1:7">
      <c r="B236" s="2017"/>
      <c r="D236" s="2048"/>
      <c r="E236" s="2017"/>
      <c r="F236" s="2017"/>
    </row>
    <row r="237" spans="1:7">
      <c r="B237" s="2017"/>
      <c r="C237" s="2038"/>
      <c r="D237" s="2038"/>
    </row>
    <row r="238" spans="1:7">
      <c r="C238" s="2038"/>
      <c r="D238" s="2048"/>
    </row>
    <row r="239" spans="1:7">
      <c r="C239" s="2048"/>
      <c r="D239" s="2048"/>
    </row>
    <row r="240" spans="1:7">
      <c r="D240" s="2048"/>
    </row>
    <row r="241" spans="3:10">
      <c r="D241" s="2048"/>
    </row>
    <row r="242" spans="3:10">
      <c r="C242" s="2048"/>
      <c r="D242" s="2048"/>
    </row>
    <row r="243" spans="3:10">
      <c r="C243" s="2048"/>
      <c r="D243" s="2048"/>
    </row>
    <row r="244" spans="3:10">
      <c r="C244" s="2048"/>
      <c r="D244" s="2048"/>
    </row>
    <row r="245" spans="3:10">
      <c r="D245" s="2048"/>
    </row>
    <row r="255" spans="3:10">
      <c r="J255" s="2027"/>
    </row>
    <row r="256" spans="3:10">
      <c r="J256" s="2027"/>
    </row>
  </sheetData>
  <mergeCells count="3">
    <mergeCell ref="B3:H3"/>
    <mergeCell ref="E4:H4"/>
    <mergeCell ref="A159:D159"/>
  </mergeCells>
  <printOptions horizontalCentered="1" verticalCentered="1"/>
  <pageMargins left="0.74803149606299213" right="0" top="0.51181102362204722" bottom="0" header="0" footer="0"/>
  <pageSetup paperSize="9" scale="76"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0"/>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B4" sqref="B4"/>
    </sheetView>
  </sheetViews>
  <sheetFormatPr defaultRowHeight="15"/>
  <cols>
    <col min="1" max="1" width="26.5703125" style="2057" customWidth="1"/>
    <col min="2" max="2" width="9.140625" style="2057" customWidth="1"/>
    <col min="3" max="3" width="9.7109375" style="2057" customWidth="1"/>
    <col min="4" max="4" width="9.140625" style="2057"/>
    <col min="5" max="6" width="10" style="2057" customWidth="1"/>
    <col min="7" max="7" width="9.85546875" style="2057" customWidth="1"/>
    <col min="8" max="8" width="10" style="2057" customWidth="1"/>
    <col min="9" max="256" width="9.140625" style="2057"/>
    <col min="257" max="257" width="26.5703125" style="2057" customWidth="1"/>
    <col min="258" max="258" width="9.140625" style="2057" customWidth="1"/>
    <col min="259" max="259" width="9.7109375" style="2057" customWidth="1"/>
    <col min="260" max="260" width="9.140625" style="2057"/>
    <col min="261" max="262" width="10" style="2057" customWidth="1"/>
    <col min="263" max="263" width="9.85546875" style="2057" customWidth="1"/>
    <col min="264" max="264" width="10" style="2057" customWidth="1"/>
    <col min="265" max="512" width="9.140625" style="2057"/>
    <col min="513" max="513" width="26.5703125" style="2057" customWidth="1"/>
    <col min="514" max="514" width="9.140625" style="2057" customWidth="1"/>
    <col min="515" max="515" width="9.7109375" style="2057" customWidth="1"/>
    <col min="516" max="516" width="9.140625" style="2057"/>
    <col min="517" max="518" width="10" style="2057" customWidth="1"/>
    <col min="519" max="519" width="9.85546875" style="2057" customWidth="1"/>
    <col min="520" max="520" width="10" style="2057" customWidth="1"/>
    <col min="521" max="768" width="9.140625" style="2057"/>
    <col min="769" max="769" width="26.5703125" style="2057" customWidth="1"/>
    <col min="770" max="770" width="9.140625" style="2057" customWidth="1"/>
    <col min="771" max="771" width="9.7109375" style="2057" customWidth="1"/>
    <col min="772" max="772" width="9.140625" style="2057"/>
    <col min="773" max="774" width="10" style="2057" customWidth="1"/>
    <col min="775" max="775" width="9.85546875" style="2057" customWidth="1"/>
    <col min="776" max="776" width="10" style="2057" customWidth="1"/>
    <col min="777" max="1024" width="9.140625" style="2057"/>
    <col min="1025" max="1025" width="26.5703125" style="2057" customWidth="1"/>
    <col min="1026" max="1026" width="9.140625" style="2057" customWidth="1"/>
    <col min="1027" max="1027" width="9.7109375" style="2057" customWidth="1"/>
    <col min="1028" max="1028" width="9.140625" style="2057"/>
    <col min="1029" max="1030" width="10" style="2057" customWidth="1"/>
    <col min="1031" max="1031" width="9.85546875" style="2057" customWidth="1"/>
    <col min="1032" max="1032" width="10" style="2057" customWidth="1"/>
    <col min="1033" max="1280" width="9.140625" style="2057"/>
    <col min="1281" max="1281" width="26.5703125" style="2057" customWidth="1"/>
    <col min="1282" max="1282" width="9.140625" style="2057" customWidth="1"/>
    <col min="1283" max="1283" width="9.7109375" style="2057" customWidth="1"/>
    <col min="1284" max="1284" width="9.140625" style="2057"/>
    <col min="1285" max="1286" width="10" style="2057" customWidth="1"/>
    <col min="1287" max="1287" width="9.85546875" style="2057" customWidth="1"/>
    <col min="1288" max="1288" width="10" style="2057" customWidth="1"/>
    <col min="1289" max="1536" width="9.140625" style="2057"/>
    <col min="1537" max="1537" width="26.5703125" style="2057" customWidth="1"/>
    <col min="1538" max="1538" width="9.140625" style="2057" customWidth="1"/>
    <col min="1539" max="1539" width="9.7109375" style="2057" customWidth="1"/>
    <col min="1540" max="1540" width="9.140625" style="2057"/>
    <col min="1541" max="1542" width="10" style="2057" customWidth="1"/>
    <col min="1543" max="1543" width="9.85546875" style="2057" customWidth="1"/>
    <col min="1544" max="1544" width="10" style="2057" customWidth="1"/>
    <col min="1545" max="1792" width="9.140625" style="2057"/>
    <col min="1793" max="1793" width="26.5703125" style="2057" customWidth="1"/>
    <col min="1794" max="1794" width="9.140625" style="2057" customWidth="1"/>
    <col min="1795" max="1795" width="9.7109375" style="2057" customWidth="1"/>
    <col min="1796" max="1796" width="9.140625" style="2057"/>
    <col min="1797" max="1798" width="10" style="2057" customWidth="1"/>
    <col min="1799" max="1799" width="9.85546875" style="2057" customWidth="1"/>
    <col min="1800" max="1800" width="10" style="2057" customWidth="1"/>
    <col min="1801" max="2048" width="9.140625" style="2057"/>
    <col min="2049" max="2049" width="26.5703125" style="2057" customWidth="1"/>
    <col min="2050" max="2050" width="9.140625" style="2057" customWidth="1"/>
    <col min="2051" max="2051" width="9.7109375" style="2057" customWidth="1"/>
    <col min="2052" max="2052" width="9.140625" style="2057"/>
    <col min="2053" max="2054" width="10" style="2057" customWidth="1"/>
    <col min="2055" max="2055" width="9.85546875" style="2057" customWidth="1"/>
    <col min="2056" max="2056" width="10" style="2057" customWidth="1"/>
    <col min="2057" max="2304" width="9.140625" style="2057"/>
    <col min="2305" max="2305" width="26.5703125" style="2057" customWidth="1"/>
    <col min="2306" max="2306" width="9.140625" style="2057" customWidth="1"/>
    <col min="2307" max="2307" width="9.7109375" style="2057" customWidth="1"/>
    <col min="2308" max="2308" width="9.140625" style="2057"/>
    <col min="2309" max="2310" width="10" style="2057" customWidth="1"/>
    <col min="2311" max="2311" width="9.85546875" style="2057" customWidth="1"/>
    <col min="2312" max="2312" width="10" style="2057" customWidth="1"/>
    <col min="2313" max="2560" width="9.140625" style="2057"/>
    <col min="2561" max="2561" width="26.5703125" style="2057" customWidth="1"/>
    <col min="2562" max="2562" width="9.140625" style="2057" customWidth="1"/>
    <col min="2563" max="2563" width="9.7109375" style="2057" customWidth="1"/>
    <col min="2564" max="2564" width="9.140625" style="2057"/>
    <col min="2565" max="2566" width="10" style="2057" customWidth="1"/>
    <col min="2567" max="2567" width="9.85546875" style="2057" customWidth="1"/>
    <col min="2568" max="2568" width="10" style="2057" customWidth="1"/>
    <col min="2569" max="2816" width="9.140625" style="2057"/>
    <col min="2817" max="2817" width="26.5703125" style="2057" customWidth="1"/>
    <col min="2818" max="2818" width="9.140625" style="2057" customWidth="1"/>
    <col min="2819" max="2819" width="9.7109375" style="2057" customWidth="1"/>
    <col min="2820" max="2820" width="9.140625" style="2057"/>
    <col min="2821" max="2822" width="10" style="2057" customWidth="1"/>
    <col min="2823" max="2823" width="9.85546875" style="2057" customWidth="1"/>
    <col min="2824" max="2824" width="10" style="2057" customWidth="1"/>
    <col min="2825" max="3072" width="9.140625" style="2057"/>
    <col min="3073" max="3073" width="26.5703125" style="2057" customWidth="1"/>
    <col min="3074" max="3074" width="9.140625" style="2057" customWidth="1"/>
    <col min="3075" max="3075" width="9.7109375" style="2057" customWidth="1"/>
    <col min="3076" max="3076" width="9.140625" style="2057"/>
    <col min="3077" max="3078" width="10" style="2057" customWidth="1"/>
    <col min="3079" max="3079" width="9.85546875" style="2057" customWidth="1"/>
    <col min="3080" max="3080" width="10" style="2057" customWidth="1"/>
    <col min="3081" max="3328" width="9.140625" style="2057"/>
    <col min="3329" max="3329" width="26.5703125" style="2057" customWidth="1"/>
    <col min="3330" max="3330" width="9.140625" style="2057" customWidth="1"/>
    <col min="3331" max="3331" width="9.7109375" style="2057" customWidth="1"/>
    <col min="3332" max="3332" width="9.140625" style="2057"/>
    <col min="3333" max="3334" width="10" style="2057" customWidth="1"/>
    <col min="3335" max="3335" width="9.85546875" style="2057" customWidth="1"/>
    <col min="3336" max="3336" width="10" style="2057" customWidth="1"/>
    <col min="3337" max="3584" width="9.140625" style="2057"/>
    <col min="3585" max="3585" width="26.5703125" style="2057" customWidth="1"/>
    <col min="3586" max="3586" width="9.140625" style="2057" customWidth="1"/>
    <col min="3587" max="3587" width="9.7109375" style="2057" customWidth="1"/>
    <col min="3588" max="3588" width="9.140625" style="2057"/>
    <col min="3589" max="3590" width="10" style="2057" customWidth="1"/>
    <col min="3591" max="3591" width="9.85546875" style="2057" customWidth="1"/>
    <col min="3592" max="3592" width="10" style="2057" customWidth="1"/>
    <col min="3593" max="3840" width="9.140625" style="2057"/>
    <col min="3841" max="3841" width="26.5703125" style="2057" customWidth="1"/>
    <col min="3842" max="3842" width="9.140625" style="2057" customWidth="1"/>
    <col min="3843" max="3843" width="9.7109375" style="2057" customWidth="1"/>
    <col min="3844" max="3844" width="9.140625" style="2057"/>
    <col min="3845" max="3846" width="10" style="2057" customWidth="1"/>
    <col min="3847" max="3847" width="9.85546875" style="2057" customWidth="1"/>
    <col min="3848" max="3848" width="10" style="2057" customWidth="1"/>
    <col min="3849" max="4096" width="9.140625" style="2057"/>
    <col min="4097" max="4097" width="26.5703125" style="2057" customWidth="1"/>
    <col min="4098" max="4098" width="9.140625" style="2057" customWidth="1"/>
    <col min="4099" max="4099" width="9.7109375" style="2057" customWidth="1"/>
    <col min="4100" max="4100" width="9.140625" style="2057"/>
    <col min="4101" max="4102" width="10" style="2057" customWidth="1"/>
    <col min="4103" max="4103" width="9.85546875" style="2057" customWidth="1"/>
    <col min="4104" max="4104" width="10" style="2057" customWidth="1"/>
    <col min="4105" max="4352" width="9.140625" style="2057"/>
    <col min="4353" max="4353" width="26.5703125" style="2057" customWidth="1"/>
    <col min="4354" max="4354" width="9.140625" style="2057" customWidth="1"/>
    <col min="4355" max="4355" width="9.7109375" style="2057" customWidth="1"/>
    <col min="4356" max="4356" width="9.140625" style="2057"/>
    <col min="4357" max="4358" width="10" style="2057" customWidth="1"/>
    <col min="4359" max="4359" width="9.85546875" style="2057" customWidth="1"/>
    <col min="4360" max="4360" width="10" style="2057" customWidth="1"/>
    <col min="4361" max="4608" width="9.140625" style="2057"/>
    <col min="4609" max="4609" width="26.5703125" style="2057" customWidth="1"/>
    <col min="4610" max="4610" width="9.140625" style="2057" customWidth="1"/>
    <col min="4611" max="4611" width="9.7109375" style="2057" customWidth="1"/>
    <col min="4612" max="4612" width="9.140625" style="2057"/>
    <col min="4613" max="4614" width="10" style="2057" customWidth="1"/>
    <col min="4615" max="4615" width="9.85546875" style="2057" customWidth="1"/>
    <col min="4616" max="4616" width="10" style="2057" customWidth="1"/>
    <col min="4617" max="4864" width="9.140625" style="2057"/>
    <col min="4865" max="4865" width="26.5703125" style="2057" customWidth="1"/>
    <col min="4866" max="4866" width="9.140625" style="2057" customWidth="1"/>
    <col min="4867" max="4867" width="9.7109375" style="2057" customWidth="1"/>
    <col min="4868" max="4868" width="9.140625" style="2057"/>
    <col min="4869" max="4870" width="10" style="2057" customWidth="1"/>
    <col min="4871" max="4871" width="9.85546875" style="2057" customWidth="1"/>
    <col min="4872" max="4872" width="10" style="2057" customWidth="1"/>
    <col min="4873" max="5120" width="9.140625" style="2057"/>
    <col min="5121" max="5121" width="26.5703125" style="2057" customWidth="1"/>
    <col min="5122" max="5122" width="9.140625" style="2057" customWidth="1"/>
    <col min="5123" max="5123" width="9.7109375" style="2057" customWidth="1"/>
    <col min="5124" max="5124" width="9.140625" style="2057"/>
    <col min="5125" max="5126" width="10" style="2057" customWidth="1"/>
    <col min="5127" max="5127" width="9.85546875" style="2057" customWidth="1"/>
    <col min="5128" max="5128" width="10" style="2057" customWidth="1"/>
    <col min="5129" max="5376" width="9.140625" style="2057"/>
    <col min="5377" max="5377" width="26.5703125" style="2057" customWidth="1"/>
    <col min="5378" max="5378" width="9.140625" style="2057" customWidth="1"/>
    <col min="5379" max="5379" width="9.7109375" style="2057" customWidth="1"/>
    <col min="5380" max="5380" width="9.140625" style="2057"/>
    <col min="5381" max="5382" width="10" style="2057" customWidth="1"/>
    <col min="5383" max="5383" width="9.85546875" style="2057" customWidth="1"/>
    <col min="5384" max="5384" width="10" style="2057" customWidth="1"/>
    <col min="5385" max="5632" width="9.140625" style="2057"/>
    <col min="5633" max="5633" width="26.5703125" style="2057" customWidth="1"/>
    <col min="5634" max="5634" width="9.140625" style="2057" customWidth="1"/>
    <col min="5635" max="5635" width="9.7109375" style="2057" customWidth="1"/>
    <col min="5636" max="5636" width="9.140625" style="2057"/>
    <col min="5637" max="5638" width="10" style="2057" customWidth="1"/>
    <col min="5639" max="5639" width="9.85546875" style="2057" customWidth="1"/>
    <col min="5640" max="5640" width="10" style="2057" customWidth="1"/>
    <col min="5641" max="5888" width="9.140625" style="2057"/>
    <col min="5889" max="5889" width="26.5703125" style="2057" customWidth="1"/>
    <col min="5890" max="5890" width="9.140625" style="2057" customWidth="1"/>
    <col min="5891" max="5891" width="9.7109375" style="2057" customWidth="1"/>
    <col min="5892" max="5892" width="9.140625" style="2057"/>
    <col min="5893" max="5894" width="10" style="2057" customWidth="1"/>
    <col min="5895" max="5895" width="9.85546875" style="2057" customWidth="1"/>
    <col min="5896" max="5896" width="10" style="2057" customWidth="1"/>
    <col min="5897" max="6144" width="9.140625" style="2057"/>
    <col min="6145" max="6145" width="26.5703125" style="2057" customWidth="1"/>
    <col min="6146" max="6146" width="9.140625" style="2057" customWidth="1"/>
    <col min="6147" max="6147" width="9.7109375" style="2057" customWidth="1"/>
    <col min="6148" max="6148" width="9.140625" style="2057"/>
    <col min="6149" max="6150" width="10" style="2057" customWidth="1"/>
    <col min="6151" max="6151" width="9.85546875" style="2057" customWidth="1"/>
    <col min="6152" max="6152" width="10" style="2057" customWidth="1"/>
    <col min="6153" max="6400" width="9.140625" style="2057"/>
    <col min="6401" max="6401" width="26.5703125" style="2057" customWidth="1"/>
    <col min="6402" max="6402" width="9.140625" style="2057" customWidth="1"/>
    <col min="6403" max="6403" width="9.7109375" style="2057" customWidth="1"/>
    <col min="6404" max="6404" width="9.140625" style="2057"/>
    <col min="6405" max="6406" width="10" style="2057" customWidth="1"/>
    <col min="6407" max="6407" width="9.85546875" style="2057" customWidth="1"/>
    <col min="6408" max="6408" width="10" style="2057" customWidth="1"/>
    <col min="6409" max="6656" width="9.140625" style="2057"/>
    <col min="6657" max="6657" width="26.5703125" style="2057" customWidth="1"/>
    <col min="6658" max="6658" width="9.140625" style="2057" customWidth="1"/>
    <col min="6659" max="6659" width="9.7109375" style="2057" customWidth="1"/>
    <col min="6660" max="6660" width="9.140625" style="2057"/>
    <col min="6661" max="6662" width="10" style="2057" customWidth="1"/>
    <col min="6663" max="6663" width="9.85546875" style="2057" customWidth="1"/>
    <col min="6664" max="6664" width="10" style="2057" customWidth="1"/>
    <col min="6665" max="6912" width="9.140625" style="2057"/>
    <col min="6913" max="6913" width="26.5703125" style="2057" customWidth="1"/>
    <col min="6914" max="6914" width="9.140625" style="2057" customWidth="1"/>
    <col min="6915" max="6915" width="9.7109375" style="2057" customWidth="1"/>
    <col min="6916" max="6916" width="9.140625" style="2057"/>
    <col min="6917" max="6918" width="10" style="2057" customWidth="1"/>
    <col min="6919" max="6919" width="9.85546875" style="2057" customWidth="1"/>
    <col min="6920" max="6920" width="10" style="2057" customWidth="1"/>
    <col min="6921" max="7168" width="9.140625" style="2057"/>
    <col min="7169" max="7169" width="26.5703125" style="2057" customWidth="1"/>
    <col min="7170" max="7170" width="9.140625" style="2057" customWidth="1"/>
    <col min="7171" max="7171" width="9.7109375" style="2057" customWidth="1"/>
    <col min="7172" max="7172" width="9.140625" style="2057"/>
    <col min="7173" max="7174" width="10" style="2057" customWidth="1"/>
    <col min="7175" max="7175" width="9.85546875" style="2057" customWidth="1"/>
    <col min="7176" max="7176" width="10" style="2057" customWidth="1"/>
    <col min="7177" max="7424" width="9.140625" style="2057"/>
    <col min="7425" max="7425" width="26.5703125" style="2057" customWidth="1"/>
    <col min="7426" max="7426" width="9.140625" style="2057" customWidth="1"/>
    <col min="7427" max="7427" width="9.7109375" style="2057" customWidth="1"/>
    <col min="7428" max="7428" width="9.140625" style="2057"/>
    <col min="7429" max="7430" width="10" style="2057" customWidth="1"/>
    <col min="7431" max="7431" width="9.85546875" style="2057" customWidth="1"/>
    <col min="7432" max="7432" width="10" style="2057" customWidth="1"/>
    <col min="7433" max="7680" width="9.140625" style="2057"/>
    <col min="7681" max="7681" width="26.5703125" style="2057" customWidth="1"/>
    <col min="7682" max="7682" width="9.140625" style="2057" customWidth="1"/>
    <col min="7683" max="7683" width="9.7109375" style="2057" customWidth="1"/>
    <col min="7684" max="7684" width="9.140625" style="2057"/>
    <col min="7685" max="7686" width="10" style="2057" customWidth="1"/>
    <col min="7687" max="7687" width="9.85546875" style="2057" customWidth="1"/>
    <col min="7688" max="7688" width="10" style="2057" customWidth="1"/>
    <col min="7689" max="7936" width="9.140625" style="2057"/>
    <col min="7937" max="7937" width="26.5703125" style="2057" customWidth="1"/>
    <col min="7938" max="7938" width="9.140625" style="2057" customWidth="1"/>
    <col min="7939" max="7939" width="9.7109375" style="2057" customWidth="1"/>
    <col min="7940" max="7940" width="9.140625" style="2057"/>
    <col min="7941" max="7942" width="10" style="2057" customWidth="1"/>
    <col min="7943" max="7943" width="9.85546875" style="2057" customWidth="1"/>
    <col min="7944" max="7944" width="10" style="2057" customWidth="1"/>
    <col min="7945" max="8192" width="9.140625" style="2057"/>
    <col min="8193" max="8193" width="26.5703125" style="2057" customWidth="1"/>
    <col min="8194" max="8194" width="9.140625" style="2057" customWidth="1"/>
    <col min="8195" max="8195" width="9.7109375" style="2057" customWidth="1"/>
    <col min="8196" max="8196" width="9.140625" style="2057"/>
    <col min="8197" max="8198" width="10" style="2057" customWidth="1"/>
    <col min="8199" max="8199" width="9.85546875" style="2057" customWidth="1"/>
    <col min="8200" max="8200" width="10" style="2057" customWidth="1"/>
    <col min="8201" max="8448" width="9.140625" style="2057"/>
    <col min="8449" max="8449" width="26.5703125" style="2057" customWidth="1"/>
    <col min="8450" max="8450" width="9.140625" style="2057" customWidth="1"/>
    <col min="8451" max="8451" width="9.7109375" style="2057" customWidth="1"/>
    <col min="8452" max="8452" width="9.140625" style="2057"/>
    <col min="8453" max="8454" width="10" style="2057" customWidth="1"/>
    <col min="8455" max="8455" width="9.85546875" style="2057" customWidth="1"/>
    <col min="8456" max="8456" width="10" style="2057" customWidth="1"/>
    <col min="8457" max="8704" width="9.140625" style="2057"/>
    <col min="8705" max="8705" width="26.5703125" style="2057" customWidth="1"/>
    <col min="8706" max="8706" width="9.140625" style="2057" customWidth="1"/>
    <col min="8707" max="8707" width="9.7109375" style="2057" customWidth="1"/>
    <col min="8708" max="8708" width="9.140625" style="2057"/>
    <col min="8709" max="8710" width="10" style="2057" customWidth="1"/>
    <col min="8711" max="8711" width="9.85546875" style="2057" customWidth="1"/>
    <col min="8712" max="8712" width="10" style="2057" customWidth="1"/>
    <col min="8713" max="8960" width="9.140625" style="2057"/>
    <col min="8961" max="8961" width="26.5703125" style="2057" customWidth="1"/>
    <col min="8962" max="8962" width="9.140625" style="2057" customWidth="1"/>
    <col min="8963" max="8963" width="9.7109375" style="2057" customWidth="1"/>
    <col min="8964" max="8964" width="9.140625" style="2057"/>
    <col min="8965" max="8966" width="10" style="2057" customWidth="1"/>
    <col min="8967" max="8967" width="9.85546875" style="2057" customWidth="1"/>
    <col min="8968" max="8968" width="10" style="2057" customWidth="1"/>
    <col min="8969" max="9216" width="9.140625" style="2057"/>
    <col min="9217" max="9217" width="26.5703125" style="2057" customWidth="1"/>
    <col min="9218" max="9218" width="9.140625" style="2057" customWidth="1"/>
    <col min="9219" max="9219" width="9.7109375" style="2057" customWidth="1"/>
    <col min="9220" max="9220" width="9.140625" style="2057"/>
    <col min="9221" max="9222" width="10" style="2057" customWidth="1"/>
    <col min="9223" max="9223" width="9.85546875" style="2057" customWidth="1"/>
    <col min="9224" max="9224" width="10" style="2057" customWidth="1"/>
    <col min="9225" max="9472" width="9.140625" style="2057"/>
    <col min="9473" max="9473" width="26.5703125" style="2057" customWidth="1"/>
    <col min="9474" max="9474" width="9.140625" style="2057" customWidth="1"/>
    <col min="9475" max="9475" width="9.7109375" style="2057" customWidth="1"/>
    <col min="9476" max="9476" width="9.140625" style="2057"/>
    <col min="9477" max="9478" width="10" style="2057" customWidth="1"/>
    <col min="9479" max="9479" width="9.85546875" style="2057" customWidth="1"/>
    <col min="9480" max="9480" width="10" style="2057" customWidth="1"/>
    <col min="9481" max="9728" width="9.140625" style="2057"/>
    <col min="9729" max="9729" width="26.5703125" style="2057" customWidth="1"/>
    <col min="9730" max="9730" width="9.140625" style="2057" customWidth="1"/>
    <col min="9731" max="9731" width="9.7109375" style="2057" customWidth="1"/>
    <col min="9732" max="9732" width="9.140625" style="2057"/>
    <col min="9733" max="9734" width="10" style="2057" customWidth="1"/>
    <col min="9735" max="9735" width="9.85546875" style="2057" customWidth="1"/>
    <col min="9736" max="9736" width="10" style="2057" customWidth="1"/>
    <col min="9737" max="9984" width="9.140625" style="2057"/>
    <col min="9985" max="9985" width="26.5703125" style="2057" customWidth="1"/>
    <col min="9986" max="9986" width="9.140625" style="2057" customWidth="1"/>
    <col min="9987" max="9987" width="9.7109375" style="2057" customWidth="1"/>
    <col min="9988" max="9988" width="9.140625" style="2057"/>
    <col min="9989" max="9990" width="10" style="2057" customWidth="1"/>
    <col min="9991" max="9991" width="9.85546875" style="2057" customWidth="1"/>
    <col min="9992" max="9992" width="10" style="2057" customWidth="1"/>
    <col min="9993" max="10240" width="9.140625" style="2057"/>
    <col min="10241" max="10241" width="26.5703125" style="2057" customWidth="1"/>
    <col min="10242" max="10242" width="9.140625" style="2057" customWidth="1"/>
    <col min="10243" max="10243" width="9.7109375" style="2057" customWidth="1"/>
    <col min="10244" max="10244" width="9.140625" style="2057"/>
    <col min="10245" max="10246" width="10" style="2057" customWidth="1"/>
    <col min="10247" max="10247" width="9.85546875" style="2057" customWidth="1"/>
    <col min="10248" max="10248" width="10" style="2057" customWidth="1"/>
    <col min="10249" max="10496" width="9.140625" style="2057"/>
    <col min="10497" max="10497" width="26.5703125" style="2057" customWidth="1"/>
    <col min="10498" max="10498" width="9.140625" style="2057" customWidth="1"/>
    <col min="10499" max="10499" width="9.7109375" style="2057" customWidth="1"/>
    <col min="10500" max="10500" width="9.140625" style="2057"/>
    <col min="10501" max="10502" width="10" style="2057" customWidth="1"/>
    <col min="10503" max="10503" width="9.85546875" style="2057" customWidth="1"/>
    <col min="10504" max="10504" width="10" style="2057" customWidth="1"/>
    <col min="10505" max="10752" width="9.140625" style="2057"/>
    <col min="10753" max="10753" width="26.5703125" style="2057" customWidth="1"/>
    <col min="10754" max="10754" width="9.140625" style="2057" customWidth="1"/>
    <col min="10755" max="10755" width="9.7109375" style="2057" customWidth="1"/>
    <col min="10756" max="10756" width="9.140625" style="2057"/>
    <col min="10757" max="10758" width="10" style="2057" customWidth="1"/>
    <col min="10759" max="10759" width="9.85546875" style="2057" customWidth="1"/>
    <col min="10760" max="10760" width="10" style="2057" customWidth="1"/>
    <col min="10761" max="11008" width="9.140625" style="2057"/>
    <col min="11009" max="11009" width="26.5703125" style="2057" customWidth="1"/>
    <col min="11010" max="11010" width="9.140625" style="2057" customWidth="1"/>
    <col min="11011" max="11011" width="9.7109375" style="2057" customWidth="1"/>
    <col min="11012" max="11012" width="9.140625" style="2057"/>
    <col min="11013" max="11014" width="10" style="2057" customWidth="1"/>
    <col min="11015" max="11015" width="9.85546875" style="2057" customWidth="1"/>
    <col min="11016" max="11016" width="10" style="2057" customWidth="1"/>
    <col min="11017" max="11264" width="9.140625" style="2057"/>
    <col min="11265" max="11265" width="26.5703125" style="2057" customWidth="1"/>
    <col min="11266" max="11266" width="9.140625" style="2057" customWidth="1"/>
    <col min="11267" max="11267" width="9.7109375" style="2057" customWidth="1"/>
    <col min="11268" max="11268" width="9.140625" style="2057"/>
    <col min="11269" max="11270" width="10" style="2057" customWidth="1"/>
    <col min="11271" max="11271" width="9.85546875" style="2057" customWidth="1"/>
    <col min="11272" max="11272" width="10" style="2057" customWidth="1"/>
    <col min="11273" max="11520" width="9.140625" style="2057"/>
    <col min="11521" max="11521" width="26.5703125" style="2057" customWidth="1"/>
    <col min="11522" max="11522" width="9.140625" style="2057" customWidth="1"/>
    <col min="11523" max="11523" width="9.7109375" style="2057" customWidth="1"/>
    <col min="11524" max="11524" width="9.140625" style="2057"/>
    <col min="11525" max="11526" width="10" style="2057" customWidth="1"/>
    <col min="11527" max="11527" width="9.85546875" style="2057" customWidth="1"/>
    <col min="11528" max="11528" width="10" style="2057" customWidth="1"/>
    <col min="11529" max="11776" width="9.140625" style="2057"/>
    <col min="11777" max="11777" width="26.5703125" style="2057" customWidth="1"/>
    <col min="11778" max="11778" width="9.140625" style="2057" customWidth="1"/>
    <col min="11779" max="11779" width="9.7109375" style="2057" customWidth="1"/>
    <col min="11780" max="11780" width="9.140625" style="2057"/>
    <col min="11781" max="11782" width="10" style="2057" customWidth="1"/>
    <col min="11783" max="11783" width="9.85546875" style="2057" customWidth="1"/>
    <col min="11784" max="11784" width="10" style="2057" customWidth="1"/>
    <col min="11785" max="12032" width="9.140625" style="2057"/>
    <col min="12033" max="12033" width="26.5703125" style="2057" customWidth="1"/>
    <col min="12034" max="12034" width="9.140625" style="2057" customWidth="1"/>
    <col min="12035" max="12035" width="9.7109375" style="2057" customWidth="1"/>
    <col min="12036" max="12036" width="9.140625" style="2057"/>
    <col min="12037" max="12038" width="10" style="2057" customWidth="1"/>
    <col min="12039" max="12039" width="9.85546875" style="2057" customWidth="1"/>
    <col min="12040" max="12040" width="10" style="2057" customWidth="1"/>
    <col min="12041" max="12288" width="9.140625" style="2057"/>
    <col min="12289" max="12289" width="26.5703125" style="2057" customWidth="1"/>
    <col min="12290" max="12290" width="9.140625" style="2057" customWidth="1"/>
    <col min="12291" max="12291" width="9.7109375" style="2057" customWidth="1"/>
    <col min="12292" max="12292" width="9.140625" style="2057"/>
    <col min="12293" max="12294" width="10" style="2057" customWidth="1"/>
    <col min="12295" max="12295" width="9.85546875" style="2057" customWidth="1"/>
    <col min="12296" max="12296" width="10" style="2057" customWidth="1"/>
    <col min="12297" max="12544" width="9.140625" style="2057"/>
    <col min="12545" max="12545" width="26.5703125" style="2057" customWidth="1"/>
    <col min="12546" max="12546" width="9.140625" style="2057" customWidth="1"/>
    <col min="12547" max="12547" width="9.7109375" style="2057" customWidth="1"/>
    <col min="12548" max="12548" width="9.140625" style="2057"/>
    <col min="12549" max="12550" width="10" style="2057" customWidth="1"/>
    <col min="12551" max="12551" width="9.85546875" style="2057" customWidth="1"/>
    <col min="12552" max="12552" width="10" style="2057" customWidth="1"/>
    <col min="12553" max="12800" width="9.140625" style="2057"/>
    <col min="12801" max="12801" width="26.5703125" style="2057" customWidth="1"/>
    <col min="12802" max="12802" width="9.140625" style="2057" customWidth="1"/>
    <col min="12803" max="12803" width="9.7109375" style="2057" customWidth="1"/>
    <col min="12804" max="12804" width="9.140625" style="2057"/>
    <col min="12805" max="12806" width="10" style="2057" customWidth="1"/>
    <col min="12807" max="12807" width="9.85546875" style="2057" customWidth="1"/>
    <col min="12808" max="12808" width="10" style="2057" customWidth="1"/>
    <col min="12809" max="13056" width="9.140625" style="2057"/>
    <col min="13057" max="13057" width="26.5703125" style="2057" customWidth="1"/>
    <col min="13058" max="13058" width="9.140625" style="2057" customWidth="1"/>
    <col min="13059" max="13059" width="9.7109375" style="2057" customWidth="1"/>
    <col min="13060" max="13060" width="9.140625" style="2057"/>
    <col min="13061" max="13062" width="10" style="2057" customWidth="1"/>
    <col min="13063" max="13063" width="9.85546875" style="2057" customWidth="1"/>
    <col min="13064" max="13064" width="10" style="2057" customWidth="1"/>
    <col min="13065" max="13312" width="9.140625" style="2057"/>
    <col min="13313" max="13313" width="26.5703125" style="2057" customWidth="1"/>
    <col min="13314" max="13314" width="9.140625" style="2057" customWidth="1"/>
    <col min="13315" max="13315" width="9.7109375" style="2057" customWidth="1"/>
    <col min="13316" max="13316" width="9.140625" style="2057"/>
    <col min="13317" max="13318" width="10" style="2057" customWidth="1"/>
    <col min="13319" max="13319" width="9.85546875" style="2057" customWidth="1"/>
    <col min="13320" max="13320" width="10" style="2057" customWidth="1"/>
    <col min="13321" max="13568" width="9.140625" style="2057"/>
    <col min="13569" max="13569" width="26.5703125" style="2057" customWidth="1"/>
    <col min="13570" max="13570" width="9.140625" style="2057" customWidth="1"/>
    <col min="13571" max="13571" width="9.7109375" style="2057" customWidth="1"/>
    <col min="13572" max="13572" width="9.140625" style="2057"/>
    <col min="13573" max="13574" width="10" style="2057" customWidth="1"/>
    <col min="13575" max="13575" width="9.85546875" style="2057" customWidth="1"/>
    <col min="13576" max="13576" width="10" style="2057" customWidth="1"/>
    <col min="13577" max="13824" width="9.140625" style="2057"/>
    <col min="13825" max="13825" width="26.5703125" style="2057" customWidth="1"/>
    <col min="13826" max="13826" width="9.140625" style="2057" customWidth="1"/>
    <col min="13827" max="13827" width="9.7109375" style="2057" customWidth="1"/>
    <col min="13828" max="13828" width="9.140625" style="2057"/>
    <col min="13829" max="13830" width="10" style="2057" customWidth="1"/>
    <col min="13831" max="13831" width="9.85546875" style="2057" customWidth="1"/>
    <col min="13832" max="13832" width="10" style="2057" customWidth="1"/>
    <col min="13833" max="14080" width="9.140625" style="2057"/>
    <col min="14081" max="14081" width="26.5703125" style="2057" customWidth="1"/>
    <col min="14082" max="14082" width="9.140625" style="2057" customWidth="1"/>
    <col min="14083" max="14083" width="9.7109375" style="2057" customWidth="1"/>
    <col min="14084" max="14084" width="9.140625" style="2057"/>
    <col min="14085" max="14086" width="10" style="2057" customWidth="1"/>
    <col min="14087" max="14087" width="9.85546875" style="2057" customWidth="1"/>
    <col min="14088" max="14088" width="10" style="2057" customWidth="1"/>
    <col min="14089" max="14336" width="9.140625" style="2057"/>
    <col min="14337" max="14337" width="26.5703125" style="2057" customWidth="1"/>
    <col min="14338" max="14338" width="9.140625" style="2057" customWidth="1"/>
    <col min="14339" max="14339" width="9.7109375" style="2057" customWidth="1"/>
    <col min="14340" max="14340" width="9.140625" style="2057"/>
    <col min="14341" max="14342" width="10" style="2057" customWidth="1"/>
    <col min="14343" max="14343" width="9.85546875" style="2057" customWidth="1"/>
    <col min="14344" max="14344" width="10" style="2057" customWidth="1"/>
    <col min="14345" max="14592" width="9.140625" style="2057"/>
    <col min="14593" max="14593" width="26.5703125" style="2057" customWidth="1"/>
    <col min="14594" max="14594" width="9.140625" style="2057" customWidth="1"/>
    <col min="14595" max="14595" width="9.7109375" style="2057" customWidth="1"/>
    <col min="14596" max="14596" width="9.140625" style="2057"/>
    <col min="14597" max="14598" width="10" style="2057" customWidth="1"/>
    <col min="14599" max="14599" width="9.85546875" style="2057" customWidth="1"/>
    <col min="14600" max="14600" width="10" style="2057" customWidth="1"/>
    <col min="14601" max="14848" width="9.140625" style="2057"/>
    <col min="14849" max="14849" width="26.5703125" style="2057" customWidth="1"/>
    <col min="14850" max="14850" width="9.140625" style="2057" customWidth="1"/>
    <col min="14851" max="14851" width="9.7109375" style="2057" customWidth="1"/>
    <col min="14852" max="14852" width="9.140625" style="2057"/>
    <col min="14853" max="14854" width="10" style="2057" customWidth="1"/>
    <col min="14855" max="14855" width="9.85546875" style="2057" customWidth="1"/>
    <col min="14856" max="14856" width="10" style="2057" customWidth="1"/>
    <col min="14857" max="15104" width="9.140625" style="2057"/>
    <col min="15105" max="15105" width="26.5703125" style="2057" customWidth="1"/>
    <col min="15106" max="15106" width="9.140625" style="2057" customWidth="1"/>
    <col min="15107" max="15107" width="9.7109375" style="2057" customWidth="1"/>
    <col min="15108" max="15108" width="9.140625" style="2057"/>
    <col min="15109" max="15110" width="10" style="2057" customWidth="1"/>
    <col min="15111" max="15111" width="9.85546875" style="2057" customWidth="1"/>
    <col min="15112" max="15112" width="10" style="2057" customWidth="1"/>
    <col min="15113" max="15360" width="9.140625" style="2057"/>
    <col min="15361" max="15361" width="26.5703125" style="2057" customWidth="1"/>
    <col min="15362" max="15362" width="9.140625" style="2057" customWidth="1"/>
    <col min="15363" max="15363" width="9.7109375" style="2057" customWidth="1"/>
    <col min="15364" max="15364" width="9.140625" style="2057"/>
    <col min="15365" max="15366" width="10" style="2057" customWidth="1"/>
    <col min="15367" max="15367" width="9.85546875" style="2057" customWidth="1"/>
    <col min="15368" max="15368" width="10" style="2057" customWidth="1"/>
    <col min="15369" max="15616" width="9.140625" style="2057"/>
    <col min="15617" max="15617" width="26.5703125" style="2057" customWidth="1"/>
    <col min="15618" max="15618" width="9.140625" style="2057" customWidth="1"/>
    <col min="15619" max="15619" width="9.7109375" style="2057" customWidth="1"/>
    <col min="15620" max="15620" width="9.140625" style="2057"/>
    <col min="15621" max="15622" width="10" style="2057" customWidth="1"/>
    <col min="15623" max="15623" width="9.85546875" style="2057" customWidth="1"/>
    <col min="15624" max="15624" width="10" style="2057" customWidth="1"/>
    <col min="15625" max="15872" width="9.140625" style="2057"/>
    <col min="15873" max="15873" width="26.5703125" style="2057" customWidth="1"/>
    <col min="15874" max="15874" width="9.140625" style="2057" customWidth="1"/>
    <col min="15875" max="15875" width="9.7109375" style="2057" customWidth="1"/>
    <col min="15876" max="15876" width="9.140625" style="2057"/>
    <col min="15877" max="15878" width="10" style="2057" customWidth="1"/>
    <col min="15879" max="15879" width="9.85546875" style="2057" customWidth="1"/>
    <col min="15880" max="15880" width="10" style="2057" customWidth="1"/>
    <col min="15881" max="16128" width="9.140625" style="2057"/>
    <col min="16129" max="16129" width="26.5703125" style="2057" customWidth="1"/>
    <col min="16130" max="16130" width="9.140625" style="2057" customWidth="1"/>
    <col min="16131" max="16131" width="9.7109375" style="2057" customWidth="1"/>
    <col min="16132" max="16132" width="9.140625" style="2057"/>
    <col min="16133" max="16134" width="10" style="2057" customWidth="1"/>
    <col min="16135" max="16135" width="9.85546875" style="2057" customWidth="1"/>
    <col min="16136" max="16136" width="10" style="2057" customWidth="1"/>
    <col min="16137" max="16384" width="9.140625" style="2057"/>
  </cols>
  <sheetData>
    <row r="1" spans="1:9" ht="17.25">
      <c r="A1" s="2053" t="s">
        <v>3110</v>
      </c>
      <c r="B1" s="2054"/>
      <c r="C1" s="2054"/>
      <c r="D1" s="2054"/>
      <c r="E1" s="2054"/>
      <c r="F1" s="2055"/>
      <c r="G1" s="2055"/>
      <c r="H1" s="2055"/>
      <c r="I1" s="2056"/>
    </row>
    <row r="2" spans="1:9" ht="15.75" thickBot="1">
      <c r="A2" s="2058"/>
      <c r="B2" s="2059"/>
      <c r="C2" s="2059"/>
      <c r="D2" s="2059"/>
      <c r="E2" s="2059"/>
      <c r="F2" s="2058"/>
      <c r="G2" s="2058"/>
      <c r="H2" s="2058"/>
    </row>
    <row r="3" spans="1:9" ht="16.5" thickTop="1" thickBot="1">
      <c r="A3" s="2060" t="s">
        <v>619</v>
      </c>
      <c r="B3" s="2061">
        <v>2007</v>
      </c>
      <c r="C3" s="2061">
        <v>2008</v>
      </c>
      <c r="D3" s="2061">
        <v>2009</v>
      </c>
      <c r="E3" s="2061">
        <v>2010</v>
      </c>
      <c r="F3" s="2061">
        <v>2011</v>
      </c>
      <c r="G3" s="2061">
        <v>2012</v>
      </c>
      <c r="H3" s="2061">
        <v>2013</v>
      </c>
      <c r="I3" s="2062">
        <v>2014</v>
      </c>
    </row>
    <row r="4" spans="1:9" ht="15.75" thickTop="1">
      <c r="A4" s="2063" t="s">
        <v>3111</v>
      </c>
      <c r="B4" s="2064">
        <v>99.733349223137537</v>
      </c>
      <c r="C4" s="2064">
        <v>109.6</v>
      </c>
      <c r="D4" s="2064">
        <v>115.3</v>
      </c>
      <c r="E4" s="2064">
        <v>118.2</v>
      </c>
      <c r="F4" s="2064">
        <v>125.8</v>
      </c>
      <c r="G4" s="2064">
        <v>131.9</v>
      </c>
      <c r="H4" s="2064">
        <v>135.69999999999999</v>
      </c>
      <c r="I4" s="2065">
        <v>107.2</v>
      </c>
    </row>
    <row r="5" spans="1:9">
      <c r="A5" s="2063" t="s">
        <v>3112</v>
      </c>
      <c r="B5" s="2064">
        <v>100.47818379537904</v>
      </c>
      <c r="C5" s="2064">
        <v>110.7</v>
      </c>
      <c r="D5" s="2064">
        <v>115.8</v>
      </c>
      <c r="E5" s="2064">
        <v>118.6</v>
      </c>
      <c r="F5" s="2064">
        <v>126.7</v>
      </c>
      <c r="G5" s="2064">
        <v>131.9</v>
      </c>
      <c r="H5" s="2064">
        <v>136.6</v>
      </c>
      <c r="I5" s="2066">
        <v>108.5</v>
      </c>
    </row>
    <row r="6" spans="1:9" ht="15.75" thickBot="1">
      <c r="A6" s="2063" t="s">
        <v>3113</v>
      </c>
      <c r="B6" s="2064">
        <v>101.37198528206883</v>
      </c>
      <c r="C6" s="2064">
        <v>110.8</v>
      </c>
      <c r="D6" s="2064">
        <v>116.1</v>
      </c>
      <c r="E6" s="2064">
        <v>118.8</v>
      </c>
      <c r="F6" s="2064">
        <v>127.4</v>
      </c>
      <c r="G6" s="2064">
        <v>132.30000000000001</v>
      </c>
      <c r="H6" s="2064">
        <v>137.1</v>
      </c>
      <c r="I6" s="2066">
        <v>107.7</v>
      </c>
    </row>
    <row r="7" spans="1:9" ht="15.75" thickTop="1">
      <c r="A7" s="2063" t="s">
        <v>3114</v>
      </c>
      <c r="B7" s="2064">
        <v>102.41475368320695</v>
      </c>
      <c r="C7" s="2064">
        <v>111.9</v>
      </c>
      <c r="D7" s="2064">
        <v>116.2</v>
      </c>
      <c r="E7" s="2064">
        <v>119.3</v>
      </c>
      <c r="F7" s="2064">
        <v>127.6</v>
      </c>
      <c r="G7" s="2064">
        <v>132.5</v>
      </c>
      <c r="H7" s="2067">
        <v>103.4</v>
      </c>
      <c r="I7" s="2068">
        <v>107.7</v>
      </c>
    </row>
    <row r="8" spans="1:9">
      <c r="A8" s="2063" t="s">
        <v>3115</v>
      </c>
      <c r="B8" s="2064">
        <v>102.86165442655185</v>
      </c>
      <c r="C8" s="2064">
        <v>113</v>
      </c>
      <c r="D8" s="2064">
        <v>116.2</v>
      </c>
      <c r="E8" s="2064">
        <v>119.1</v>
      </c>
      <c r="F8" s="2064">
        <v>127.6</v>
      </c>
      <c r="G8" s="2064">
        <v>132.5</v>
      </c>
      <c r="H8" s="2064">
        <v>103.3</v>
      </c>
      <c r="I8" s="2068">
        <v>106.8</v>
      </c>
    </row>
    <row r="9" spans="1:9">
      <c r="A9" s="2063" t="s">
        <v>3116</v>
      </c>
      <c r="B9" s="2064">
        <v>103.38303862712091</v>
      </c>
      <c r="C9" s="2064">
        <v>113.4</v>
      </c>
      <c r="D9" s="2064">
        <v>117.1</v>
      </c>
      <c r="E9" s="2064">
        <v>119.9</v>
      </c>
      <c r="F9" s="2064">
        <v>127.8</v>
      </c>
      <c r="G9" s="2064">
        <v>132.80000000000001</v>
      </c>
      <c r="H9" s="2064">
        <v>103.4</v>
      </c>
      <c r="I9" s="2068">
        <v>106.8</v>
      </c>
    </row>
    <row r="10" spans="1:9">
      <c r="A10" s="2063" t="s">
        <v>3117</v>
      </c>
      <c r="B10" s="2064">
        <v>103.7</v>
      </c>
      <c r="C10" s="2064">
        <v>115.6</v>
      </c>
      <c r="D10" s="2064">
        <v>117.8</v>
      </c>
      <c r="E10" s="2064">
        <v>120.2</v>
      </c>
      <c r="F10" s="2064">
        <v>128.19999999999999</v>
      </c>
      <c r="G10" s="2064">
        <v>133</v>
      </c>
      <c r="H10" s="2064">
        <v>103.6</v>
      </c>
      <c r="I10" s="2068">
        <v>106.8</v>
      </c>
    </row>
    <row r="11" spans="1:9">
      <c r="A11" s="2063" t="s">
        <v>3118</v>
      </c>
      <c r="B11" s="2064">
        <v>104.1</v>
      </c>
      <c r="C11" s="2064">
        <v>116.3</v>
      </c>
      <c r="D11" s="2064">
        <v>117.5</v>
      </c>
      <c r="E11" s="2064">
        <v>120.6</v>
      </c>
      <c r="F11" s="2064">
        <v>128.4</v>
      </c>
      <c r="G11" s="2064">
        <v>133.19999999999999</v>
      </c>
      <c r="H11" s="2064">
        <v>103.3</v>
      </c>
      <c r="I11" s="2068"/>
    </row>
    <row r="12" spans="1:9">
      <c r="A12" s="2063" t="s">
        <v>3119</v>
      </c>
      <c r="B12" s="2064">
        <v>105.3</v>
      </c>
      <c r="C12" s="2064">
        <v>116.7</v>
      </c>
      <c r="D12" s="2064">
        <v>117.8</v>
      </c>
      <c r="E12" s="2064">
        <v>120.7</v>
      </c>
      <c r="F12" s="2064">
        <v>128.30000000000001</v>
      </c>
      <c r="G12" s="2064">
        <v>133.30000000000001</v>
      </c>
      <c r="H12" s="2064">
        <v>103.5</v>
      </c>
      <c r="I12" s="2068"/>
    </row>
    <row r="13" spans="1:9">
      <c r="A13" s="2063" t="s">
        <v>3120</v>
      </c>
      <c r="B13" s="2064">
        <v>106.8</v>
      </c>
      <c r="C13" s="2064">
        <v>117.2</v>
      </c>
      <c r="D13" s="2064">
        <v>117.3</v>
      </c>
      <c r="E13" s="2064">
        <v>121</v>
      </c>
      <c r="F13" s="2064">
        <v>128.19999999999999</v>
      </c>
      <c r="G13" s="2064">
        <v>133.6</v>
      </c>
      <c r="H13" s="2064">
        <v>103.9</v>
      </c>
      <c r="I13" s="2068"/>
    </row>
    <row r="14" spans="1:9">
      <c r="A14" s="2063" t="s">
        <v>3121</v>
      </c>
      <c r="B14" s="2064">
        <v>107.6</v>
      </c>
      <c r="C14" s="2064">
        <v>116.5</v>
      </c>
      <c r="D14" s="2064">
        <v>117.3</v>
      </c>
      <c r="E14" s="2064">
        <v>121.9</v>
      </c>
      <c r="F14" s="2064">
        <v>130.4</v>
      </c>
      <c r="G14" s="2064">
        <v>134.4</v>
      </c>
      <c r="H14" s="2064">
        <v>105</v>
      </c>
      <c r="I14" s="2068"/>
    </row>
    <row r="15" spans="1:9">
      <c r="A15" s="2063" t="s">
        <v>3122</v>
      </c>
      <c r="B15" s="2064">
        <v>108.2</v>
      </c>
      <c r="C15" s="2064">
        <v>115.5</v>
      </c>
      <c r="D15" s="2064">
        <v>117.2</v>
      </c>
      <c r="E15" s="2064">
        <v>124.4</v>
      </c>
      <c r="F15" s="2064">
        <v>130.4</v>
      </c>
      <c r="G15" s="2064">
        <v>134.6</v>
      </c>
      <c r="H15" s="2064">
        <v>105.3</v>
      </c>
      <c r="I15" s="2068"/>
    </row>
    <row r="16" spans="1:9" ht="15.75">
      <c r="A16" s="2063"/>
      <c r="B16" s="2064"/>
      <c r="C16" s="2069"/>
      <c r="D16" s="2069"/>
      <c r="E16" s="2069"/>
      <c r="F16" s="2069"/>
      <c r="G16" s="2069"/>
      <c r="H16" s="2069"/>
      <c r="I16" s="2070"/>
    </row>
    <row r="17" spans="1:9">
      <c r="A17" s="2063" t="s">
        <v>1230</v>
      </c>
      <c r="B17" s="2071">
        <f t="shared" ref="B17:G17" si="0">AVERAGE(B4:B15)</f>
        <v>103.82858041978876</v>
      </c>
      <c r="C17" s="2071">
        <f t="shared" si="0"/>
        <v>113.93333333333334</v>
      </c>
      <c r="D17" s="2071">
        <f t="shared" si="0"/>
        <v>116.8</v>
      </c>
      <c r="E17" s="2071">
        <f t="shared" si="0"/>
        <v>120.22500000000002</v>
      </c>
      <c r="F17" s="2071">
        <f t="shared" si="0"/>
        <v>128.06666666666669</v>
      </c>
      <c r="G17" s="2071">
        <f t="shared" si="0"/>
        <v>133</v>
      </c>
      <c r="H17" s="2071"/>
      <c r="I17" s="2072"/>
    </row>
    <row r="18" spans="1:9">
      <c r="A18" s="2063"/>
      <c r="B18" s="2071"/>
      <c r="C18" s="2071"/>
      <c r="D18" s="2071"/>
      <c r="E18" s="2071"/>
      <c r="F18" s="2071"/>
      <c r="G18" s="2071"/>
      <c r="H18" s="2071"/>
      <c r="I18" s="2073"/>
    </row>
    <row r="19" spans="1:9" ht="15.75">
      <c r="A19" s="2074" t="s">
        <v>3123</v>
      </c>
      <c r="B19" s="2071"/>
      <c r="C19" s="2069"/>
      <c r="D19" s="2069"/>
      <c r="E19" s="2069"/>
      <c r="F19" s="2069"/>
      <c r="G19" s="2069"/>
      <c r="H19" s="2069"/>
      <c r="I19" s="2070"/>
    </row>
    <row r="20" spans="1:9">
      <c r="A20" s="2063" t="s">
        <v>3124</v>
      </c>
      <c r="B20" s="2075" t="s">
        <v>3125</v>
      </c>
      <c r="C20" s="2075" t="s">
        <v>3126</v>
      </c>
      <c r="D20" s="2075" t="s">
        <v>3127</v>
      </c>
      <c r="E20" s="2075" t="s">
        <v>3128</v>
      </c>
      <c r="F20" s="2075" t="s">
        <v>3129</v>
      </c>
      <c r="G20" s="2075" t="s">
        <v>3130</v>
      </c>
      <c r="H20" s="2075" t="s">
        <v>3131</v>
      </c>
      <c r="I20" s="2076" t="s">
        <v>3132</v>
      </c>
    </row>
    <row r="21" spans="1:9" ht="15.75" thickBot="1">
      <c r="A21" s="2077" t="s">
        <v>3133</v>
      </c>
      <c r="B21" s="2078" t="s">
        <v>3134</v>
      </c>
      <c r="C21" s="2078" t="s">
        <v>3135</v>
      </c>
      <c r="D21" s="2078" t="s">
        <v>3136</v>
      </c>
      <c r="E21" s="2078" t="s">
        <v>3137</v>
      </c>
      <c r="F21" s="2078" t="s">
        <v>3138</v>
      </c>
      <c r="G21" s="2078" t="s">
        <v>3139</v>
      </c>
      <c r="H21" s="2078" t="s">
        <v>3140</v>
      </c>
      <c r="I21" s="2079" t="s">
        <v>3141</v>
      </c>
    </row>
    <row r="22" spans="1:9" ht="16.5" thickTop="1">
      <c r="A22" s="2080" t="s">
        <v>3142</v>
      </c>
      <c r="B22" s="2081"/>
      <c r="C22" s="2082"/>
      <c r="D22" s="2082"/>
      <c r="E22" s="2082"/>
      <c r="F22" s="2082"/>
      <c r="G22" s="2083"/>
      <c r="H22" s="2083"/>
      <c r="I22" s="2084"/>
    </row>
    <row r="23" spans="1:9" ht="15.75">
      <c r="A23" s="2080" t="s">
        <v>3143</v>
      </c>
      <c r="B23" s="2081"/>
      <c r="C23" s="2082"/>
      <c r="D23" s="2082"/>
      <c r="E23" s="2082"/>
      <c r="F23" s="2082"/>
      <c r="G23" s="2083"/>
      <c r="H23" s="2083"/>
      <c r="I23" s="2084"/>
    </row>
    <row r="24" spans="1:9" ht="15.75">
      <c r="A24" s="2085" t="s">
        <v>3144</v>
      </c>
      <c r="B24" s="2081"/>
      <c r="C24" s="2082"/>
      <c r="D24" s="2082"/>
      <c r="E24" s="2082"/>
      <c r="F24" s="2082"/>
      <c r="G24" s="2083"/>
      <c r="H24" s="2083"/>
      <c r="I24" s="2084"/>
    </row>
    <row r="25" spans="1:9" ht="15.75">
      <c r="A25" s="2080" t="s">
        <v>3145</v>
      </c>
      <c r="B25" s="2081"/>
      <c r="C25" s="2081"/>
      <c r="D25" s="2082"/>
      <c r="E25" s="2082"/>
      <c r="F25" s="2082"/>
      <c r="G25" s="2083"/>
      <c r="H25" s="2083"/>
      <c r="I25" s="2084"/>
    </row>
    <row r="26" spans="1:9">
      <c r="A26" s="2086" t="s">
        <v>3146</v>
      </c>
      <c r="B26" s="2086"/>
      <c r="C26" s="2086"/>
      <c r="D26" s="2086"/>
      <c r="E26" s="2086"/>
      <c r="F26" s="2086"/>
      <c r="G26" s="2086"/>
      <c r="H26" s="2086"/>
      <c r="I26" s="2084"/>
    </row>
    <row r="27" spans="1:9">
      <c r="A27" s="2086" t="s">
        <v>3147</v>
      </c>
      <c r="B27" s="2086"/>
      <c r="C27" s="2086"/>
      <c r="D27" s="2086"/>
      <c r="E27" s="2086"/>
      <c r="F27" s="2086"/>
      <c r="G27" s="2086"/>
      <c r="H27" s="2086"/>
      <c r="I27" s="2084"/>
    </row>
    <row r="28" spans="1:9">
      <c r="A28" s="2086" t="s">
        <v>3148</v>
      </c>
      <c r="B28" s="2086"/>
      <c r="C28" s="2086"/>
      <c r="D28" s="2086"/>
      <c r="E28" s="2086"/>
      <c r="F28" s="2086"/>
      <c r="G28" s="2086"/>
      <c r="H28" s="2086"/>
      <c r="I28" s="2084"/>
    </row>
    <row r="29" spans="1:9">
      <c r="A29" s="2086" t="s">
        <v>3149</v>
      </c>
      <c r="B29" s="2086"/>
      <c r="C29" s="2086"/>
      <c r="D29" s="2086"/>
      <c r="E29" s="2086"/>
      <c r="F29" s="2086"/>
      <c r="G29" s="2086"/>
      <c r="H29" s="2086"/>
      <c r="I29" s="2084"/>
    </row>
    <row r="30" spans="1:9" ht="15.75">
      <c r="A30" s="2087" t="s">
        <v>3150</v>
      </c>
      <c r="B30" s="2082"/>
      <c r="C30" s="2081"/>
      <c r="D30" s="2082"/>
      <c r="E30" s="2082"/>
      <c r="F30" s="2082"/>
      <c r="G30" s="2083"/>
      <c r="H30" s="2083"/>
      <c r="I30" s="2084"/>
    </row>
    <row r="32" spans="1:9" s="2084" customFormat="1" ht="13.5">
      <c r="A32" s="2088"/>
      <c r="B32" s="2089"/>
      <c r="C32" s="2089"/>
      <c r="D32" s="2089"/>
      <c r="E32" s="2089"/>
      <c r="F32" s="2089"/>
      <c r="G32" s="2089"/>
      <c r="H32" s="2090"/>
    </row>
    <row r="33" spans="1:8" s="2056" customFormat="1" ht="17.25">
      <c r="A33" s="2091" t="s">
        <v>3151</v>
      </c>
      <c r="B33" s="2054"/>
      <c r="C33" s="2054"/>
      <c r="D33" s="2054"/>
      <c r="E33" s="2054"/>
      <c r="F33" s="2092"/>
      <c r="G33" s="2092"/>
      <c r="H33" s="2092"/>
    </row>
    <row r="34" spans="1:8" s="2083" customFormat="1" ht="3.75" customHeight="1">
      <c r="A34" s="2093"/>
      <c r="B34" s="2059"/>
      <c r="C34" s="2059"/>
      <c r="D34" s="2059"/>
      <c r="E34" s="2059"/>
      <c r="F34" s="2094"/>
      <c r="G34" s="2094"/>
      <c r="H34" s="2094"/>
    </row>
    <row r="35" spans="1:8" ht="16.5" thickBot="1">
      <c r="A35" s="2095"/>
      <c r="B35" s="2096"/>
      <c r="C35" s="2097"/>
      <c r="E35" s="2098" t="s">
        <v>3152</v>
      </c>
      <c r="G35" s="2098"/>
      <c r="H35" s="2099"/>
    </row>
    <row r="36" spans="1:8" ht="17.25" thickTop="1" thickBot="1">
      <c r="A36" s="2100" t="s">
        <v>619</v>
      </c>
      <c r="B36" s="2101" t="s">
        <v>3153</v>
      </c>
      <c r="C36" s="2102" t="s">
        <v>3154</v>
      </c>
      <c r="D36" s="2101" t="s">
        <v>3155</v>
      </c>
      <c r="E36" s="2103" t="s">
        <v>3156</v>
      </c>
      <c r="F36" s="2104"/>
      <c r="G36" s="2104"/>
      <c r="H36" s="2105"/>
    </row>
    <row r="37" spans="1:8" ht="16.5" thickTop="1">
      <c r="A37" s="2106">
        <v>39264</v>
      </c>
      <c r="B37" s="2107">
        <v>10.5</v>
      </c>
      <c r="C37" s="2108">
        <v>7.6</v>
      </c>
      <c r="D37" s="2107">
        <v>6.4</v>
      </c>
      <c r="E37" s="2109">
        <v>7.5</v>
      </c>
      <c r="F37" s="2104"/>
      <c r="G37" s="2104"/>
      <c r="H37" s="2099"/>
    </row>
    <row r="38" spans="1:8" ht="15.75" hidden="1">
      <c r="A38" s="2106">
        <v>39295</v>
      </c>
      <c r="B38" s="2107">
        <v>10.1</v>
      </c>
      <c r="C38" s="2108">
        <v>7</v>
      </c>
      <c r="D38" s="2107">
        <v>6.2</v>
      </c>
      <c r="E38" s="2109">
        <v>7.4</v>
      </c>
      <c r="F38" s="2104"/>
      <c r="G38" s="2104"/>
      <c r="H38" s="2099"/>
    </row>
    <row r="39" spans="1:8" ht="15.75" hidden="1">
      <c r="A39" s="2106">
        <v>39326</v>
      </c>
      <c r="B39" s="2107">
        <v>9.6999999999999993</v>
      </c>
      <c r="C39" s="2108">
        <v>6.4</v>
      </c>
      <c r="D39" s="2107">
        <v>6.2</v>
      </c>
      <c r="E39" s="2109">
        <v>7.2</v>
      </c>
      <c r="F39" s="2104"/>
      <c r="G39" s="2104"/>
      <c r="H39" s="2099"/>
    </row>
    <row r="40" spans="1:8" ht="15.75" hidden="1">
      <c r="A40" s="2106">
        <v>39356</v>
      </c>
      <c r="B40" s="2107">
        <v>9.4</v>
      </c>
      <c r="C40" s="2108">
        <v>5.9</v>
      </c>
      <c r="D40" s="2107">
        <v>6.1</v>
      </c>
      <c r="E40" s="2109">
        <v>7.1</v>
      </c>
      <c r="F40" s="2104"/>
      <c r="G40" s="2104"/>
      <c r="H40" s="2099"/>
    </row>
    <row r="41" spans="1:8" ht="15.75" hidden="1">
      <c r="A41" s="2106">
        <v>39387</v>
      </c>
      <c r="B41" s="2107">
        <v>9.1</v>
      </c>
      <c r="C41" s="2108">
        <v>5.4</v>
      </c>
      <c r="D41" s="2107">
        <v>6</v>
      </c>
      <c r="E41" s="2109">
        <v>7</v>
      </c>
      <c r="F41" s="2104"/>
      <c r="G41" s="2104"/>
      <c r="H41" s="2099"/>
    </row>
    <row r="42" spans="1:8" ht="15.75">
      <c r="A42" s="2106">
        <v>39417</v>
      </c>
      <c r="B42" s="2107">
        <v>8.8000000000000007</v>
      </c>
      <c r="C42" s="2107">
        <v>5</v>
      </c>
      <c r="D42" s="2108">
        <v>5.7</v>
      </c>
      <c r="E42" s="2109">
        <v>7</v>
      </c>
      <c r="F42" s="2104"/>
      <c r="G42" s="2104"/>
      <c r="H42" s="2099"/>
    </row>
    <row r="43" spans="1:8" ht="15.75" hidden="1">
      <c r="A43" s="2106">
        <v>39448</v>
      </c>
      <c r="B43" s="2107">
        <v>8.9</v>
      </c>
      <c r="C43" s="2107">
        <v>5.2</v>
      </c>
      <c r="D43" s="2108">
        <v>5.7</v>
      </c>
      <c r="E43" s="2109">
        <v>7.4</v>
      </c>
      <c r="F43" s="2104"/>
      <c r="G43" s="2104"/>
      <c r="H43" s="2099"/>
    </row>
    <row r="44" spans="1:8" ht="15.75" hidden="1">
      <c r="A44" s="2106">
        <v>39479</v>
      </c>
      <c r="B44" s="2107">
        <v>9</v>
      </c>
      <c r="C44" s="2107">
        <v>5.5</v>
      </c>
      <c r="D44" s="2108">
        <v>5.7</v>
      </c>
      <c r="E44" s="2109">
        <v>7.5</v>
      </c>
      <c r="F44" s="2104"/>
      <c r="G44" s="2104"/>
      <c r="H44" s="2099"/>
    </row>
    <row r="45" spans="1:8" ht="15.75" hidden="1">
      <c r="A45" s="2106">
        <v>39508</v>
      </c>
      <c r="B45" s="2107">
        <v>9</v>
      </c>
      <c r="C45" s="2107">
        <v>5.8</v>
      </c>
      <c r="D45" s="2108">
        <v>5.7</v>
      </c>
      <c r="E45" s="2109">
        <v>7.3</v>
      </c>
      <c r="F45" s="2104"/>
      <c r="G45" s="2104"/>
      <c r="H45" s="2099"/>
    </row>
    <row r="46" spans="1:8" ht="15.75" hidden="1">
      <c r="A46" s="2106">
        <v>39539</v>
      </c>
      <c r="B46" s="2107">
        <v>8.9</v>
      </c>
      <c r="C46" s="2107">
        <v>5.9</v>
      </c>
      <c r="D46" s="2108">
        <v>5.6</v>
      </c>
      <c r="E46" s="2109">
        <v>7</v>
      </c>
      <c r="F46" s="2104"/>
      <c r="G46" s="2104"/>
      <c r="H46" s="2099"/>
    </row>
    <row r="47" spans="1:8" ht="15.75" hidden="1">
      <c r="A47" s="2106">
        <v>39569</v>
      </c>
      <c r="B47" s="2107">
        <v>8.8000000000000007</v>
      </c>
      <c r="C47" s="2107">
        <v>6.2</v>
      </c>
      <c r="D47" s="2108">
        <v>5.6</v>
      </c>
      <c r="E47" s="2109">
        <v>6.7</v>
      </c>
      <c r="F47" s="2104"/>
      <c r="G47" s="2104"/>
      <c r="H47" s="2099"/>
    </row>
    <row r="48" spans="1:8" ht="15.75">
      <c r="A48" s="2106">
        <v>39600</v>
      </c>
      <c r="B48" s="2107">
        <v>8.8000000000000007</v>
      </c>
      <c r="C48" s="2107">
        <v>6.6</v>
      </c>
      <c r="D48" s="2108">
        <v>5.5</v>
      </c>
      <c r="E48" s="2109">
        <v>6.5</v>
      </c>
      <c r="F48" s="2104"/>
      <c r="G48" s="2104"/>
      <c r="H48" s="2099"/>
    </row>
    <row r="49" spans="1:8" ht="15.75" hidden="1">
      <c r="A49" s="2106">
        <v>39630</v>
      </c>
      <c r="B49" s="2107">
        <v>9.1</v>
      </c>
      <c r="C49" s="2107">
        <v>7.2</v>
      </c>
      <c r="D49" s="2108">
        <v>5.7</v>
      </c>
      <c r="E49" s="2109">
        <v>6.2</v>
      </c>
      <c r="F49" s="2104"/>
      <c r="G49" s="2104"/>
      <c r="H49" s="2099"/>
    </row>
    <row r="50" spans="1:8" ht="15.75" hidden="1">
      <c r="A50" s="2106">
        <v>39661</v>
      </c>
      <c r="B50" s="2107">
        <v>9.5</v>
      </c>
      <c r="C50" s="2107">
        <v>7.8</v>
      </c>
      <c r="D50" s="2108">
        <v>5.9</v>
      </c>
      <c r="E50" s="2109">
        <v>5.9</v>
      </c>
      <c r="F50" s="2104"/>
      <c r="G50" s="2104"/>
      <c r="H50" s="2099"/>
    </row>
    <row r="51" spans="1:8" ht="15.75" hidden="1">
      <c r="A51" s="2106">
        <v>39692</v>
      </c>
      <c r="B51" s="2107">
        <v>9.8000000000000007</v>
      </c>
      <c r="C51" s="2107">
        <v>8.3000000000000007</v>
      </c>
      <c r="D51" s="2108">
        <v>6</v>
      </c>
      <c r="E51" s="2109">
        <v>5.5</v>
      </c>
      <c r="F51" s="2104"/>
      <c r="G51" s="2104"/>
      <c r="H51" s="2099"/>
    </row>
    <row r="52" spans="1:8" ht="15.75" hidden="1">
      <c r="A52" s="2106">
        <v>39722</v>
      </c>
      <c r="B52" s="2107">
        <v>9.9</v>
      </c>
      <c r="C52" s="2107">
        <v>8.5</v>
      </c>
      <c r="D52" s="2108">
        <v>6.1</v>
      </c>
      <c r="E52" s="2109">
        <v>5.0999999999999996</v>
      </c>
      <c r="F52" s="2104"/>
      <c r="G52" s="2104"/>
      <c r="H52" s="2099"/>
    </row>
    <row r="53" spans="1:8" ht="15.75" hidden="1">
      <c r="A53" s="2106">
        <v>39753</v>
      </c>
      <c r="B53" s="2107">
        <v>9.9</v>
      </c>
      <c r="C53" s="2107">
        <v>8.6999999999999993</v>
      </c>
      <c r="D53" s="2108">
        <v>6.1</v>
      </c>
      <c r="E53" s="2109">
        <v>4.5999999999999996</v>
      </c>
      <c r="F53" s="2104"/>
      <c r="G53" s="2104"/>
      <c r="H53" s="2099"/>
    </row>
    <row r="54" spans="1:8" ht="15.75">
      <c r="A54" s="2106">
        <v>39783</v>
      </c>
      <c r="B54" s="2107">
        <v>9.6999999999999993</v>
      </c>
      <c r="C54" s="2107">
        <v>8.6999999999999993</v>
      </c>
      <c r="D54" s="2108">
        <v>6.1</v>
      </c>
      <c r="E54" s="2109">
        <v>3.5</v>
      </c>
      <c r="F54" s="2104"/>
      <c r="G54" s="2104"/>
      <c r="H54" s="2099"/>
    </row>
    <row r="55" spans="1:8" ht="15.75" hidden="1">
      <c r="A55" s="2106">
        <v>39814</v>
      </c>
      <c r="B55" s="2107">
        <v>9.3000000000000007</v>
      </c>
      <c r="C55" s="2107">
        <v>8.4</v>
      </c>
      <c r="D55" s="2108">
        <v>6</v>
      </c>
      <c r="E55" s="2109">
        <v>2.2999999999999998</v>
      </c>
      <c r="F55" s="2104"/>
      <c r="G55" s="2104"/>
      <c r="H55" s="2099"/>
    </row>
    <row r="56" spans="1:8" ht="15.75" hidden="1">
      <c r="A56" s="2106">
        <v>39845</v>
      </c>
      <c r="B56" s="2107">
        <v>8.8000000000000007</v>
      </c>
      <c r="C56" s="2107">
        <v>8</v>
      </c>
      <c r="D56" s="2108">
        <v>5.9</v>
      </c>
      <c r="E56" s="2109">
        <v>2.4</v>
      </c>
      <c r="F56" s="2104"/>
      <c r="G56" s="2104"/>
      <c r="H56" s="2099"/>
    </row>
    <row r="57" spans="1:8" ht="15.75" hidden="1">
      <c r="A57" s="2106">
        <v>39873</v>
      </c>
      <c r="B57" s="2107">
        <v>8.5</v>
      </c>
      <c r="C57" s="2107">
        <v>7.6</v>
      </c>
      <c r="D57" s="2108">
        <v>5.8</v>
      </c>
      <c r="E57" s="2109">
        <v>2.5</v>
      </c>
      <c r="F57" s="2104"/>
      <c r="G57" s="2104"/>
      <c r="H57" s="2099"/>
    </row>
    <row r="58" spans="1:8" ht="15.75" hidden="1">
      <c r="A58" s="2106">
        <v>39904</v>
      </c>
      <c r="B58" s="2107">
        <v>8</v>
      </c>
      <c r="C58" s="2107">
        <v>7.1</v>
      </c>
      <c r="D58" s="2108">
        <v>5.7</v>
      </c>
      <c r="E58" s="2109">
        <v>2.6</v>
      </c>
      <c r="F58" s="2104"/>
      <c r="G58" s="2104"/>
      <c r="H58" s="2099"/>
    </row>
    <row r="59" spans="1:8" ht="15.75" hidden="1">
      <c r="A59" s="2106">
        <v>39934</v>
      </c>
      <c r="B59" s="2107">
        <v>7.4</v>
      </c>
      <c r="C59" s="2107">
        <v>6.5</v>
      </c>
      <c r="D59" s="2108">
        <v>5.6</v>
      </c>
      <c r="E59" s="2109">
        <v>2.7</v>
      </c>
      <c r="F59" s="2104"/>
      <c r="G59" s="2104"/>
      <c r="H59" s="2099"/>
    </row>
    <row r="60" spans="1:8" ht="15.75">
      <c r="A60" s="2106">
        <v>39965</v>
      </c>
      <c r="B60" s="2107">
        <v>6.9</v>
      </c>
      <c r="C60" s="2107">
        <v>6.1</v>
      </c>
      <c r="D60" s="2108">
        <v>5.5</v>
      </c>
      <c r="E60" s="2109">
        <v>2.8</v>
      </c>
      <c r="F60" s="2104"/>
      <c r="G60" s="2104"/>
      <c r="H60" s="2099"/>
    </row>
    <row r="61" spans="1:8" ht="15.75" hidden="1">
      <c r="A61" s="2106">
        <v>39995</v>
      </c>
      <c r="B61" s="2107">
        <v>6.1</v>
      </c>
      <c r="C61" s="2107">
        <v>5.5</v>
      </c>
      <c r="D61" s="2108">
        <v>5.4</v>
      </c>
      <c r="E61" s="2109">
        <v>2.8</v>
      </c>
      <c r="F61" s="2104"/>
      <c r="G61" s="2104"/>
      <c r="H61" s="2099"/>
    </row>
    <row r="62" spans="1:8" ht="15.75" hidden="1">
      <c r="A62" s="2106">
        <v>40026</v>
      </c>
      <c r="B62" s="2107">
        <v>5.2</v>
      </c>
      <c r="C62" s="2107">
        <v>4.5999999999999996</v>
      </c>
      <c r="D62" s="2108">
        <v>5.0999999999999996</v>
      </c>
      <c r="E62" s="2109">
        <v>2.7</v>
      </c>
      <c r="F62" s="2104"/>
      <c r="G62" s="2104"/>
      <c r="H62" s="2099"/>
    </row>
    <row r="63" spans="1:8" ht="15.75" hidden="1">
      <c r="A63" s="2106">
        <v>40057</v>
      </c>
      <c r="B63" s="2107">
        <v>4.4000000000000004</v>
      </c>
      <c r="C63" s="2107">
        <v>3.9</v>
      </c>
      <c r="D63" s="2108">
        <v>4.8</v>
      </c>
      <c r="E63" s="2109">
        <v>2.7</v>
      </c>
      <c r="F63" s="2104"/>
      <c r="G63" s="2104"/>
      <c r="H63" s="2099"/>
    </row>
    <row r="64" spans="1:8" ht="15.75" hidden="1">
      <c r="A64" s="2106">
        <v>40087</v>
      </c>
      <c r="B64" s="2107">
        <v>3.6</v>
      </c>
      <c r="C64" s="2107">
        <v>3.2</v>
      </c>
      <c r="D64" s="2108">
        <v>4.5</v>
      </c>
      <c r="E64" s="2109">
        <v>2.7</v>
      </c>
      <c r="F64" s="2104"/>
      <c r="G64" s="2104"/>
      <c r="H64" s="2099"/>
    </row>
    <row r="65" spans="1:8" ht="15.75" hidden="1">
      <c r="A65" s="2106">
        <v>40118</v>
      </c>
      <c r="B65" s="2107">
        <v>2.9</v>
      </c>
      <c r="C65" s="2107">
        <v>2.7</v>
      </c>
      <c r="D65" s="2108">
        <v>4.0999999999999996</v>
      </c>
      <c r="E65" s="2109">
        <v>2.7</v>
      </c>
      <c r="F65" s="2104"/>
      <c r="G65" s="2104"/>
      <c r="H65" s="2099"/>
    </row>
    <row r="66" spans="1:8" ht="15.75">
      <c r="A66" s="2106">
        <v>40148</v>
      </c>
      <c r="B66" s="2107">
        <v>2.5</v>
      </c>
      <c r="C66" s="2107">
        <v>2.4</v>
      </c>
      <c r="D66" s="2108">
        <v>3.8</v>
      </c>
      <c r="E66" s="2109">
        <v>2.4</v>
      </c>
      <c r="F66" s="2104"/>
      <c r="G66" s="2104"/>
      <c r="H66" s="2099"/>
    </row>
    <row r="67" spans="1:8" ht="15.75" hidden="1">
      <c r="A67" s="2106">
        <v>40179</v>
      </c>
      <c r="B67" s="2107">
        <v>2.2999999999999998</v>
      </c>
      <c r="C67" s="2107">
        <v>2.4</v>
      </c>
      <c r="D67" s="2108">
        <v>3.6</v>
      </c>
      <c r="E67" s="2109">
        <v>2.6</v>
      </c>
      <c r="F67" s="2104"/>
      <c r="G67" s="2104"/>
      <c r="H67" s="2099"/>
    </row>
    <row r="68" spans="1:8" ht="15.75" hidden="1">
      <c r="A68" s="2106">
        <v>40210</v>
      </c>
      <c r="B68" s="2107">
        <v>2.1</v>
      </c>
      <c r="C68" s="2107">
        <v>2.2999999999999998</v>
      </c>
      <c r="D68" s="2108">
        <v>3.4</v>
      </c>
      <c r="E68" s="2109">
        <v>2.5</v>
      </c>
      <c r="F68" s="2104"/>
      <c r="G68" s="2104"/>
      <c r="H68" s="2099"/>
    </row>
    <row r="69" spans="1:8" ht="15.75" hidden="1">
      <c r="A69" s="2106">
        <v>40238</v>
      </c>
      <c r="B69" s="2107">
        <v>1.9</v>
      </c>
      <c r="C69" s="2107">
        <v>2.2000000000000002</v>
      </c>
      <c r="D69" s="2108">
        <v>3.2</v>
      </c>
      <c r="E69" s="2109">
        <v>2.2999999999999998</v>
      </c>
      <c r="F69" s="2104"/>
      <c r="G69" s="2104"/>
      <c r="H69" s="2099"/>
    </row>
    <row r="70" spans="1:8" ht="15.75" hidden="1">
      <c r="A70" s="2106">
        <v>40269</v>
      </c>
      <c r="B70" s="2107">
        <v>1.8</v>
      </c>
      <c r="C70" s="2107">
        <v>2.2000000000000002</v>
      </c>
      <c r="D70" s="2108">
        <v>3</v>
      </c>
      <c r="E70" s="2109">
        <v>2.2000000000000002</v>
      </c>
      <c r="F70" s="2104"/>
      <c r="G70" s="2104"/>
      <c r="H70" s="2099"/>
    </row>
    <row r="71" spans="1:8" ht="15.75" hidden="1">
      <c r="A71" s="2106">
        <v>40299</v>
      </c>
      <c r="B71" s="2107">
        <v>1.8</v>
      </c>
      <c r="C71" s="2107">
        <v>2.2000000000000002</v>
      </c>
      <c r="D71" s="2108">
        <v>2.8</v>
      </c>
      <c r="E71" s="2109">
        <v>2.2000000000000002</v>
      </c>
      <c r="F71" s="2104"/>
      <c r="G71" s="2104"/>
      <c r="H71" s="2099"/>
    </row>
    <row r="72" spans="1:8" ht="15.75">
      <c r="A72" s="2106">
        <v>40330</v>
      </c>
      <c r="B72" s="2107">
        <v>1.7</v>
      </c>
      <c r="C72" s="2107">
        <v>2.2000000000000002</v>
      </c>
      <c r="D72" s="2108">
        <v>2.6</v>
      </c>
      <c r="E72" s="2109">
        <v>2.1</v>
      </c>
      <c r="F72" s="2104"/>
      <c r="G72" s="2104"/>
      <c r="H72" s="2099"/>
    </row>
    <row r="73" spans="1:8" ht="15.75" hidden="1">
      <c r="A73" s="2106">
        <v>40360</v>
      </c>
      <c r="B73" s="2107">
        <v>1.8</v>
      </c>
      <c r="C73" s="2107">
        <v>2.2000000000000002</v>
      </c>
      <c r="D73" s="2108">
        <v>2.5</v>
      </c>
      <c r="E73" s="2109">
        <v>2.1</v>
      </c>
      <c r="F73" s="2104"/>
      <c r="G73" s="2104"/>
      <c r="H73" s="2099"/>
    </row>
    <row r="74" spans="1:8" ht="15.75" hidden="1">
      <c r="A74" s="2106">
        <v>40391</v>
      </c>
      <c r="B74" s="2107">
        <v>1.9</v>
      </c>
      <c r="C74" s="2107">
        <v>2.4</v>
      </c>
      <c r="D74" s="2108">
        <v>2.5</v>
      </c>
      <c r="E74" s="2109">
        <v>2.1</v>
      </c>
      <c r="F74" s="2104"/>
      <c r="G74" s="2104"/>
      <c r="H74" s="2099"/>
    </row>
    <row r="75" spans="1:8" ht="15.75" hidden="1">
      <c r="A75" s="2106">
        <v>40422</v>
      </c>
      <c r="B75" s="2107">
        <v>2</v>
      </c>
      <c r="C75" s="2107">
        <v>2.4</v>
      </c>
      <c r="D75" s="2108">
        <v>2.5</v>
      </c>
      <c r="E75" s="2109">
        <v>2.2000000000000002</v>
      </c>
      <c r="F75" s="2104"/>
      <c r="G75" s="2104"/>
      <c r="H75" s="2099"/>
    </row>
    <row r="76" spans="1:8" ht="15.75" hidden="1">
      <c r="A76" s="2106">
        <v>40452</v>
      </c>
      <c r="B76" s="2107">
        <v>2.2999999999999998</v>
      </c>
      <c r="C76" s="2107">
        <v>2.7</v>
      </c>
      <c r="D76" s="2108">
        <v>2.5</v>
      </c>
      <c r="E76" s="2109">
        <v>2.4</v>
      </c>
      <c r="F76" s="2104"/>
      <c r="G76" s="2104"/>
      <c r="H76" s="2099"/>
    </row>
    <row r="77" spans="1:8" ht="15.75" hidden="1">
      <c r="A77" s="2106">
        <v>40483</v>
      </c>
      <c r="B77" s="2107">
        <v>2.5</v>
      </c>
      <c r="C77" s="2107">
        <v>2.9</v>
      </c>
      <c r="D77" s="2108">
        <v>2.6</v>
      </c>
      <c r="E77" s="2109">
        <v>2.6</v>
      </c>
      <c r="F77" s="2104"/>
      <c r="G77" s="2104"/>
      <c r="H77" s="2099"/>
    </row>
    <row r="78" spans="1:8" ht="15.75">
      <c r="A78" s="2106">
        <v>40513</v>
      </c>
      <c r="B78" s="2107">
        <v>2.9</v>
      </c>
      <c r="C78" s="2107">
        <v>3.2</v>
      </c>
      <c r="D78" s="2108">
        <v>2.8</v>
      </c>
      <c r="E78" s="2109">
        <v>2.9</v>
      </c>
      <c r="F78" s="2104"/>
      <c r="G78" s="2104"/>
      <c r="H78" s="2099"/>
    </row>
    <row r="79" spans="1:8" ht="15.75" hidden="1">
      <c r="A79" s="2106">
        <v>40544</v>
      </c>
      <c r="B79" s="2107">
        <v>3.3</v>
      </c>
      <c r="C79" s="2107">
        <v>3.4</v>
      </c>
      <c r="D79" s="2108">
        <v>3</v>
      </c>
      <c r="E79" s="2109">
        <v>3.1</v>
      </c>
      <c r="F79" s="2104"/>
      <c r="G79" s="2104"/>
      <c r="H79" s="2099"/>
    </row>
    <row r="80" spans="1:8" ht="15.75" hidden="1">
      <c r="A80" s="2106">
        <v>40575</v>
      </c>
      <c r="B80" s="2107">
        <v>3.6</v>
      </c>
      <c r="C80" s="2107">
        <v>3.7</v>
      </c>
      <c r="D80" s="2108">
        <v>3.2</v>
      </c>
      <c r="E80" s="2109">
        <v>3.5</v>
      </c>
      <c r="F80" s="2104"/>
      <c r="G80" s="2104"/>
      <c r="H80" s="2099"/>
    </row>
    <row r="81" spans="1:8" ht="15.75" hidden="1">
      <c r="A81" s="2106">
        <v>40603</v>
      </c>
      <c r="B81" s="2107">
        <v>4</v>
      </c>
      <c r="C81" s="2107">
        <v>4</v>
      </c>
      <c r="D81" s="2108">
        <v>3.5</v>
      </c>
      <c r="E81" s="2109">
        <v>3.8</v>
      </c>
      <c r="F81" s="2104"/>
      <c r="G81" s="2104"/>
      <c r="H81" s="2099"/>
    </row>
    <row r="82" spans="1:8" ht="15.75" hidden="1">
      <c r="A82" s="2106">
        <v>40634</v>
      </c>
      <c r="B82" s="2107">
        <v>4.4000000000000004</v>
      </c>
      <c r="C82" s="2107">
        <v>4.3</v>
      </c>
      <c r="D82" s="2108">
        <v>3.8</v>
      </c>
      <c r="E82" s="2109">
        <v>4.0999999999999996</v>
      </c>
      <c r="F82" s="2104"/>
      <c r="G82" s="2104"/>
      <c r="H82" s="2099"/>
    </row>
    <row r="83" spans="1:8" ht="15.75" hidden="1">
      <c r="A83" s="2106">
        <v>40664</v>
      </c>
      <c r="B83" s="2107">
        <v>4.8</v>
      </c>
      <c r="C83" s="2107">
        <v>4.5999999999999996</v>
      </c>
      <c r="D83" s="2108">
        <v>4.0999999999999996</v>
      </c>
      <c r="E83" s="2109">
        <v>4.4000000000000004</v>
      </c>
      <c r="F83" s="2104"/>
      <c r="G83" s="2104"/>
      <c r="H83" s="2099"/>
    </row>
    <row r="84" spans="1:8" ht="15.75">
      <c r="A84" s="2106">
        <v>40695</v>
      </c>
      <c r="B84" s="2107">
        <v>5.0999999999999996</v>
      </c>
      <c r="C84" s="2107">
        <v>4.8</v>
      </c>
      <c r="D84" s="2108">
        <v>4.3</v>
      </c>
      <c r="E84" s="2109">
        <v>4.7</v>
      </c>
      <c r="F84" s="2104"/>
      <c r="G84" s="2104"/>
      <c r="H84" s="2099"/>
    </row>
    <row r="85" spans="1:8" ht="15.75" hidden="1">
      <c r="A85" s="2106">
        <v>40725</v>
      </c>
      <c r="B85" s="2107">
        <v>5.5</v>
      </c>
      <c r="C85" s="2107">
        <v>5.2</v>
      </c>
      <c r="D85" s="2108">
        <v>4.5</v>
      </c>
      <c r="E85" s="2109">
        <v>5</v>
      </c>
      <c r="F85" s="2104"/>
      <c r="G85" s="2104"/>
      <c r="H85" s="2099"/>
    </row>
    <row r="86" spans="1:8" ht="15.75" hidden="1">
      <c r="A86" s="2106">
        <v>40756</v>
      </c>
      <c r="B86" s="2107">
        <v>5.8</v>
      </c>
      <c r="C86" s="2107">
        <v>5.5</v>
      </c>
      <c r="D86" s="2108">
        <v>4.7</v>
      </c>
      <c r="E86" s="2109">
        <v>5.0999999999999996</v>
      </c>
      <c r="F86" s="2104"/>
      <c r="G86" s="2104"/>
      <c r="H86" s="2099"/>
    </row>
    <row r="87" spans="1:8" ht="15.75" hidden="1">
      <c r="A87" s="2106">
        <v>40787</v>
      </c>
      <c r="B87" s="2107">
        <v>6.2</v>
      </c>
      <c r="C87" s="2107">
        <v>5.8</v>
      </c>
      <c r="D87" s="2108">
        <v>4.8</v>
      </c>
      <c r="E87" s="2109">
        <v>5.3</v>
      </c>
      <c r="F87" s="2104"/>
      <c r="G87" s="2104"/>
      <c r="H87" s="2099"/>
    </row>
    <row r="88" spans="1:8" ht="15.75" hidden="1">
      <c r="A88" s="2106">
        <v>40817</v>
      </c>
      <c r="B88" s="2107">
        <v>6.4</v>
      </c>
      <c r="C88" s="2107">
        <v>5.9</v>
      </c>
      <c r="D88" s="2108">
        <v>4.8</v>
      </c>
      <c r="E88" s="2109">
        <v>5.4</v>
      </c>
      <c r="F88" s="2104"/>
      <c r="G88" s="2104"/>
      <c r="H88" s="2099"/>
    </row>
    <row r="89" spans="1:8" ht="15.75" hidden="1">
      <c r="A89" s="2106">
        <v>40848</v>
      </c>
      <c r="B89" s="2107">
        <v>6.6</v>
      </c>
      <c r="C89" s="2107">
        <v>6.1</v>
      </c>
      <c r="D89" s="2108">
        <v>4.9000000000000004</v>
      </c>
      <c r="E89" s="2109">
        <v>5.5</v>
      </c>
      <c r="F89" s="2104"/>
      <c r="G89" s="2104"/>
      <c r="H89" s="2099"/>
    </row>
    <row r="90" spans="1:8" ht="15.75">
      <c r="A90" s="2106">
        <v>40878</v>
      </c>
      <c r="B90" s="2107">
        <v>6.5</v>
      </c>
      <c r="C90" s="2107">
        <v>6</v>
      </c>
      <c r="D90" s="2108">
        <v>4.8</v>
      </c>
      <c r="E90" s="2109">
        <v>5.3</v>
      </c>
      <c r="F90" s="2104"/>
      <c r="G90" s="2104"/>
      <c r="H90" s="2099"/>
    </row>
    <row r="91" spans="1:8" ht="15.75" hidden="1">
      <c r="A91" s="2106">
        <v>40909</v>
      </c>
      <c r="B91" s="2107">
        <v>6.4</v>
      </c>
      <c r="C91" s="2107">
        <v>5.8</v>
      </c>
      <c r="D91" s="2108">
        <v>4.5999999999999996</v>
      </c>
      <c r="E91" s="2109">
        <v>5</v>
      </c>
      <c r="F91" s="2104"/>
      <c r="G91" s="2104"/>
      <c r="H91" s="2099"/>
    </row>
    <row r="92" spans="1:8" ht="15.75" hidden="1">
      <c r="A92" s="2106">
        <v>40940</v>
      </c>
      <c r="B92" s="2107">
        <v>6.2</v>
      </c>
      <c r="C92" s="2107">
        <v>5.6</v>
      </c>
      <c r="D92" s="2108">
        <v>4.5</v>
      </c>
      <c r="E92" s="2109">
        <v>4.7</v>
      </c>
      <c r="F92" s="2104"/>
      <c r="G92" s="2104"/>
      <c r="H92" s="2099"/>
    </row>
    <row r="93" spans="1:8" ht="15.75" hidden="1">
      <c r="A93" s="2106">
        <v>40969</v>
      </c>
      <c r="B93" s="2107">
        <v>5.9</v>
      </c>
      <c r="C93" s="2107">
        <v>5.3</v>
      </c>
      <c r="D93" s="2108">
        <v>4.3</v>
      </c>
      <c r="E93" s="2109">
        <v>4.4000000000000004</v>
      </c>
      <c r="F93" s="2104"/>
      <c r="G93" s="2104"/>
      <c r="H93" s="2099"/>
    </row>
    <row r="94" spans="1:8" ht="15.75" hidden="1">
      <c r="A94" s="2106">
        <v>41000</v>
      </c>
      <c r="B94" s="2107">
        <v>5.6</v>
      </c>
      <c r="C94" s="2107">
        <v>5</v>
      </c>
      <c r="D94" s="2108">
        <v>4.0999999999999996</v>
      </c>
      <c r="E94" s="2109">
        <v>4.0999999999999996</v>
      </c>
      <c r="F94" s="2104"/>
      <c r="G94" s="2104"/>
      <c r="H94" s="2099"/>
    </row>
    <row r="95" spans="1:8" ht="15.75" hidden="1">
      <c r="A95" s="2106">
        <v>41030</v>
      </c>
      <c r="B95" s="2107">
        <v>5.3</v>
      </c>
      <c r="C95" s="2107">
        <v>4.5999999999999996</v>
      </c>
      <c r="D95" s="2108">
        <v>3.8</v>
      </c>
      <c r="E95" s="2109">
        <v>3.8</v>
      </c>
      <c r="F95" s="2104"/>
      <c r="G95" s="2104"/>
      <c r="H95" s="2099"/>
    </row>
    <row r="96" spans="1:8" ht="15.75">
      <c r="A96" s="2106">
        <v>41061</v>
      </c>
      <c r="B96" s="2107">
        <v>5.0999999999999996</v>
      </c>
      <c r="C96" s="2107">
        <v>4.4000000000000004</v>
      </c>
      <c r="D96" s="2108">
        <v>3.6</v>
      </c>
      <c r="E96" s="2109">
        <v>3.6</v>
      </c>
      <c r="F96" s="2104"/>
      <c r="G96" s="2104"/>
      <c r="H96" s="2099"/>
    </row>
    <row r="97" spans="1:8" ht="15.75" hidden="1">
      <c r="A97" s="2106">
        <v>41091</v>
      </c>
      <c r="B97" s="2107">
        <v>4.9000000000000004</v>
      </c>
      <c r="C97" s="2107">
        <v>4.0999999999999996</v>
      </c>
      <c r="D97" s="2108">
        <v>3.4</v>
      </c>
      <c r="E97" s="2109">
        <v>3.3</v>
      </c>
      <c r="F97" s="2104"/>
      <c r="G97" s="2104"/>
      <c r="H97" s="2099"/>
    </row>
    <row r="98" spans="1:8" ht="15.75" hidden="1">
      <c r="A98" s="2106">
        <v>41122</v>
      </c>
      <c r="B98" s="2107">
        <v>4.5999999999999996</v>
      </c>
      <c r="C98" s="2107">
        <v>3.9</v>
      </c>
      <c r="D98" s="2108">
        <v>3.2</v>
      </c>
      <c r="E98" s="2109">
        <v>3.1</v>
      </c>
      <c r="F98" s="2104"/>
      <c r="G98" s="2104"/>
      <c r="H98" s="2099"/>
    </row>
    <row r="99" spans="1:8" ht="15.75" hidden="1">
      <c r="A99" s="2106">
        <v>41153</v>
      </c>
      <c r="B99" s="2107">
        <v>4.4000000000000004</v>
      </c>
      <c r="C99" s="2107">
        <v>3.7</v>
      </c>
      <c r="D99" s="2108">
        <v>3.2</v>
      </c>
      <c r="E99" s="2109">
        <v>2.9</v>
      </c>
      <c r="F99" s="2104"/>
      <c r="G99" s="2104"/>
      <c r="H99" s="2099"/>
    </row>
    <row r="100" spans="1:8" ht="15.75" hidden="1">
      <c r="A100" s="2106">
        <v>41183</v>
      </c>
      <c r="B100" s="2107">
        <v>4.3</v>
      </c>
      <c r="C100" s="2107">
        <v>3.6</v>
      </c>
      <c r="D100" s="2108">
        <v>3.1</v>
      </c>
      <c r="E100" s="2109">
        <v>2.8</v>
      </c>
      <c r="F100" s="2104"/>
      <c r="G100" s="2104"/>
      <c r="H100" s="2099"/>
    </row>
    <row r="101" spans="1:8" ht="15.75" hidden="1">
      <c r="A101" s="2106">
        <v>41214</v>
      </c>
      <c r="B101" s="2107">
        <v>4</v>
      </c>
      <c r="C101" s="2107">
        <v>3.4</v>
      </c>
      <c r="D101" s="2108">
        <v>3.1</v>
      </c>
      <c r="E101" s="2109">
        <v>2.6</v>
      </c>
      <c r="F101" s="2104"/>
      <c r="G101" s="2104"/>
      <c r="H101" s="2099"/>
    </row>
    <row r="102" spans="1:8" ht="15.75">
      <c r="A102" s="2106">
        <v>41244</v>
      </c>
      <c r="B102" s="2107">
        <v>3.9</v>
      </c>
      <c r="C102" s="2107">
        <v>3.3</v>
      </c>
      <c r="D102" s="2108">
        <v>3</v>
      </c>
      <c r="E102" s="2109">
        <v>2.5</v>
      </c>
      <c r="F102" s="2104"/>
      <c r="G102" s="2104"/>
      <c r="H102" s="2099"/>
    </row>
    <row r="103" spans="1:8" ht="15.75">
      <c r="A103" s="2106">
        <v>41275</v>
      </c>
      <c r="B103" s="2107">
        <v>3.7</v>
      </c>
      <c r="C103" s="2107">
        <v>3.2</v>
      </c>
      <c r="D103" s="2108">
        <v>3</v>
      </c>
      <c r="E103" s="2109">
        <v>2.4</v>
      </c>
      <c r="F103" s="2104"/>
      <c r="G103" s="2104"/>
      <c r="H103" s="2099"/>
    </row>
    <row r="104" spans="1:8" ht="15.75">
      <c r="A104" s="2106">
        <v>41306</v>
      </c>
      <c r="B104" s="2107">
        <v>3.6</v>
      </c>
      <c r="C104" s="2107">
        <v>3</v>
      </c>
      <c r="D104" s="2108">
        <v>2.9</v>
      </c>
      <c r="E104" s="2109">
        <v>2.4</v>
      </c>
      <c r="F104" s="2104"/>
      <c r="G104" s="2104"/>
      <c r="H104" s="2099"/>
    </row>
    <row r="105" spans="1:8" ht="15.75">
      <c r="A105" s="2106">
        <v>41334</v>
      </c>
      <c r="B105" s="2107">
        <v>3.6</v>
      </c>
      <c r="C105" s="2107">
        <v>3</v>
      </c>
      <c r="D105" s="2108">
        <v>2.9</v>
      </c>
      <c r="E105" s="2109">
        <v>2.4</v>
      </c>
      <c r="F105" s="2104"/>
      <c r="G105" s="2104"/>
      <c r="H105" s="2099"/>
    </row>
    <row r="106" spans="1:8" ht="15.75">
      <c r="A106" s="2106">
        <v>41365</v>
      </c>
      <c r="B106" s="2107">
        <v>3.6</v>
      </c>
      <c r="C106" s="2107">
        <v>2.9</v>
      </c>
      <c r="D106" s="2108">
        <v>2.8</v>
      </c>
      <c r="E106" s="2109">
        <v>2.5</v>
      </c>
      <c r="F106" s="2104"/>
      <c r="G106" s="2104"/>
      <c r="H106" s="2099"/>
    </row>
    <row r="107" spans="1:8" ht="15.75">
      <c r="A107" s="2106">
        <v>41395</v>
      </c>
      <c r="B107" s="2107">
        <v>3.6</v>
      </c>
      <c r="C107" s="2107">
        <v>2.9</v>
      </c>
      <c r="D107" s="2108">
        <v>2.8</v>
      </c>
      <c r="E107" s="2109">
        <v>2.5</v>
      </c>
      <c r="F107" s="2104"/>
      <c r="G107" s="2104"/>
      <c r="H107" s="2099"/>
    </row>
    <row r="108" spans="1:8" ht="15.75">
      <c r="A108" s="2106">
        <v>41426</v>
      </c>
      <c r="B108" s="2107">
        <v>3.6</v>
      </c>
      <c r="C108" s="2107">
        <v>2.8</v>
      </c>
      <c r="D108" s="2108">
        <v>2.8</v>
      </c>
      <c r="E108" s="2109">
        <v>2.5</v>
      </c>
      <c r="F108" s="2104"/>
      <c r="G108" s="2104"/>
      <c r="H108" s="2099"/>
    </row>
    <row r="109" spans="1:8" ht="15.75">
      <c r="A109" s="2106">
        <v>41456</v>
      </c>
      <c r="B109" s="2107">
        <v>3.6</v>
      </c>
      <c r="C109" s="2107">
        <v>2.8</v>
      </c>
      <c r="D109" s="2108">
        <v>2.8</v>
      </c>
      <c r="E109" s="2109">
        <v>2.6</v>
      </c>
      <c r="F109" s="2104"/>
      <c r="G109" s="2104"/>
      <c r="H109" s="2099"/>
    </row>
    <row r="110" spans="1:8" ht="15.75">
      <c r="A110" s="2106">
        <v>41487</v>
      </c>
      <c r="B110" s="2107">
        <v>3.5</v>
      </c>
      <c r="C110" s="2107">
        <v>2.8</v>
      </c>
      <c r="D110" s="2108">
        <v>2.7</v>
      </c>
      <c r="E110" s="2109">
        <v>2.6</v>
      </c>
      <c r="F110" s="2104"/>
      <c r="G110" s="2104"/>
      <c r="H110" s="2099"/>
    </row>
    <row r="111" spans="1:8" ht="15.75">
      <c r="A111" s="2106">
        <v>41518</v>
      </c>
      <c r="B111" s="2107">
        <v>3.5</v>
      </c>
      <c r="C111" s="2107">
        <v>2.7</v>
      </c>
      <c r="D111" s="2108">
        <v>2.7</v>
      </c>
      <c r="E111" s="2109">
        <v>2.7</v>
      </c>
      <c r="F111" s="2104"/>
      <c r="G111" s="2104"/>
      <c r="H111" s="2099"/>
    </row>
    <row r="112" spans="1:8" ht="15.75">
      <c r="A112" s="2106">
        <v>41548</v>
      </c>
      <c r="B112" s="2107">
        <v>3.4</v>
      </c>
      <c r="C112" s="2107">
        <v>2.6</v>
      </c>
      <c r="D112" s="2108">
        <v>2.6</v>
      </c>
      <c r="E112" s="2109">
        <v>2.7</v>
      </c>
      <c r="F112" s="2104"/>
      <c r="G112" s="2104"/>
      <c r="H112" s="2099"/>
    </row>
    <row r="113" spans="1:8" ht="15.75">
      <c r="A113" s="2106">
        <v>41579</v>
      </c>
      <c r="B113" s="2107">
        <v>3.5</v>
      </c>
      <c r="C113" s="2107">
        <v>2.6</v>
      </c>
      <c r="D113" s="2108">
        <v>2.5</v>
      </c>
      <c r="E113" s="2109">
        <v>2.8</v>
      </c>
      <c r="F113" s="2104"/>
      <c r="G113" s="2104"/>
      <c r="H113" s="2099"/>
    </row>
    <row r="114" spans="1:8" ht="15.75">
      <c r="A114" s="2106">
        <v>41609</v>
      </c>
      <c r="B114" s="2107">
        <v>3.5</v>
      </c>
      <c r="C114" s="2107">
        <v>2.6</v>
      </c>
      <c r="D114" s="2108">
        <v>2.6</v>
      </c>
      <c r="E114" s="2109">
        <v>2.9</v>
      </c>
      <c r="F114" s="2104"/>
      <c r="G114" s="2104"/>
      <c r="H114" s="2099"/>
    </row>
    <row r="115" spans="1:8" ht="15.75">
      <c r="A115" s="2106">
        <v>41640</v>
      </c>
      <c r="B115" s="2107">
        <v>3.7</v>
      </c>
      <c r="C115" s="2107">
        <v>2.8</v>
      </c>
      <c r="D115" s="2108">
        <v>2.6</v>
      </c>
      <c r="E115" s="2109">
        <v>3.1</v>
      </c>
      <c r="F115" s="2104"/>
      <c r="G115" s="2104"/>
      <c r="H115" s="2099"/>
    </row>
    <row r="116" spans="1:8" ht="15.75">
      <c r="A116" s="2106">
        <v>41671</v>
      </c>
      <c r="B116" s="2107">
        <v>3.9</v>
      </c>
      <c r="C116" s="2107">
        <v>2.9</v>
      </c>
      <c r="D116" s="2108">
        <v>2.7</v>
      </c>
      <c r="E116" s="2109">
        <v>3.2</v>
      </c>
      <c r="F116" s="2104"/>
      <c r="G116" s="2104"/>
      <c r="H116" s="2099"/>
    </row>
    <row r="117" spans="1:8" ht="15.75">
      <c r="A117" s="2106">
        <v>41699</v>
      </c>
      <c r="B117" s="2107">
        <v>4</v>
      </c>
      <c r="C117" s="2107">
        <v>2.9</v>
      </c>
      <c r="D117" s="2108">
        <v>2.7</v>
      </c>
      <c r="E117" s="2109">
        <v>3.3</v>
      </c>
      <c r="F117" s="2104"/>
      <c r="G117" s="2104"/>
      <c r="H117" s="2099"/>
    </row>
    <row r="118" spans="1:8" ht="15.75">
      <c r="A118" s="2106">
        <v>41730</v>
      </c>
      <c r="B118" s="2107">
        <v>4</v>
      </c>
      <c r="C118" s="2107">
        <v>2.9</v>
      </c>
      <c r="D118" s="2108">
        <v>2.8</v>
      </c>
      <c r="E118" s="2109">
        <v>3.2</v>
      </c>
      <c r="F118" s="2104"/>
      <c r="G118" s="2104"/>
      <c r="H118" s="2099"/>
    </row>
    <row r="119" spans="1:8" ht="15.75">
      <c r="A119" s="2106">
        <v>41760</v>
      </c>
      <c r="B119" s="2107">
        <v>4</v>
      </c>
      <c r="C119" s="2107">
        <v>2.9</v>
      </c>
      <c r="D119" s="2108">
        <v>2.9</v>
      </c>
      <c r="E119" s="2109">
        <v>3.2</v>
      </c>
      <c r="F119" s="2104"/>
      <c r="G119" s="2104"/>
      <c r="H119" s="2099"/>
    </row>
    <row r="120" spans="1:8" ht="15.75">
      <c r="A120" s="2106">
        <v>41791</v>
      </c>
      <c r="B120" s="2107">
        <v>4</v>
      </c>
      <c r="C120" s="2107">
        <v>2.9</v>
      </c>
      <c r="D120" s="2108">
        <v>2.9</v>
      </c>
      <c r="E120" s="2109">
        <v>3.2</v>
      </c>
      <c r="F120" s="2104"/>
      <c r="G120" s="2104"/>
      <c r="H120" s="2099"/>
    </row>
    <row r="121" spans="1:8" ht="15.75">
      <c r="A121" s="2106">
        <v>41821</v>
      </c>
      <c r="B121" s="2107">
        <v>3.9</v>
      </c>
      <c r="C121" s="2107">
        <v>2.9</v>
      </c>
      <c r="D121" s="2108">
        <v>3</v>
      </c>
      <c r="E121" s="2109">
        <v>3.1</v>
      </c>
      <c r="F121" s="2104"/>
      <c r="G121" s="2104"/>
      <c r="H121" s="2099"/>
    </row>
    <row r="122" spans="1:8" ht="3.75" customHeight="1" thickBot="1">
      <c r="A122" s="2110"/>
      <c r="B122" s="2111"/>
      <c r="C122" s="2111"/>
      <c r="D122" s="2112"/>
      <c r="E122" s="2113"/>
      <c r="F122" s="2104"/>
      <c r="G122" s="2104"/>
      <c r="H122" s="2099"/>
    </row>
    <row r="123" spans="1:8" ht="18" customHeight="1" thickTop="1">
      <c r="A123" s="2086" t="s">
        <v>3157</v>
      </c>
      <c r="B123" s="2114"/>
      <c r="C123" s="2114"/>
      <c r="D123" s="2114"/>
      <c r="E123" s="2114"/>
      <c r="F123" s="2114"/>
      <c r="G123" s="2114"/>
      <c r="H123" s="2114"/>
    </row>
    <row r="124" spans="1:8">
      <c r="A124" s="2086" t="s">
        <v>3158</v>
      </c>
      <c r="B124" s="2086"/>
      <c r="C124" s="2086"/>
      <c r="D124" s="2086"/>
      <c r="E124" s="2086"/>
      <c r="F124" s="2086"/>
      <c r="G124" s="2086"/>
      <c r="H124" s="2086"/>
    </row>
    <row r="125" spans="1:8">
      <c r="A125" s="2086" t="s">
        <v>3159</v>
      </c>
      <c r="B125" s="2086"/>
      <c r="C125" s="2086"/>
      <c r="D125" s="2086"/>
      <c r="E125" s="2086"/>
      <c r="F125" s="2086"/>
      <c r="G125" s="2086"/>
      <c r="H125" s="2086"/>
    </row>
    <row r="126" spans="1:8" s="2117" customFormat="1">
      <c r="A126" s="2115" t="s">
        <v>3160</v>
      </c>
      <c r="B126" s="2116"/>
      <c r="C126" s="2116"/>
      <c r="D126" s="2116"/>
      <c r="E126" s="2116"/>
      <c r="F126" s="2115"/>
      <c r="G126" s="2115"/>
      <c r="H126" s="2115"/>
    </row>
    <row r="127" spans="1:8" s="2117" customFormat="1">
      <c r="A127" s="2115" t="s">
        <v>3161</v>
      </c>
      <c r="B127" s="2116"/>
      <c r="C127" s="2116"/>
      <c r="D127" s="2116"/>
      <c r="E127" s="2116"/>
      <c r="F127" s="2115"/>
      <c r="G127" s="2115"/>
      <c r="H127" s="2115"/>
    </row>
    <row r="128" spans="1:8">
      <c r="A128" s="2086" t="s">
        <v>3162</v>
      </c>
      <c r="B128" s="2118"/>
      <c r="C128" s="2118"/>
      <c r="D128" s="2118"/>
      <c r="E128" s="2118"/>
      <c r="F128" s="2086"/>
      <c r="G128" s="2086"/>
      <c r="H128" s="2086"/>
    </row>
    <row r="129" spans="1:8">
      <c r="A129" s="2086" t="s">
        <v>180</v>
      </c>
      <c r="B129" s="2084"/>
    </row>
    <row r="130" spans="1:8" ht="15.75">
      <c r="A130" s="2119"/>
      <c r="B130" s="2119"/>
      <c r="C130" s="2119"/>
      <c r="D130" s="2119"/>
      <c r="E130" s="2119"/>
      <c r="F130" s="2119"/>
      <c r="G130" s="2119"/>
      <c r="H130" s="2119"/>
    </row>
  </sheetData>
  <printOptions horizontalCentered="1"/>
  <pageMargins left="0.5" right="0" top="0.5" bottom="0" header="0" footer="0"/>
  <pageSetup paperSize="9" scale="7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9"/>
  <sheetViews>
    <sheetView zoomScaleNormal="100" zoomScaleSheetLayoutView="100" workbookViewId="0">
      <selection activeCell="L132" sqref="L132"/>
    </sheetView>
  </sheetViews>
  <sheetFormatPr defaultRowHeight="15.75"/>
  <cols>
    <col min="1" max="1" width="11.28515625" style="2124" customWidth="1"/>
    <col min="2" max="2" width="10.42578125" style="2124" customWidth="1"/>
    <col min="3" max="3" width="10.28515625" style="2124" customWidth="1"/>
    <col min="4" max="4" width="12.42578125" style="2124" customWidth="1"/>
    <col min="5" max="5" width="8.85546875" style="2124" customWidth="1"/>
    <col min="6" max="6" width="10.7109375" style="2124" customWidth="1"/>
    <col min="7" max="7" width="10" style="2124" customWidth="1"/>
    <col min="8" max="8" width="8.5703125" style="2124" customWidth="1"/>
    <col min="9" max="9" width="8.7109375" style="2124" customWidth="1"/>
    <col min="10" max="10" width="8.42578125" style="2124" customWidth="1"/>
    <col min="11" max="11" width="13.42578125" style="2124" customWidth="1"/>
    <col min="12" max="12" width="10.42578125" style="2124" customWidth="1"/>
    <col min="13" max="13" width="9.140625" style="2124"/>
    <col min="14" max="14" width="14.5703125" style="2124" bestFit="1" customWidth="1"/>
    <col min="15" max="15" width="9.140625" style="2124"/>
    <col min="16" max="16" width="14.5703125" style="2124" bestFit="1" customWidth="1"/>
    <col min="17" max="256" width="9.140625" style="2124"/>
    <col min="257" max="257" width="11.28515625" style="2124" customWidth="1"/>
    <col min="258" max="259" width="9.140625" style="2124"/>
    <col min="260" max="260" width="9.85546875" style="2124" customWidth="1"/>
    <col min="261" max="262" width="9.140625" style="2124" customWidth="1"/>
    <col min="263" max="263" width="8.85546875" style="2124" customWidth="1"/>
    <col min="264" max="264" width="8.5703125" style="2124" customWidth="1"/>
    <col min="265" max="265" width="8" style="2124" customWidth="1"/>
    <col min="266" max="266" width="8.7109375" style="2124" customWidth="1"/>
    <col min="267" max="267" width="13.42578125" style="2124" customWidth="1"/>
    <col min="268" max="268" width="10.42578125" style="2124" customWidth="1"/>
    <col min="269" max="269" width="9.140625" style="2124"/>
    <col min="270" max="270" width="14.5703125" style="2124" bestFit="1" customWidth="1"/>
    <col min="271" max="271" width="9.140625" style="2124"/>
    <col min="272" max="272" width="14.5703125" style="2124" bestFit="1" customWidth="1"/>
    <col min="273" max="512" width="9.140625" style="2124"/>
    <col min="513" max="513" width="11.28515625" style="2124" customWidth="1"/>
    <col min="514" max="515" width="9.140625" style="2124"/>
    <col min="516" max="516" width="9.85546875" style="2124" customWidth="1"/>
    <col min="517" max="518" width="9.140625" style="2124" customWidth="1"/>
    <col min="519" max="519" width="8.85546875" style="2124" customWidth="1"/>
    <col min="520" max="520" width="8.5703125" style="2124" customWidth="1"/>
    <col min="521" max="521" width="8" style="2124" customWidth="1"/>
    <col min="522" max="522" width="8.7109375" style="2124" customWidth="1"/>
    <col min="523" max="523" width="13.42578125" style="2124" customWidth="1"/>
    <col min="524" max="524" width="10.42578125" style="2124" customWidth="1"/>
    <col min="525" max="525" width="9.140625" style="2124"/>
    <col min="526" max="526" width="14.5703125" style="2124" bestFit="1" customWidth="1"/>
    <col min="527" max="527" width="9.140625" style="2124"/>
    <col min="528" max="528" width="14.5703125" style="2124" bestFit="1" customWidth="1"/>
    <col min="529" max="768" width="9.140625" style="2124"/>
    <col min="769" max="769" width="11.28515625" style="2124" customWidth="1"/>
    <col min="770" max="771" width="9.140625" style="2124"/>
    <col min="772" max="772" width="9.85546875" style="2124" customWidth="1"/>
    <col min="773" max="774" width="9.140625" style="2124" customWidth="1"/>
    <col min="775" max="775" width="8.85546875" style="2124" customWidth="1"/>
    <col min="776" max="776" width="8.5703125" style="2124" customWidth="1"/>
    <col min="777" max="777" width="8" style="2124" customWidth="1"/>
    <col min="778" max="778" width="8.7109375" style="2124" customWidth="1"/>
    <col min="779" max="779" width="13.42578125" style="2124" customWidth="1"/>
    <col min="780" max="780" width="10.42578125" style="2124" customWidth="1"/>
    <col min="781" max="781" width="9.140625" style="2124"/>
    <col min="782" max="782" width="14.5703125" style="2124" bestFit="1" customWidth="1"/>
    <col min="783" max="783" width="9.140625" style="2124"/>
    <col min="784" max="784" width="14.5703125" style="2124" bestFit="1" customWidth="1"/>
    <col min="785" max="1024" width="9.140625" style="2124"/>
    <col min="1025" max="1025" width="11.28515625" style="2124" customWidth="1"/>
    <col min="1026" max="1027" width="9.140625" style="2124"/>
    <col min="1028" max="1028" width="9.85546875" style="2124" customWidth="1"/>
    <col min="1029" max="1030" width="9.140625" style="2124" customWidth="1"/>
    <col min="1031" max="1031" width="8.85546875" style="2124" customWidth="1"/>
    <col min="1032" max="1032" width="8.5703125" style="2124" customWidth="1"/>
    <col min="1033" max="1033" width="8" style="2124" customWidth="1"/>
    <col min="1034" max="1034" width="8.7109375" style="2124" customWidth="1"/>
    <col min="1035" max="1035" width="13.42578125" style="2124" customWidth="1"/>
    <col min="1036" max="1036" width="10.42578125" style="2124" customWidth="1"/>
    <col min="1037" max="1037" width="9.140625" style="2124"/>
    <col min="1038" max="1038" width="14.5703125" style="2124" bestFit="1" customWidth="1"/>
    <col min="1039" max="1039" width="9.140625" style="2124"/>
    <col min="1040" max="1040" width="14.5703125" style="2124" bestFit="1" customWidth="1"/>
    <col min="1041" max="1280" width="9.140625" style="2124"/>
    <col min="1281" max="1281" width="11.28515625" style="2124" customWidth="1"/>
    <col min="1282" max="1283" width="9.140625" style="2124"/>
    <col min="1284" max="1284" width="9.85546875" style="2124" customWidth="1"/>
    <col min="1285" max="1286" width="9.140625" style="2124" customWidth="1"/>
    <col min="1287" max="1287" width="8.85546875" style="2124" customWidth="1"/>
    <col min="1288" max="1288" width="8.5703125" style="2124" customWidth="1"/>
    <col min="1289" max="1289" width="8" style="2124" customWidth="1"/>
    <col min="1290" max="1290" width="8.7109375" style="2124" customWidth="1"/>
    <col min="1291" max="1291" width="13.42578125" style="2124" customWidth="1"/>
    <col min="1292" max="1292" width="10.42578125" style="2124" customWidth="1"/>
    <col min="1293" max="1293" width="9.140625" style="2124"/>
    <col min="1294" max="1294" width="14.5703125" style="2124" bestFit="1" customWidth="1"/>
    <col min="1295" max="1295" width="9.140625" style="2124"/>
    <col min="1296" max="1296" width="14.5703125" style="2124" bestFit="1" customWidth="1"/>
    <col min="1297" max="1536" width="9.140625" style="2124"/>
    <col min="1537" max="1537" width="11.28515625" style="2124" customWidth="1"/>
    <col min="1538" max="1539" width="9.140625" style="2124"/>
    <col min="1540" max="1540" width="9.85546875" style="2124" customWidth="1"/>
    <col min="1541" max="1542" width="9.140625" style="2124" customWidth="1"/>
    <col min="1543" max="1543" width="8.85546875" style="2124" customWidth="1"/>
    <col min="1544" max="1544" width="8.5703125" style="2124" customWidth="1"/>
    <col min="1545" max="1545" width="8" style="2124" customWidth="1"/>
    <col min="1546" max="1546" width="8.7109375" style="2124" customWidth="1"/>
    <col min="1547" max="1547" width="13.42578125" style="2124" customWidth="1"/>
    <col min="1548" max="1548" width="10.42578125" style="2124" customWidth="1"/>
    <col min="1549" max="1549" width="9.140625" style="2124"/>
    <col min="1550" max="1550" width="14.5703125" style="2124" bestFit="1" customWidth="1"/>
    <col min="1551" max="1551" width="9.140625" style="2124"/>
    <col min="1552" max="1552" width="14.5703125" style="2124" bestFit="1" customWidth="1"/>
    <col min="1553" max="1792" width="9.140625" style="2124"/>
    <col min="1793" max="1793" width="11.28515625" style="2124" customWidth="1"/>
    <col min="1794" max="1795" width="9.140625" style="2124"/>
    <col min="1796" max="1796" width="9.85546875" style="2124" customWidth="1"/>
    <col min="1797" max="1798" width="9.140625" style="2124" customWidth="1"/>
    <col min="1799" max="1799" width="8.85546875" style="2124" customWidth="1"/>
    <col min="1800" max="1800" width="8.5703125" style="2124" customWidth="1"/>
    <col min="1801" max="1801" width="8" style="2124" customWidth="1"/>
    <col min="1802" max="1802" width="8.7109375" style="2124" customWidth="1"/>
    <col min="1803" max="1803" width="13.42578125" style="2124" customWidth="1"/>
    <col min="1804" max="1804" width="10.42578125" style="2124" customWidth="1"/>
    <col min="1805" max="1805" width="9.140625" style="2124"/>
    <col min="1806" max="1806" width="14.5703125" style="2124" bestFit="1" customWidth="1"/>
    <col min="1807" max="1807" width="9.140625" style="2124"/>
    <col min="1808" max="1808" width="14.5703125" style="2124" bestFit="1" customWidth="1"/>
    <col min="1809" max="2048" width="9.140625" style="2124"/>
    <col min="2049" max="2049" width="11.28515625" style="2124" customWidth="1"/>
    <col min="2050" max="2051" width="9.140625" style="2124"/>
    <col min="2052" max="2052" width="9.85546875" style="2124" customWidth="1"/>
    <col min="2053" max="2054" width="9.140625" style="2124" customWidth="1"/>
    <col min="2055" max="2055" width="8.85546875" style="2124" customWidth="1"/>
    <col min="2056" max="2056" width="8.5703125" style="2124" customWidth="1"/>
    <col min="2057" max="2057" width="8" style="2124" customWidth="1"/>
    <col min="2058" max="2058" width="8.7109375" style="2124" customWidth="1"/>
    <col min="2059" max="2059" width="13.42578125" style="2124" customWidth="1"/>
    <col min="2060" max="2060" width="10.42578125" style="2124" customWidth="1"/>
    <col min="2061" max="2061" width="9.140625" style="2124"/>
    <col min="2062" max="2062" width="14.5703125" style="2124" bestFit="1" customWidth="1"/>
    <col min="2063" max="2063" width="9.140625" style="2124"/>
    <col min="2064" max="2064" width="14.5703125" style="2124" bestFit="1" customWidth="1"/>
    <col min="2065" max="2304" width="9.140625" style="2124"/>
    <col min="2305" max="2305" width="11.28515625" style="2124" customWidth="1"/>
    <col min="2306" max="2307" width="9.140625" style="2124"/>
    <col min="2308" max="2308" width="9.85546875" style="2124" customWidth="1"/>
    <col min="2309" max="2310" width="9.140625" style="2124" customWidth="1"/>
    <col min="2311" max="2311" width="8.85546875" style="2124" customWidth="1"/>
    <col min="2312" max="2312" width="8.5703125" style="2124" customWidth="1"/>
    <col min="2313" max="2313" width="8" style="2124" customWidth="1"/>
    <col min="2314" max="2314" width="8.7109375" style="2124" customWidth="1"/>
    <col min="2315" max="2315" width="13.42578125" style="2124" customWidth="1"/>
    <col min="2316" max="2316" width="10.42578125" style="2124" customWidth="1"/>
    <col min="2317" max="2317" width="9.140625" style="2124"/>
    <col min="2318" max="2318" width="14.5703125" style="2124" bestFit="1" customWidth="1"/>
    <col min="2319" max="2319" width="9.140625" style="2124"/>
    <col min="2320" max="2320" width="14.5703125" style="2124" bestFit="1" customWidth="1"/>
    <col min="2321" max="2560" width="9.140625" style="2124"/>
    <col min="2561" max="2561" width="11.28515625" style="2124" customWidth="1"/>
    <col min="2562" max="2563" width="9.140625" style="2124"/>
    <col min="2564" max="2564" width="9.85546875" style="2124" customWidth="1"/>
    <col min="2565" max="2566" width="9.140625" style="2124" customWidth="1"/>
    <col min="2567" max="2567" width="8.85546875" style="2124" customWidth="1"/>
    <col min="2568" max="2568" width="8.5703125" style="2124" customWidth="1"/>
    <col min="2569" max="2569" width="8" style="2124" customWidth="1"/>
    <col min="2570" max="2570" width="8.7109375" style="2124" customWidth="1"/>
    <col min="2571" max="2571" width="13.42578125" style="2124" customWidth="1"/>
    <col min="2572" max="2572" width="10.42578125" style="2124" customWidth="1"/>
    <col min="2573" max="2573" width="9.140625" style="2124"/>
    <col min="2574" max="2574" width="14.5703125" style="2124" bestFit="1" customWidth="1"/>
    <col min="2575" max="2575" width="9.140625" style="2124"/>
    <col min="2576" max="2576" width="14.5703125" style="2124" bestFit="1" customWidth="1"/>
    <col min="2577" max="2816" width="9.140625" style="2124"/>
    <col min="2817" max="2817" width="11.28515625" style="2124" customWidth="1"/>
    <col min="2818" max="2819" width="9.140625" style="2124"/>
    <col min="2820" max="2820" width="9.85546875" style="2124" customWidth="1"/>
    <col min="2821" max="2822" width="9.140625" style="2124" customWidth="1"/>
    <col min="2823" max="2823" width="8.85546875" style="2124" customWidth="1"/>
    <col min="2824" max="2824" width="8.5703125" style="2124" customWidth="1"/>
    <col min="2825" max="2825" width="8" style="2124" customWidth="1"/>
    <col min="2826" max="2826" width="8.7109375" style="2124" customWidth="1"/>
    <col min="2827" max="2827" width="13.42578125" style="2124" customWidth="1"/>
    <col min="2828" max="2828" width="10.42578125" style="2124" customWidth="1"/>
    <col min="2829" max="2829" width="9.140625" style="2124"/>
    <col min="2830" max="2830" width="14.5703125" style="2124" bestFit="1" customWidth="1"/>
    <col min="2831" max="2831" width="9.140625" style="2124"/>
    <col min="2832" max="2832" width="14.5703125" style="2124" bestFit="1" customWidth="1"/>
    <col min="2833" max="3072" width="9.140625" style="2124"/>
    <col min="3073" max="3073" width="11.28515625" style="2124" customWidth="1"/>
    <col min="3074" max="3075" width="9.140625" style="2124"/>
    <col min="3076" max="3076" width="9.85546875" style="2124" customWidth="1"/>
    <col min="3077" max="3078" width="9.140625" style="2124" customWidth="1"/>
    <col min="3079" max="3079" width="8.85546875" style="2124" customWidth="1"/>
    <col min="3080" max="3080" width="8.5703125" style="2124" customWidth="1"/>
    <col min="3081" max="3081" width="8" style="2124" customWidth="1"/>
    <col min="3082" max="3082" width="8.7109375" style="2124" customWidth="1"/>
    <col min="3083" max="3083" width="13.42578125" style="2124" customWidth="1"/>
    <col min="3084" max="3084" width="10.42578125" style="2124" customWidth="1"/>
    <col min="3085" max="3085" width="9.140625" style="2124"/>
    <col min="3086" max="3086" width="14.5703125" style="2124" bestFit="1" customWidth="1"/>
    <col min="3087" max="3087" width="9.140625" style="2124"/>
    <col min="3088" max="3088" width="14.5703125" style="2124" bestFit="1" customWidth="1"/>
    <col min="3089" max="3328" width="9.140625" style="2124"/>
    <col min="3329" max="3329" width="11.28515625" style="2124" customWidth="1"/>
    <col min="3330" max="3331" width="9.140625" style="2124"/>
    <col min="3332" max="3332" width="9.85546875" style="2124" customWidth="1"/>
    <col min="3333" max="3334" width="9.140625" style="2124" customWidth="1"/>
    <col min="3335" max="3335" width="8.85546875" style="2124" customWidth="1"/>
    <col min="3336" max="3336" width="8.5703125" style="2124" customWidth="1"/>
    <col min="3337" max="3337" width="8" style="2124" customWidth="1"/>
    <col min="3338" max="3338" width="8.7109375" style="2124" customWidth="1"/>
    <col min="3339" max="3339" width="13.42578125" style="2124" customWidth="1"/>
    <col min="3340" max="3340" width="10.42578125" style="2124" customWidth="1"/>
    <col min="3341" max="3341" width="9.140625" style="2124"/>
    <col min="3342" max="3342" width="14.5703125" style="2124" bestFit="1" customWidth="1"/>
    <col min="3343" max="3343" width="9.140625" style="2124"/>
    <col min="3344" max="3344" width="14.5703125" style="2124" bestFit="1" customWidth="1"/>
    <col min="3345" max="3584" width="9.140625" style="2124"/>
    <col min="3585" max="3585" width="11.28515625" style="2124" customWidth="1"/>
    <col min="3586" max="3587" width="9.140625" style="2124"/>
    <col min="3588" max="3588" width="9.85546875" style="2124" customWidth="1"/>
    <col min="3589" max="3590" width="9.140625" style="2124" customWidth="1"/>
    <col min="3591" max="3591" width="8.85546875" style="2124" customWidth="1"/>
    <col min="3592" max="3592" width="8.5703125" style="2124" customWidth="1"/>
    <col min="3593" max="3593" width="8" style="2124" customWidth="1"/>
    <col min="3594" max="3594" width="8.7109375" style="2124" customWidth="1"/>
    <col min="3595" max="3595" width="13.42578125" style="2124" customWidth="1"/>
    <col min="3596" max="3596" width="10.42578125" style="2124" customWidth="1"/>
    <col min="3597" max="3597" width="9.140625" style="2124"/>
    <col min="3598" max="3598" width="14.5703125" style="2124" bestFit="1" customWidth="1"/>
    <col min="3599" max="3599" width="9.140625" style="2124"/>
    <col min="3600" max="3600" width="14.5703125" style="2124" bestFit="1" customWidth="1"/>
    <col min="3601" max="3840" width="9.140625" style="2124"/>
    <col min="3841" max="3841" width="11.28515625" style="2124" customWidth="1"/>
    <col min="3842" max="3843" width="9.140625" style="2124"/>
    <col min="3844" max="3844" width="9.85546875" style="2124" customWidth="1"/>
    <col min="3845" max="3846" width="9.140625" style="2124" customWidth="1"/>
    <col min="3847" max="3847" width="8.85546875" style="2124" customWidth="1"/>
    <col min="3848" max="3848" width="8.5703125" style="2124" customWidth="1"/>
    <col min="3849" max="3849" width="8" style="2124" customWidth="1"/>
    <col min="3850" max="3850" width="8.7109375" style="2124" customWidth="1"/>
    <col min="3851" max="3851" width="13.42578125" style="2124" customWidth="1"/>
    <col min="3852" max="3852" width="10.42578125" style="2124" customWidth="1"/>
    <col min="3853" max="3853" width="9.140625" style="2124"/>
    <col min="3854" max="3854" width="14.5703125" style="2124" bestFit="1" customWidth="1"/>
    <col min="3855" max="3855" width="9.140625" style="2124"/>
    <col min="3856" max="3856" width="14.5703125" style="2124" bestFit="1" customWidth="1"/>
    <col min="3857" max="4096" width="9.140625" style="2124"/>
    <col min="4097" max="4097" width="11.28515625" style="2124" customWidth="1"/>
    <col min="4098" max="4099" width="9.140625" style="2124"/>
    <col min="4100" max="4100" width="9.85546875" style="2124" customWidth="1"/>
    <col min="4101" max="4102" width="9.140625" style="2124" customWidth="1"/>
    <col min="4103" max="4103" width="8.85546875" style="2124" customWidth="1"/>
    <col min="4104" max="4104" width="8.5703125" style="2124" customWidth="1"/>
    <col min="4105" max="4105" width="8" style="2124" customWidth="1"/>
    <col min="4106" max="4106" width="8.7109375" style="2124" customWidth="1"/>
    <col min="4107" max="4107" width="13.42578125" style="2124" customWidth="1"/>
    <col min="4108" max="4108" width="10.42578125" style="2124" customWidth="1"/>
    <col min="4109" max="4109" width="9.140625" style="2124"/>
    <col min="4110" max="4110" width="14.5703125" style="2124" bestFit="1" customWidth="1"/>
    <col min="4111" max="4111" width="9.140625" style="2124"/>
    <col min="4112" max="4112" width="14.5703125" style="2124" bestFit="1" customWidth="1"/>
    <col min="4113" max="4352" width="9.140625" style="2124"/>
    <col min="4353" max="4353" width="11.28515625" style="2124" customWidth="1"/>
    <col min="4354" max="4355" width="9.140625" style="2124"/>
    <col min="4356" max="4356" width="9.85546875" style="2124" customWidth="1"/>
    <col min="4357" max="4358" width="9.140625" style="2124" customWidth="1"/>
    <col min="4359" max="4359" width="8.85546875" style="2124" customWidth="1"/>
    <col min="4360" max="4360" width="8.5703125" style="2124" customWidth="1"/>
    <col min="4361" max="4361" width="8" style="2124" customWidth="1"/>
    <col min="4362" max="4362" width="8.7109375" style="2124" customWidth="1"/>
    <col min="4363" max="4363" width="13.42578125" style="2124" customWidth="1"/>
    <col min="4364" max="4364" width="10.42578125" style="2124" customWidth="1"/>
    <col min="4365" max="4365" width="9.140625" style="2124"/>
    <col min="4366" max="4366" width="14.5703125" style="2124" bestFit="1" customWidth="1"/>
    <col min="4367" max="4367" width="9.140625" style="2124"/>
    <col min="4368" max="4368" width="14.5703125" style="2124" bestFit="1" customWidth="1"/>
    <col min="4369" max="4608" width="9.140625" style="2124"/>
    <col min="4609" max="4609" width="11.28515625" style="2124" customWidth="1"/>
    <col min="4610" max="4611" width="9.140625" style="2124"/>
    <col min="4612" max="4612" width="9.85546875" style="2124" customWidth="1"/>
    <col min="4613" max="4614" width="9.140625" style="2124" customWidth="1"/>
    <col min="4615" max="4615" width="8.85546875" style="2124" customWidth="1"/>
    <col min="4616" max="4616" width="8.5703125" style="2124" customWidth="1"/>
    <col min="4617" max="4617" width="8" style="2124" customWidth="1"/>
    <col min="4618" max="4618" width="8.7109375" style="2124" customWidth="1"/>
    <col min="4619" max="4619" width="13.42578125" style="2124" customWidth="1"/>
    <col min="4620" max="4620" width="10.42578125" style="2124" customWidth="1"/>
    <col min="4621" max="4621" width="9.140625" style="2124"/>
    <col min="4622" max="4622" width="14.5703125" style="2124" bestFit="1" customWidth="1"/>
    <col min="4623" max="4623" width="9.140625" style="2124"/>
    <col min="4624" max="4624" width="14.5703125" style="2124" bestFit="1" customWidth="1"/>
    <col min="4625" max="4864" width="9.140625" style="2124"/>
    <col min="4865" max="4865" width="11.28515625" style="2124" customWidth="1"/>
    <col min="4866" max="4867" width="9.140625" style="2124"/>
    <col min="4868" max="4868" width="9.85546875" style="2124" customWidth="1"/>
    <col min="4869" max="4870" width="9.140625" style="2124" customWidth="1"/>
    <col min="4871" max="4871" width="8.85546875" style="2124" customWidth="1"/>
    <col min="4872" max="4872" width="8.5703125" style="2124" customWidth="1"/>
    <col min="4873" max="4873" width="8" style="2124" customWidth="1"/>
    <col min="4874" max="4874" width="8.7109375" style="2124" customWidth="1"/>
    <col min="4875" max="4875" width="13.42578125" style="2124" customWidth="1"/>
    <col min="4876" max="4876" width="10.42578125" style="2124" customWidth="1"/>
    <col min="4877" max="4877" width="9.140625" style="2124"/>
    <col min="4878" max="4878" width="14.5703125" style="2124" bestFit="1" customWidth="1"/>
    <col min="4879" max="4879" width="9.140625" style="2124"/>
    <col min="4880" max="4880" width="14.5703125" style="2124" bestFit="1" customWidth="1"/>
    <col min="4881" max="5120" width="9.140625" style="2124"/>
    <col min="5121" max="5121" width="11.28515625" style="2124" customWidth="1"/>
    <col min="5122" max="5123" width="9.140625" style="2124"/>
    <col min="5124" max="5124" width="9.85546875" style="2124" customWidth="1"/>
    <col min="5125" max="5126" width="9.140625" style="2124" customWidth="1"/>
    <col min="5127" max="5127" width="8.85546875" style="2124" customWidth="1"/>
    <col min="5128" max="5128" width="8.5703125" style="2124" customWidth="1"/>
    <col min="5129" max="5129" width="8" style="2124" customWidth="1"/>
    <col min="5130" max="5130" width="8.7109375" style="2124" customWidth="1"/>
    <col min="5131" max="5131" width="13.42578125" style="2124" customWidth="1"/>
    <col min="5132" max="5132" width="10.42578125" style="2124" customWidth="1"/>
    <col min="5133" max="5133" width="9.140625" style="2124"/>
    <col min="5134" max="5134" width="14.5703125" style="2124" bestFit="1" customWidth="1"/>
    <col min="5135" max="5135" width="9.140625" style="2124"/>
    <col min="5136" max="5136" width="14.5703125" style="2124" bestFit="1" customWidth="1"/>
    <col min="5137" max="5376" width="9.140625" style="2124"/>
    <col min="5377" max="5377" width="11.28515625" style="2124" customWidth="1"/>
    <col min="5378" max="5379" width="9.140625" style="2124"/>
    <col min="5380" max="5380" width="9.85546875" style="2124" customWidth="1"/>
    <col min="5381" max="5382" width="9.140625" style="2124" customWidth="1"/>
    <col min="5383" max="5383" width="8.85546875" style="2124" customWidth="1"/>
    <col min="5384" max="5384" width="8.5703125" style="2124" customWidth="1"/>
    <col min="5385" max="5385" width="8" style="2124" customWidth="1"/>
    <col min="5386" max="5386" width="8.7109375" style="2124" customWidth="1"/>
    <col min="5387" max="5387" width="13.42578125" style="2124" customWidth="1"/>
    <col min="5388" max="5388" width="10.42578125" style="2124" customWidth="1"/>
    <col min="5389" max="5389" width="9.140625" style="2124"/>
    <col min="5390" max="5390" width="14.5703125" style="2124" bestFit="1" customWidth="1"/>
    <col min="5391" max="5391" width="9.140625" style="2124"/>
    <col min="5392" max="5392" width="14.5703125" style="2124" bestFit="1" customWidth="1"/>
    <col min="5393" max="5632" width="9.140625" style="2124"/>
    <col min="5633" max="5633" width="11.28515625" style="2124" customWidth="1"/>
    <col min="5634" max="5635" width="9.140625" style="2124"/>
    <col min="5636" max="5636" width="9.85546875" style="2124" customWidth="1"/>
    <col min="5637" max="5638" width="9.140625" style="2124" customWidth="1"/>
    <col min="5639" max="5639" width="8.85546875" style="2124" customWidth="1"/>
    <col min="5640" max="5640" width="8.5703125" style="2124" customWidth="1"/>
    <col min="5641" max="5641" width="8" style="2124" customWidth="1"/>
    <col min="5642" max="5642" width="8.7109375" style="2124" customWidth="1"/>
    <col min="5643" max="5643" width="13.42578125" style="2124" customWidth="1"/>
    <col min="5644" max="5644" width="10.42578125" style="2124" customWidth="1"/>
    <col min="5645" max="5645" width="9.140625" style="2124"/>
    <col min="5646" max="5646" width="14.5703125" style="2124" bestFit="1" customWidth="1"/>
    <col min="5647" max="5647" width="9.140625" style="2124"/>
    <col min="5648" max="5648" width="14.5703125" style="2124" bestFit="1" customWidth="1"/>
    <col min="5649" max="5888" width="9.140625" style="2124"/>
    <col min="5889" max="5889" width="11.28515625" style="2124" customWidth="1"/>
    <col min="5890" max="5891" width="9.140625" style="2124"/>
    <col min="5892" max="5892" width="9.85546875" style="2124" customWidth="1"/>
    <col min="5893" max="5894" width="9.140625" style="2124" customWidth="1"/>
    <col min="5895" max="5895" width="8.85546875" style="2124" customWidth="1"/>
    <col min="5896" max="5896" width="8.5703125" style="2124" customWidth="1"/>
    <col min="5897" max="5897" width="8" style="2124" customWidth="1"/>
    <col min="5898" max="5898" width="8.7109375" style="2124" customWidth="1"/>
    <col min="5899" max="5899" width="13.42578125" style="2124" customWidth="1"/>
    <col min="5900" max="5900" width="10.42578125" style="2124" customWidth="1"/>
    <col min="5901" max="5901" width="9.140625" style="2124"/>
    <col min="5902" max="5902" width="14.5703125" style="2124" bestFit="1" customWidth="1"/>
    <col min="5903" max="5903" width="9.140625" style="2124"/>
    <col min="5904" max="5904" width="14.5703125" style="2124" bestFit="1" customWidth="1"/>
    <col min="5905" max="6144" width="9.140625" style="2124"/>
    <col min="6145" max="6145" width="11.28515625" style="2124" customWidth="1"/>
    <col min="6146" max="6147" width="9.140625" style="2124"/>
    <col min="6148" max="6148" width="9.85546875" style="2124" customWidth="1"/>
    <col min="6149" max="6150" width="9.140625" style="2124" customWidth="1"/>
    <col min="6151" max="6151" width="8.85546875" style="2124" customWidth="1"/>
    <col min="6152" max="6152" width="8.5703125" style="2124" customWidth="1"/>
    <col min="6153" max="6153" width="8" style="2124" customWidth="1"/>
    <col min="6154" max="6154" width="8.7109375" style="2124" customWidth="1"/>
    <col min="6155" max="6155" width="13.42578125" style="2124" customWidth="1"/>
    <col min="6156" max="6156" width="10.42578125" style="2124" customWidth="1"/>
    <col min="6157" max="6157" width="9.140625" style="2124"/>
    <col min="6158" max="6158" width="14.5703125" style="2124" bestFit="1" customWidth="1"/>
    <col min="6159" max="6159" width="9.140625" style="2124"/>
    <col min="6160" max="6160" width="14.5703125" style="2124" bestFit="1" customWidth="1"/>
    <col min="6161" max="6400" width="9.140625" style="2124"/>
    <col min="6401" max="6401" width="11.28515625" style="2124" customWidth="1"/>
    <col min="6402" max="6403" width="9.140625" style="2124"/>
    <col min="6404" max="6404" width="9.85546875" style="2124" customWidth="1"/>
    <col min="6405" max="6406" width="9.140625" style="2124" customWidth="1"/>
    <col min="6407" max="6407" width="8.85546875" style="2124" customWidth="1"/>
    <col min="6408" max="6408" width="8.5703125" style="2124" customWidth="1"/>
    <col min="6409" max="6409" width="8" style="2124" customWidth="1"/>
    <col min="6410" max="6410" width="8.7109375" style="2124" customWidth="1"/>
    <col min="6411" max="6411" width="13.42578125" style="2124" customWidth="1"/>
    <col min="6412" max="6412" width="10.42578125" style="2124" customWidth="1"/>
    <col min="6413" max="6413" width="9.140625" style="2124"/>
    <col min="6414" max="6414" width="14.5703125" style="2124" bestFit="1" customWidth="1"/>
    <col min="6415" max="6415" width="9.140625" style="2124"/>
    <col min="6416" max="6416" width="14.5703125" style="2124" bestFit="1" customWidth="1"/>
    <col min="6417" max="6656" width="9.140625" style="2124"/>
    <col min="6657" max="6657" width="11.28515625" style="2124" customWidth="1"/>
    <col min="6658" max="6659" width="9.140625" style="2124"/>
    <col min="6660" max="6660" width="9.85546875" style="2124" customWidth="1"/>
    <col min="6661" max="6662" width="9.140625" style="2124" customWidth="1"/>
    <col min="6663" max="6663" width="8.85546875" style="2124" customWidth="1"/>
    <col min="6664" max="6664" width="8.5703125" style="2124" customWidth="1"/>
    <col min="6665" max="6665" width="8" style="2124" customWidth="1"/>
    <col min="6666" max="6666" width="8.7109375" style="2124" customWidth="1"/>
    <col min="6667" max="6667" width="13.42578125" style="2124" customWidth="1"/>
    <col min="6668" max="6668" width="10.42578125" style="2124" customWidth="1"/>
    <col min="6669" max="6669" width="9.140625" style="2124"/>
    <col min="6670" max="6670" width="14.5703125" style="2124" bestFit="1" customWidth="1"/>
    <col min="6671" max="6671" width="9.140625" style="2124"/>
    <col min="6672" max="6672" width="14.5703125" style="2124" bestFit="1" customWidth="1"/>
    <col min="6673" max="6912" width="9.140625" style="2124"/>
    <col min="6913" max="6913" width="11.28515625" style="2124" customWidth="1"/>
    <col min="6914" max="6915" width="9.140625" style="2124"/>
    <col min="6916" max="6916" width="9.85546875" style="2124" customWidth="1"/>
    <col min="6917" max="6918" width="9.140625" style="2124" customWidth="1"/>
    <col min="6919" max="6919" width="8.85546875" style="2124" customWidth="1"/>
    <col min="6920" max="6920" width="8.5703125" style="2124" customWidth="1"/>
    <col min="6921" max="6921" width="8" style="2124" customWidth="1"/>
    <col min="6922" max="6922" width="8.7109375" style="2124" customWidth="1"/>
    <col min="6923" max="6923" width="13.42578125" style="2124" customWidth="1"/>
    <col min="6924" max="6924" width="10.42578125" style="2124" customWidth="1"/>
    <col min="6925" max="6925" width="9.140625" style="2124"/>
    <col min="6926" max="6926" width="14.5703125" style="2124" bestFit="1" customWidth="1"/>
    <col min="6927" max="6927" width="9.140625" style="2124"/>
    <col min="6928" max="6928" width="14.5703125" style="2124" bestFit="1" customWidth="1"/>
    <col min="6929" max="7168" width="9.140625" style="2124"/>
    <col min="7169" max="7169" width="11.28515625" style="2124" customWidth="1"/>
    <col min="7170" max="7171" width="9.140625" style="2124"/>
    <col min="7172" max="7172" width="9.85546875" style="2124" customWidth="1"/>
    <col min="7173" max="7174" width="9.140625" style="2124" customWidth="1"/>
    <col min="7175" max="7175" width="8.85546875" style="2124" customWidth="1"/>
    <col min="7176" max="7176" width="8.5703125" style="2124" customWidth="1"/>
    <col min="7177" max="7177" width="8" style="2124" customWidth="1"/>
    <col min="7178" max="7178" width="8.7109375" style="2124" customWidth="1"/>
    <col min="7179" max="7179" width="13.42578125" style="2124" customWidth="1"/>
    <col min="7180" max="7180" width="10.42578125" style="2124" customWidth="1"/>
    <col min="7181" max="7181" width="9.140625" style="2124"/>
    <col min="7182" max="7182" width="14.5703125" style="2124" bestFit="1" customWidth="1"/>
    <col min="7183" max="7183" width="9.140625" style="2124"/>
    <col min="7184" max="7184" width="14.5703125" style="2124" bestFit="1" customWidth="1"/>
    <col min="7185" max="7424" width="9.140625" style="2124"/>
    <col min="7425" max="7425" width="11.28515625" style="2124" customWidth="1"/>
    <col min="7426" max="7427" width="9.140625" style="2124"/>
    <col min="7428" max="7428" width="9.85546875" style="2124" customWidth="1"/>
    <col min="7429" max="7430" width="9.140625" style="2124" customWidth="1"/>
    <col min="7431" max="7431" width="8.85546875" style="2124" customWidth="1"/>
    <col min="7432" max="7432" width="8.5703125" style="2124" customWidth="1"/>
    <col min="7433" max="7433" width="8" style="2124" customWidth="1"/>
    <col min="7434" max="7434" width="8.7109375" style="2124" customWidth="1"/>
    <col min="7435" max="7435" width="13.42578125" style="2124" customWidth="1"/>
    <col min="7436" max="7436" width="10.42578125" style="2124" customWidth="1"/>
    <col min="7437" max="7437" width="9.140625" style="2124"/>
    <col min="7438" max="7438" width="14.5703125" style="2124" bestFit="1" customWidth="1"/>
    <col min="7439" max="7439" width="9.140625" style="2124"/>
    <col min="7440" max="7440" width="14.5703125" style="2124" bestFit="1" customWidth="1"/>
    <col min="7441" max="7680" width="9.140625" style="2124"/>
    <col min="7681" max="7681" width="11.28515625" style="2124" customWidth="1"/>
    <col min="7682" max="7683" width="9.140625" style="2124"/>
    <col min="7684" max="7684" width="9.85546875" style="2124" customWidth="1"/>
    <col min="7685" max="7686" width="9.140625" style="2124" customWidth="1"/>
    <col min="7687" max="7687" width="8.85546875" style="2124" customWidth="1"/>
    <col min="7688" max="7688" width="8.5703125" style="2124" customWidth="1"/>
    <col min="7689" max="7689" width="8" style="2124" customWidth="1"/>
    <col min="7690" max="7690" width="8.7109375" style="2124" customWidth="1"/>
    <col min="7691" max="7691" width="13.42578125" style="2124" customWidth="1"/>
    <col min="7692" max="7692" width="10.42578125" style="2124" customWidth="1"/>
    <col min="7693" max="7693" width="9.140625" style="2124"/>
    <col min="7694" max="7694" width="14.5703125" style="2124" bestFit="1" customWidth="1"/>
    <col min="7695" max="7695" width="9.140625" style="2124"/>
    <col min="7696" max="7696" width="14.5703125" style="2124" bestFit="1" customWidth="1"/>
    <col min="7697" max="7936" width="9.140625" style="2124"/>
    <col min="7937" max="7937" width="11.28515625" style="2124" customWidth="1"/>
    <col min="7938" max="7939" width="9.140625" style="2124"/>
    <col min="7940" max="7940" width="9.85546875" style="2124" customWidth="1"/>
    <col min="7941" max="7942" width="9.140625" style="2124" customWidth="1"/>
    <col min="7943" max="7943" width="8.85546875" style="2124" customWidth="1"/>
    <col min="7944" max="7944" width="8.5703125" style="2124" customWidth="1"/>
    <col min="7945" max="7945" width="8" style="2124" customWidth="1"/>
    <col min="7946" max="7946" width="8.7109375" style="2124" customWidth="1"/>
    <col min="7947" max="7947" width="13.42578125" style="2124" customWidth="1"/>
    <col min="7948" max="7948" width="10.42578125" style="2124" customWidth="1"/>
    <col min="7949" max="7949" width="9.140625" style="2124"/>
    <col min="7950" max="7950" width="14.5703125" style="2124" bestFit="1" customWidth="1"/>
    <col min="7951" max="7951" width="9.140625" style="2124"/>
    <col min="7952" max="7952" width="14.5703125" style="2124" bestFit="1" customWidth="1"/>
    <col min="7953" max="8192" width="9.140625" style="2124"/>
    <col min="8193" max="8193" width="11.28515625" style="2124" customWidth="1"/>
    <col min="8194" max="8195" width="9.140625" style="2124"/>
    <col min="8196" max="8196" width="9.85546875" style="2124" customWidth="1"/>
    <col min="8197" max="8198" width="9.140625" style="2124" customWidth="1"/>
    <col min="8199" max="8199" width="8.85546875" style="2124" customWidth="1"/>
    <col min="8200" max="8200" width="8.5703125" style="2124" customWidth="1"/>
    <col min="8201" max="8201" width="8" style="2124" customWidth="1"/>
    <col min="8202" max="8202" width="8.7109375" style="2124" customWidth="1"/>
    <col min="8203" max="8203" width="13.42578125" style="2124" customWidth="1"/>
    <col min="8204" max="8204" width="10.42578125" style="2124" customWidth="1"/>
    <col min="8205" max="8205" width="9.140625" style="2124"/>
    <col min="8206" max="8206" width="14.5703125" style="2124" bestFit="1" customWidth="1"/>
    <col min="8207" max="8207" width="9.140625" style="2124"/>
    <col min="8208" max="8208" width="14.5703125" style="2124" bestFit="1" customWidth="1"/>
    <col min="8209" max="8448" width="9.140625" style="2124"/>
    <col min="8449" max="8449" width="11.28515625" style="2124" customWidth="1"/>
    <col min="8450" max="8451" width="9.140625" style="2124"/>
    <col min="8452" max="8452" width="9.85546875" style="2124" customWidth="1"/>
    <col min="8453" max="8454" width="9.140625" style="2124" customWidth="1"/>
    <col min="8455" max="8455" width="8.85546875" style="2124" customWidth="1"/>
    <col min="8456" max="8456" width="8.5703125" style="2124" customWidth="1"/>
    <col min="8457" max="8457" width="8" style="2124" customWidth="1"/>
    <col min="8458" max="8458" width="8.7109375" style="2124" customWidth="1"/>
    <col min="8459" max="8459" width="13.42578125" style="2124" customWidth="1"/>
    <col min="8460" max="8460" width="10.42578125" style="2124" customWidth="1"/>
    <col min="8461" max="8461" width="9.140625" style="2124"/>
    <col min="8462" max="8462" width="14.5703125" style="2124" bestFit="1" customWidth="1"/>
    <col min="8463" max="8463" width="9.140625" style="2124"/>
    <col min="8464" max="8464" width="14.5703125" style="2124" bestFit="1" customWidth="1"/>
    <col min="8465" max="8704" width="9.140625" style="2124"/>
    <col min="8705" max="8705" width="11.28515625" style="2124" customWidth="1"/>
    <col min="8706" max="8707" width="9.140625" style="2124"/>
    <col min="8708" max="8708" width="9.85546875" style="2124" customWidth="1"/>
    <col min="8709" max="8710" width="9.140625" style="2124" customWidth="1"/>
    <col min="8711" max="8711" width="8.85546875" style="2124" customWidth="1"/>
    <col min="8712" max="8712" width="8.5703125" style="2124" customWidth="1"/>
    <col min="8713" max="8713" width="8" style="2124" customWidth="1"/>
    <col min="8714" max="8714" width="8.7109375" style="2124" customWidth="1"/>
    <col min="8715" max="8715" width="13.42578125" style="2124" customWidth="1"/>
    <col min="8716" max="8716" width="10.42578125" style="2124" customWidth="1"/>
    <col min="8717" max="8717" width="9.140625" style="2124"/>
    <col min="8718" max="8718" width="14.5703125" style="2124" bestFit="1" customWidth="1"/>
    <col min="8719" max="8719" width="9.140625" style="2124"/>
    <col min="8720" max="8720" width="14.5703125" style="2124" bestFit="1" customWidth="1"/>
    <col min="8721" max="8960" width="9.140625" style="2124"/>
    <col min="8961" max="8961" width="11.28515625" style="2124" customWidth="1"/>
    <col min="8962" max="8963" width="9.140625" style="2124"/>
    <col min="8964" max="8964" width="9.85546875" style="2124" customWidth="1"/>
    <col min="8965" max="8966" width="9.140625" style="2124" customWidth="1"/>
    <col min="8967" max="8967" width="8.85546875" style="2124" customWidth="1"/>
    <col min="8968" max="8968" width="8.5703125" style="2124" customWidth="1"/>
    <col min="8969" max="8969" width="8" style="2124" customWidth="1"/>
    <col min="8970" max="8970" width="8.7109375" style="2124" customWidth="1"/>
    <col min="8971" max="8971" width="13.42578125" style="2124" customWidth="1"/>
    <col min="8972" max="8972" width="10.42578125" style="2124" customWidth="1"/>
    <col min="8973" max="8973" width="9.140625" style="2124"/>
    <col min="8974" max="8974" width="14.5703125" style="2124" bestFit="1" customWidth="1"/>
    <col min="8975" max="8975" width="9.140625" style="2124"/>
    <col min="8976" max="8976" width="14.5703125" style="2124" bestFit="1" customWidth="1"/>
    <col min="8977" max="9216" width="9.140625" style="2124"/>
    <col min="9217" max="9217" width="11.28515625" style="2124" customWidth="1"/>
    <col min="9218" max="9219" width="9.140625" style="2124"/>
    <col min="9220" max="9220" width="9.85546875" style="2124" customWidth="1"/>
    <col min="9221" max="9222" width="9.140625" style="2124" customWidth="1"/>
    <col min="9223" max="9223" width="8.85546875" style="2124" customWidth="1"/>
    <col min="9224" max="9224" width="8.5703125" style="2124" customWidth="1"/>
    <col min="9225" max="9225" width="8" style="2124" customWidth="1"/>
    <col min="9226" max="9226" width="8.7109375" style="2124" customWidth="1"/>
    <col min="9227" max="9227" width="13.42578125" style="2124" customWidth="1"/>
    <col min="9228" max="9228" width="10.42578125" style="2124" customWidth="1"/>
    <col min="9229" max="9229" width="9.140625" style="2124"/>
    <col min="9230" max="9230" width="14.5703125" style="2124" bestFit="1" customWidth="1"/>
    <col min="9231" max="9231" width="9.140625" style="2124"/>
    <col min="9232" max="9232" width="14.5703125" style="2124" bestFit="1" customWidth="1"/>
    <col min="9233" max="9472" width="9.140625" style="2124"/>
    <col min="9473" max="9473" width="11.28515625" style="2124" customWidth="1"/>
    <col min="9474" max="9475" width="9.140625" style="2124"/>
    <col min="9476" max="9476" width="9.85546875" style="2124" customWidth="1"/>
    <col min="9477" max="9478" width="9.140625" style="2124" customWidth="1"/>
    <col min="9479" max="9479" width="8.85546875" style="2124" customWidth="1"/>
    <col min="9480" max="9480" width="8.5703125" style="2124" customWidth="1"/>
    <col min="9481" max="9481" width="8" style="2124" customWidth="1"/>
    <col min="9482" max="9482" width="8.7109375" style="2124" customWidth="1"/>
    <col min="9483" max="9483" width="13.42578125" style="2124" customWidth="1"/>
    <col min="9484" max="9484" width="10.42578125" style="2124" customWidth="1"/>
    <col min="9485" max="9485" width="9.140625" style="2124"/>
    <col min="9486" max="9486" width="14.5703125" style="2124" bestFit="1" customWidth="1"/>
    <col min="9487" max="9487" width="9.140625" style="2124"/>
    <col min="9488" max="9488" width="14.5703125" style="2124" bestFit="1" customWidth="1"/>
    <col min="9489" max="9728" width="9.140625" style="2124"/>
    <col min="9729" max="9729" width="11.28515625" style="2124" customWidth="1"/>
    <col min="9730" max="9731" width="9.140625" style="2124"/>
    <col min="9732" max="9732" width="9.85546875" style="2124" customWidth="1"/>
    <col min="9733" max="9734" width="9.140625" style="2124" customWidth="1"/>
    <col min="9735" max="9735" width="8.85546875" style="2124" customWidth="1"/>
    <col min="9736" max="9736" width="8.5703125" style="2124" customWidth="1"/>
    <col min="9737" max="9737" width="8" style="2124" customWidth="1"/>
    <col min="9738" max="9738" width="8.7109375" style="2124" customWidth="1"/>
    <col min="9739" max="9739" width="13.42578125" style="2124" customWidth="1"/>
    <col min="9740" max="9740" width="10.42578125" style="2124" customWidth="1"/>
    <col min="9741" max="9741" width="9.140625" style="2124"/>
    <col min="9742" max="9742" width="14.5703125" style="2124" bestFit="1" customWidth="1"/>
    <col min="9743" max="9743" width="9.140625" style="2124"/>
    <col min="9744" max="9744" width="14.5703125" style="2124" bestFit="1" customWidth="1"/>
    <col min="9745" max="9984" width="9.140625" style="2124"/>
    <col min="9985" max="9985" width="11.28515625" style="2124" customWidth="1"/>
    <col min="9986" max="9987" width="9.140625" style="2124"/>
    <col min="9988" max="9988" width="9.85546875" style="2124" customWidth="1"/>
    <col min="9989" max="9990" width="9.140625" style="2124" customWidth="1"/>
    <col min="9991" max="9991" width="8.85546875" style="2124" customWidth="1"/>
    <col min="9992" max="9992" width="8.5703125" style="2124" customWidth="1"/>
    <col min="9993" max="9993" width="8" style="2124" customWidth="1"/>
    <col min="9994" max="9994" width="8.7109375" style="2124" customWidth="1"/>
    <col min="9995" max="9995" width="13.42578125" style="2124" customWidth="1"/>
    <col min="9996" max="9996" width="10.42578125" style="2124" customWidth="1"/>
    <col min="9997" max="9997" width="9.140625" style="2124"/>
    <col min="9998" max="9998" width="14.5703125" style="2124" bestFit="1" customWidth="1"/>
    <col min="9999" max="9999" width="9.140625" style="2124"/>
    <col min="10000" max="10000" width="14.5703125" style="2124" bestFit="1" customWidth="1"/>
    <col min="10001" max="10240" width="9.140625" style="2124"/>
    <col min="10241" max="10241" width="11.28515625" style="2124" customWidth="1"/>
    <col min="10242" max="10243" width="9.140625" style="2124"/>
    <col min="10244" max="10244" width="9.85546875" style="2124" customWidth="1"/>
    <col min="10245" max="10246" width="9.140625" style="2124" customWidth="1"/>
    <col min="10247" max="10247" width="8.85546875" style="2124" customWidth="1"/>
    <col min="10248" max="10248" width="8.5703125" style="2124" customWidth="1"/>
    <col min="10249" max="10249" width="8" style="2124" customWidth="1"/>
    <col min="10250" max="10250" width="8.7109375" style="2124" customWidth="1"/>
    <col min="10251" max="10251" width="13.42578125" style="2124" customWidth="1"/>
    <col min="10252" max="10252" width="10.42578125" style="2124" customWidth="1"/>
    <col min="10253" max="10253" width="9.140625" style="2124"/>
    <col min="10254" max="10254" width="14.5703125" style="2124" bestFit="1" customWidth="1"/>
    <col min="10255" max="10255" width="9.140625" style="2124"/>
    <col min="10256" max="10256" width="14.5703125" style="2124" bestFit="1" customWidth="1"/>
    <col min="10257" max="10496" width="9.140625" style="2124"/>
    <col min="10497" max="10497" width="11.28515625" style="2124" customWidth="1"/>
    <col min="10498" max="10499" width="9.140625" style="2124"/>
    <col min="10500" max="10500" width="9.85546875" style="2124" customWidth="1"/>
    <col min="10501" max="10502" width="9.140625" style="2124" customWidth="1"/>
    <col min="10503" max="10503" width="8.85546875" style="2124" customWidth="1"/>
    <col min="10504" max="10504" width="8.5703125" style="2124" customWidth="1"/>
    <col min="10505" max="10505" width="8" style="2124" customWidth="1"/>
    <col min="10506" max="10506" width="8.7109375" style="2124" customWidth="1"/>
    <col min="10507" max="10507" width="13.42578125" style="2124" customWidth="1"/>
    <col min="10508" max="10508" width="10.42578125" style="2124" customWidth="1"/>
    <col min="10509" max="10509" width="9.140625" style="2124"/>
    <col min="10510" max="10510" width="14.5703125" style="2124" bestFit="1" customWidth="1"/>
    <col min="10511" max="10511" width="9.140625" style="2124"/>
    <col min="10512" max="10512" width="14.5703125" style="2124" bestFit="1" customWidth="1"/>
    <col min="10513" max="10752" width="9.140625" style="2124"/>
    <col min="10753" max="10753" width="11.28515625" style="2124" customWidth="1"/>
    <col min="10754" max="10755" width="9.140625" style="2124"/>
    <col min="10756" max="10756" width="9.85546875" style="2124" customWidth="1"/>
    <col min="10757" max="10758" width="9.140625" style="2124" customWidth="1"/>
    <col min="10759" max="10759" width="8.85546875" style="2124" customWidth="1"/>
    <col min="10760" max="10760" width="8.5703125" style="2124" customWidth="1"/>
    <col min="10761" max="10761" width="8" style="2124" customWidth="1"/>
    <col min="10762" max="10762" width="8.7109375" style="2124" customWidth="1"/>
    <col min="10763" max="10763" width="13.42578125" style="2124" customWidth="1"/>
    <col min="10764" max="10764" width="10.42578125" style="2124" customWidth="1"/>
    <col min="10765" max="10765" width="9.140625" style="2124"/>
    <col min="10766" max="10766" width="14.5703125" style="2124" bestFit="1" customWidth="1"/>
    <col min="10767" max="10767" width="9.140625" style="2124"/>
    <col min="10768" max="10768" width="14.5703125" style="2124" bestFit="1" customWidth="1"/>
    <col min="10769" max="11008" width="9.140625" style="2124"/>
    <col min="11009" max="11009" width="11.28515625" style="2124" customWidth="1"/>
    <col min="11010" max="11011" width="9.140625" style="2124"/>
    <col min="11012" max="11012" width="9.85546875" style="2124" customWidth="1"/>
    <col min="11013" max="11014" width="9.140625" style="2124" customWidth="1"/>
    <col min="11015" max="11015" width="8.85546875" style="2124" customWidth="1"/>
    <col min="11016" max="11016" width="8.5703125" style="2124" customWidth="1"/>
    <col min="11017" max="11017" width="8" style="2124" customWidth="1"/>
    <col min="11018" max="11018" width="8.7109375" style="2124" customWidth="1"/>
    <col min="11019" max="11019" width="13.42578125" style="2124" customWidth="1"/>
    <col min="11020" max="11020" width="10.42578125" style="2124" customWidth="1"/>
    <col min="11021" max="11021" width="9.140625" style="2124"/>
    <col min="11022" max="11022" width="14.5703125" style="2124" bestFit="1" customWidth="1"/>
    <col min="11023" max="11023" width="9.140625" style="2124"/>
    <col min="11024" max="11024" width="14.5703125" style="2124" bestFit="1" customWidth="1"/>
    <col min="11025" max="11264" width="9.140625" style="2124"/>
    <col min="11265" max="11265" width="11.28515625" style="2124" customWidth="1"/>
    <col min="11266" max="11267" width="9.140625" style="2124"/>
    <col min="11268" max="11268" width="9.85546875" style="2124" customWidth="1"/>
    <col min="11269" max="11270" width="9.140625" style="2124" customWidth="1"/>
    <col min="11271" max="11271" width="8.85546875" style="2124" customWidth="1"/>
    <col min="11272" max="11272" width="8.5703125" style="2124" customWidth="1"/>
    <col min="11273" max="11273" width="8" style="2124" customWidth="1"/>
    <col min="11274" max="11274" width="8.7109375" style="2124" customWidth="1"/>
    <col min="11275" max="11275" width="13.42578125" style="2124" customWidth="1"/>
    <col min="11276" max="11276" width="10.42578125" style="2124" customWidth="1"/>
    <col min="11277" max="11277" width="9.140625" style="2124"/>
    <col min="11278" max="11278" width="14.5703125" style="2124" bestFit="1" customWidth="1"/>
    <col min="11279" max="11279" width="9.140625" style="2124"/>
    <col min="11280" max="11280" width="14.5703125" style="2124" bestFit="1" customWidth="1"/>
    <col min="11281" max="11520" width="9.140625" style="2124"/>
    <col min="11521" max="11521" width="11.28515625" style="2124" customWidth="1"/>
    <col min="11522" max="11523" width="9.140625" style="2124"/>
    <col min="11524" max="11524" width="9.85546875" style="2124" customWidth="1"/>
    <col min="11525" max="11526" width="9.140625" style="2124" customWidth="1"/>
    <col min="11527" max="11527" width="8.85546875" style="2124" customWidth="1"/>
    <col min="11528" max="11528" width="8.5703125" style="2124" customWidth="1"/>
    <col min="11529" max="11529" width="8" style="2124" customWidth="1"/>
    <col min="11530" max="11530" width="8.7109375" style="2124" customWidth="1"/>
    <col min="11531" max="11531" width="13.42578125" style="2124" customWidth="1"/>
    <col min="11532" max="11532" width="10.42578125" style="2124" customWidth="1"/>
    <col min="11533" max="11533" width="9.140625" style="2124"/>
    <col min="11534" max="11534" width="14.5703125" style="2124" bestFit="1" customWidth="1"/>
    <col min="11535" max="11535" width="9.140625" style="2124"/>
    <col min="11536" max="11536" width="14.5703125" style="2124" bestFit="1" customWidth="1"/>
    <col min="11537" max="11776" width="9.140625" style="2124"/>
    <col min="11777" max="11777" width="11.28515625" style="2124" customWidth="1"/>
    <col min="11778" max="11779" width="9.140625" style="2124"/>
    <col min="11780" max="11780" width="9.85546875" style="2124" customWidth="1"/>
    <col min="11781" max="11782" width="9.140625" style="2124" customWidth="1"/>
    <col min="11783" max="11783" width="8.85546875" style="2124" customWidth="1"/>
    <col min="11784" max="11784" width="8.5703125" style="2124" customWidth="1"/>
    <col min="11785" max="11785" width="8" style="2124" customWidth="1"/>
    <col min="11786" max="11786" width="8.7109375" style="2124" customWidth="1"/>
    <col min="11787" max="11787" width="13.42578125" style="2124" customWidth="1"/>
    <col min="11788" max="11788" width="10.42578125" style="2124" customWidth="1"/>
    <col min="11789" max="11789" width="9.140625" style="2124"/>
    <col min="11790" max="11790" width="14.5703125" style="2124" bestFit="1" customWidth="1"/>
    <col min="11791" max="11791" width="9.140625" style="2124"/>
    <col min="11792" max="11792" width="14.5703125" style="2124" bestFit="1" customWidth="1"/>
    <col min="11793" max="12032" width="9.140625" style="2124"/>
    <col min="12033" max="12033" width="11.28515625" style="2124" customWidth="1"/>
    <col min="12034" max="12035" width="9.140625" style="2124"/>
    <col min="12036" max="12036" width="9.85546875" style="2124" customWidth="1"/>
    <col min="12037" max="12038" width="9.140625" style="2124" customWidth="1"/>
    <col min="12039" max="12039" width="8.85546875" style="2124" customWidth="1"/>
    <col min="12040" max="12040" width="8.5703125" style="2124" customWidth="1"/>
    <col min="12041" max="12041" width="8" style="2124" customWidth="1"/>
    <col min="12042" max="12042" width="8.7109375" style="2124" customWidth="1"/>
    <col min="12043" max="12043" width="13.42578125" style="2124" customWidth="1"/>
    <col min="12044" max="12044" width="10.42578125" style="2124" customWidth="1"/>
    <col min="12045" max="12045" width="9.140625" style="2124"/>
    <col min="12046" max="12046" width="14.5703125" style="2124" bestFit="1" customWidth="1"/>
    <col min="12047" max="12047" width="9.140625" style="2124"/>
    <col min="12048" max="12048" width="14.5703125" style="2124" bestFit="1" customWidth="1"/>
    <col min="12049" max="12288" width="9.140625" style="2124"/>
    <col min="12289" max="12289" width="11.28515625" style="2124" customWidth="1"/>
    <col min="12290" max="12291" width="9.140625" style="2124"/>
    <col min="12292" max="12292" width="9.85546875" style="2124" customWidth="1"/>
    <col min="12293" max="12294" width="9.140625" style="2124" customWidth="1"/>
    <col min="12295" max="12295" width="8.85546875" style="2124" customWidth="1"/>
    <col min="12296" max="12296" width="8.5703125" style="2124" customWidth="1"/>
    <col min="12297" max="12297" width="8" style="2124" customWidth="1"/>
    <col min="12298" max="12298" width="8.7109375" style="2124" customWidth="1"/>
    <col min="12299" max="12299" width="13.42578125" style="2124" customWidth="1"/>
    <col min="12300" max="12300" width="10.42578125" style="2124" customWidth="1"/>
    <col min="12301" max="12301" width="9.140625" style="2124"/>
    <col min="12302" max="12302" width="14.5703125" style="2124" bestFit="1" customWidth="1"/>
    <col min="12303" max="12303" width="9.140625" style="2124"/>
    <col min="12304" max="12304" width="14.5703125" style="2124" bestFit="1" customWidth="1"/>
    <col min="12305" max="12544" width="9.140625" style="2124"/>
    <col min="12545" max="12545" width="11.28515625" style="2124" customWidth="1"/>
    <col min="12546" max="12547" width="9.140625" style="2124"/>
    <col min="12548" max="12548" width="9.85546875" style="2124" customWidth="1"/>
    <col min="12549" max="12550" width="9.140625" style="2124" customWidth="1"/>
    <col min="12551" max="12551" width="8.85546875" style="2124" customWidth="1"/>
    <col min="12552" max="12552" width="8.5703125" style="2124" customWidth="1"/>
    <col min="12553" max="12553" width="8" style="2124" customWidth="1"/>
    <col min="12554" max="12554" width="8.7109375" style="2124" customWidth="1"/>
    <col min="12555" max="12555" width="13.42578125" style="2124" customWidth="1"/>
    <col min="12556" max="12556" width="10.42578125" style="2124" customWidth="1"/>
    <col min="12557" max="12557" width="9.140625" style="2124"/>
    <col min="12558" max="12558" width="14.5703125" style="2124" bestFit="1" customWidth="1"/>
    <col min="12559" max="12559" width="9.140625" style="2124"/>
    <col min="12560" max="12560" width="14.5703125" style="2124" bestFit="1" customWidth="1"/>
    <col min="12561" max="12800" width="9.140625" style="2124"/>
    <col min="12801" max="12801" width="11.28515625" style="2124" customWidth="1"/>
    <col min="12802" max="12803" width="9.140625" style="2124"/>
    <col min="12804" max="12804" width="9.85546875" style="2124" customWidth="1"/>
    <col min="12805" max="12806" width="9.140625" style="2124" customWidth="1"/>
    <col min="12807" max="12807" width="8.85546875" style="2124" customWidth="1"/>
    <col min="12808" max="12808" width="8.5703125" style="2124" customWidth="1"/>
    <col min="12809" max="12809" width="8" style="2124" customWidth="1"/>
    <col min="12810" max="12810" width="8.7109375" style="2124" customWidth="1"/>
    <col min="12811" max="12811" width="13.42578125" style="2124" customWidth="1"/>
    <col min="12812" max="12812" width="10.42578125" style="2124" customWidth="1"/>
    <col min="12813" max="12813" width="9.140625" style="2124"/>
    <col min="12814" max="12814" width="14.5703125" style="2124" bestFit="1" customWidth="1"/>
    <col min="12815" max="12815" width="9.140625" style="2124"/>
    <col min="12816" max="12816" width="14.5703125" style="2124" bestFit="1" customWidth="1"/>
    <col min="12817" max="13056" width="9.140625" style="2124"/>
    <col min="13057" max="13057" width="11.28515625" style="2124" customWidth="1"/>
    <col min="13058" max="13059" width="9.140625" style="2124"/>
    <col min="13060" max="13060" width="9.85546875" style="2124" customWidth="1"/>
    <col min="13061" max="13062" width="9.140625" style="2124" customWidth="1"/>
    <col min="13063" max="13063" width="8.85546875" style="2124" customWidth="1"/>
    <col min="13064" max="13064" width="8.5703125" style="2124" customWidth="1"/>
    <col min="13065" max="13065" width="8" style="2124" customWidth="1"/>
    <col min="13066" max="13066" width="8.7109375" style="2124" customWidth="1"/>
    <col min="13067" max="13067" width="13.42578125" style="2124" customWidth="1"/>
    <col min="13068" max="13068" width="10.42578125" style="2124" customWidth="1"/>
    <col min="13069" max="13069" width="9.140625" style="2124"/>
    <col min="13070" max="13070" width="14.5703125" style="2124" bestFit="1" customWidth="1"/>
    <col min="13071" max="13071" width="9.140625" style="2124"/>
    <col min="13072" max="13072" width="14.5703125" style="2124" bestFit="1" customWidth="1"/>
    <col min="13073" max="13312" width="9.140625" style="2124"/>
    <col min="13313" max="13313" width="11.28515625" style="2124" customWidth="1"/>
    <col min="13314" max="13315" width="9.140625" style="2124"/>
    <col min="13316" max="13316" width="9.85546875" style="2124" customWidth="1"/>
    <col min="13317" max="13318" width="9.140625" style="2124" customWidth="1"/>
    <col min="13319" max="13319" width="8.85546875" style="2124" customWidth="1"/>
    <col min="13320" max="13320" width="8.5703125" style="2124" customWidth="1"/>
    <col min="13321" max="13321" width="8" style="2124" customWidth="1"/>
    <col min="13322" max="13322" width="8.7109375" style="2124" customWidth="1"/>
    <col min="13323" max="13323" width="13.42578125" style="2124" customWidth="1"/>
    <col min="13324" max="13324" width="10.42578125" style="2124" customWidth="1"/>
    <col min="13325" max="13325" width="9.140625" style="2124"/>
    <col min="13326" max="13326" width="14.5703125" style="2124" bestFit="1" customWidth="1"/>
    <col min="13327" max="13327" width="9.140625" style="2124"/>
    <col min="13328" max="13328" width="14.5703125" style="2124" bestFit="1" customWidth="1"/>
    <col min="13329" max="13568" width="9.140625" style="2124"/>
    <col min="13569" max="13569" width="11.28515625" style="2124" customWidth="1"/>
    <col min="13570" max="13571" width="9.140625" style="2124"/>
    <col min="13572" max="13572" width="9.85546875" style="2124" customWidth="1"/>
    <col min="13573" max="13574" width="9.140625" style="2124" customWidth="1"/>
    <col min="13575" max="13575" width="8.85546875" style="2124" customWidth="1"/>
    <col min="13576" max="13576" width="8.5703125" style="2124" customWidth="1"/>
    <col min="13577" max="13577" width="8" style="2124" customWidth="1"/>
    <col min="13578" max="13578" width="8.7109375" style="2124" customWidth="1"/>
    <col min="13579" max="13579" width="13.42578125" style="2124" customWidth="1"/>
    <col min="13580" max="13580" width="10.42578125" style="2124" customWidth="1"/>
    <col min="13581" max="13581" width="9.140625" style="2124"/>
    <col min="13582" max="13582" width="14.5703125" style="2124" bestFit="1" customWidth="1"/>
    <col min="13583" max="13583" width="9.140625" style="2124"/>
    <col min="13584" max="13584" width="14.5703125" style="2124" bestFit="1" customWidth="1"/>
    <col min="13585" max="13824" width="9.140625" style="2124"/>
    <col min="13825" max="13825" width="11.28515625" style="2124" customWidth="1"/>
    <col min="13826" max="13827" width="9.140625" style="2124"/>
    <col min="13828" max="13828" width="9.85546875" style="2124" customWidth="1"/>
    <col min="13829" max="13830" width="9.140625" style="2124" customWidth="1"/>
    <col min="13831" max="13831" width="8.85546875" style="2124" customWidth="1"/>
    <col min="13832" max="13832" width="8.5703125" style="2124" customWidth="1"/>
    <col min="13833" max="13833" width="8" style="2124" customWidth="1"/>
    <col min="13834" max="13834" width="8.7109375" style="2124" customWidth="1"/>
    <col min="13835" max="13835" width="13.42578125" style="2124" customWidth="1"/>
    <col min="13836" max="13836" width="10.42578125" style="2124" customWidth="1"/>
    <col min="13837" max="13837" width="9.140625" style="2124"/>
    <col min="13838" max="13838" width="14.5703125" style="2124" bestFit="1" customWidth="1"/>
    <col min="13839" max="13839" width="9.140625" style="2124"/>
    <col min="13840" max="13840" width="14.5703125" style="2124" bestFit="1" customWidth="1"/>
    <col min="13841" max="14080" width="9.140625" style="2124"/>
    <col min="14081" max="14081" width="11.28515625" style="2124" customWidth="1"/>
    <col min="14082" max="14083" width="9.140625" style="2124"/>
    <col min="14084" max="14084" width="9.85546875" style="2124" customWidth="1"/>
    <col min="14085" max="14086" width="9.140625" style="2124" customWidth="1"/>
    <col min="14087" max="14087" width="8.85546875" style="2124" customWidth="1"/>
    <col min="14088" max="14088" width="8.5703125" style="2124" customWidth="1"/>
    <col min="14089" max="14089" width="8" style="2124" customWidth="1"/>
    <col min="14090" max="14090" width="8.7109375" style="2124" customWidth="1"/>
    <col min="14091" max="14091" width="13.42578125" style="2124" customWidth="1"/>
    <col min="14092" max="14092" width="10.42578125" style="2124" customWidth="1"/>
    <col min="14093" max="14093" width="9.140625" style="2124"/>
    <col min="14094" max="14094" width="14.5703125" style="2124" bestFit="1" customWidth="1"/>
    <col min="14095" max="14095" width="9.140625" style="2124"/>
    <col min="14096" max="14096" width="14.5703125" style="2124" bestFit="1" customWidth="1"/>
    <col min="14097" max="14336" width="9.140625" style="2124"/>
    <col min="14337" max="14337" width="11.28515625" style="2124" customWidth="1"/>
    <col min="14338" max="14339" width="9.140625" style="2124"/>
    <col min="14340" max="14340" width="9.85546875" style="2124" customWidth="1"/>
    <col min="14341" max="14342" width="9.140625" style="2124" customWidth="1"/>
    <col min="14343" max="14343" width="8.85546875" style="2124" customWidth="1"/>
    <col min="14344" max="14344" width="8.5703125" style="2124" customWidth="1"/>
    <col min="14345" max="14345" width="8" style="2124" customWidth="1"/>
    <col min="14346" max="14346" width="8.7109375" style="2124" customWidth="1"/>
    <col min="14347" max="14347" width="13.42578125" style="2124" customWidth="1"/>
    <col min="14348" max="14348" width="10.42578125" style="2124" customWidth="1"/>
    <col min="14349" max="14349" width="9.140625" style="2124"/>
    <col min="14350" max="14350" width="14.5703125" style="2124" bestFit="1" customWidth="1"/>
    <col min="14351" max="14351" width="9.140625" style="2124"/>
    <col min="14352" max="14352" width="14.5703125" style="2124" bestFit="1" customWidth="1"/>
    <col min="14353" max="14592" width="9.140625" style="2124"/>
    <col min="14593" max="14593" width="11.28515625" style="2124" customWidth="1"/>
    <col min="14594" max="14595" width="9.140625" style="2124"/>
    <col min="14596" max="14596" width="9.85546875" style="2124" customWidth="1"/>
    <col min="14597" max="14598" width="9.140625" style="2124" customWidth="1"/>
    <col min="14599" max="14599" width="8.85546875" style="2124" customWidth="1"/>
    <col min="14600" max="14600" width="8.5703125" style="2124" customWidth="1"/>
    <col min="14601" max="14601" width="8" style="2124" customWidth="1"/>
    <col min="14602" max="14602" width="8.7109375" style="2124" customWidth="1"/>
    <col min="14603" max="14603" width="13.42578125" style="2124" customWidth="1"/>
    <col min="14604" max="14604" width="10.42578125" style="2124" customWidth="1"/>
    <col min="14605" max="14605" width="9.140625" style="2124"/>
    <col min="14606" max="14606" width="14.5703125" style="2124" bestFit="1" customWidth="1"/>
    <col min="14607" max="14607" width="9.140625" style="2124"/>
    <col min="14608" max="14608" width="14.5703125" style="2124" bestFit="1" customWidth="1"/>
    <col min="14609" max="14848" width="9.140625" style="2124"/>
    <col min="14849" max="14849" width="11.28515625" style="2124" customWidth="1"/>
    <col min="14850" max="14851" width="9.140625" style="2124"/>
    <col min="14852" max="14852" width="9.85546875" style="2124" customWidth="1"/>
    <col min="14853" max="14854" width="9.140625" style="2124" customWidth="1"/>
    <col min="14855" max="14855" width="8.85546875" style="2124" customWidth="1"/>
    <col min="14856" max="14856" width="8.5703125" style="2124" customWidth="1"/>
    <col min="14857" max="14857" width="8" style="2124" customWidth="1"/>
    <col min="14858" max="14858" width="8.7109375" style="2124" customWidth="1"/>
    <col min="14859" max="14859" width="13.42578125" style="2124" customWidth="1"/>
    <col min="14860" max="14860" width="10.42578125" style="2124" customWidth="1"/>
    <col min="14861" max="14861" width="9.140625" style="2124"/>
    <col min="14862" max="14862" width="14.5703125" style="2124" bestFit="1" customWidth="1"/>
    <col min="14863" max="14863" width="9.140625" style="2124"/>
    <col min="14864" max="14864" width="14.5703125" style="2124" bestFit="1" customWidth="1"/>
    <col min="14865" max="15104" width="9.140625" style="2124"/>
    <col min="15105" max="15105" width="11.28515625" style="2124" customWidth="1"/>
    <col min="15106" max="15107" width="9.140625" style="2124"/>
    <col min="15108" max="15108" width="9.85546875" style="2124" customWidth="1"/>
    <col min="15109" max="15110" width="9.140625" style="2124" customWidth="1"/>
    <col min="15111" max="15111" width="8.85546875" style="2124" customWidth="1"/>
    <col min="15112" max="15112" width="8.5703125" style="2124" customWidth="1"/>
    <col min="15113" max="15113" width="8" style="2124" customWidth="1"/>
    <col min="15114" max="15114" width="8.7109375" style="2124" customWidth="1"/>
    <col min="15115" max="15115" width="13.42578125" style="2124" customWidth="1"/>
    <col min="15116" max="15116" width="10.42578125" style="2124" customWidth="1"/>
    <col min="15117" max="15117" width="9.140625" style="2124"/>
    <col min="15118" max="15118" width="14.5703125" style="2124" bestFit="1" customWidth="1"/>
    <col min="15119" max="15119" width="9.140625" style="2124"/>
    <col min="15120" max="15120" width="14.5703125" style="2124" bestFit="1" customWidth="1"/>
    <col min="15121" max="15360" width="9.140625" style="2124"/>
    <col min="15361" max="15361" width="11.28515625" style="2124" customWidth="1"/>
    <col min="15362" max="15363" width="9.140625" style="2124"/>
    <col min="15364" max="15364" width="9.85546875" style="2124" customWidth="1"/>
    <col min="15365" max="15366" width="9.140625" style="2124" customWidth="1"/>
    <col min="15367" max="15367" width="8.85546875" style="2124" customWidth="1"/>
    <col min="15368" max="15368" width="8.5703125" style="2124" customWidth="1"/>
    <col min="15369" max="15369" width="8" style="2124" customWidth="1"/>
    <col min="15370" max="15370" width="8.7109375" style="2124" customWidth="1"/>
    <col min="15371" max="15371" width="13.42578125" style="2124" customWidth="1"/>
    <col min="15372" max="15372" width="10.42578125" style="2124" customWidth="1"/>
    <col min="15373" max="15373" width="9.140625" style="2124"/>
    <col min="15374" max="15374" width="14.5703125" style="2124" bestFit="1" customWidth="1"/>
    <col min="15375" max="15375" width="9.140625" style="2124"/>
    <col min="15376" max="15376" width="14.5703125" style="2124" bestFit="1" customWidth="1"/>
    <col min="15377" max="15616" width="9.140625" style="2124"/>
    <col min="15617" max="15617" width="11.28515625" style="2124" customWidth="1"/>
    <col min="15618" max="15619" width="9.140625" style="2124"/>
    <col min="15620" max="15620" width="9.85546875" style="2124" customWidth="1"/>
    <col min="15621" max="15622" width="9.140625" style="2124" customWidth="1"/>
    <col min="15623" max="15623" width="8.85546875" style="2124" customWidth="1"/>
    <col min="15624" max="15624" width="8.5703125" style="2124" customWidth="1"/>
    <col min="15625" max="15625" width="8" style="2124" customWidth="1"/>
    <col min="15626" max="15626" width="8.7109375" style="2124" customWidth="1"/>
    <col min="15627" max="15627" width="13.42578125" style="2124" customWidth="1"/>
    <col min="15628" max="15628" width="10.42578125" style="2124" customWidth="1"/>
    <col min="15629" max="15629" width="9.140625" style="2124"/>
    <col min="15630" max="15630" width="14.5703125" style="2124" bestFit="1" customWidth="1"/>
    <col min="15631" max="15631" width="9.140625" style="2124"/>
    <col min="15632" max="15632" width="14.5703125" style="2124" bestFit="1" customWidth="1"/>
    <col min="15633" max="15872" width="9.140625" style="2124"/>
    <col min="15873" max="15873" width="11.28515625" style="2124" customWidth="1"/>
    <col min="15874" max="15875" width="9.140625" style="2124"/>
    <col min="15876" max="15876" width="9.85546875" style="2124" customWidth="1"/>
    <col min="15877" max="15878" width="9.140625" style="2124" customWidth="1"/>
    <col min="15879" max="15879" width="8.85546875" style="2124" customWidth="1"/>
    <col min="15880" max="15880" width="8.5703125" style="2124" customWidth="1"/>
    <col min="15881" max="15881" width="8" style="2124" customWidth="1"/>
    <col min="15882" max="15882" width="8.7109375" style="2124" customWidth="1"/>
    <col min="15883" max="15883" width="13.42578125" style="2124" customWidth="1"/>
    <col min="15884" max="15884" width="10.42578125" style="2124" customWidth="1"/>
    <col min="15885" max="15885" width="9.140625" style="2124"/>
    <col min="15886" max="15886" width="14.5703125" style="2124" bestFit="1" customWidth="1"/>
    <col min="15887" max="15887" width="9.140625" style="2124"/>
    <col min="15888" max="15888" width="14.5703125" style="2124" bestFit="1" customWidth="1"/>
    <col min="15889" max="16128" width="9.140625" style="2124"/>
    <col min="16129" max="16129" width="11.28515625" style="2124" customWidth="1"/>
    <col min="16130" max="16131" width="9.140625" style="2124"/>
    <col min="16132" max="16132" width="9.85546875" style="2124" customWidth="1"/>
    <col min="16133" max="16134" width="9.140625" style="2124" customWidth="1"/>
    <col min="16135" max="16135" width="8.85546875" style="2124" customWidth="1"/>
    <col min="16136" max="16136" width="8.5703125" style="2124" customWidth="1"/>
    <col min="16137" max="16137" width="8" style="2124" customWidth="1"/>
    <col min="16138" max="16138" width="8.7109375" style="2124" customWidth="1"/>
    <col min="16139" max="16139" width="13.42578125" style="2124" customWidth="1"/>
    <col min="16140" max="16140" width="10.42578125" style="2124" customWidth="1"/>
    <col min="16141" max="16141" width="9.140625" style="2124"/>
    <col min="16142" max="16142" width="14.5703125" style="2124" bestFit="1" customWidth="1"/>
    <col min="16143" max="16143" width="9.140625" style="2124"/>
    <col min="16144" max="16144" width="14.5703125" style="2124" bestFit="1" customWidth="1"/>
    <col min="16145" max="16384" width="9.140625" style="2124"/>
  </cols>
  <sheetData>
    <row r="1" spans="1:10" ht="23.25" customHeight="1">
      <c r="A1" s="2120" t="s">
        <v>3163</v>
      </c>
      <c r="B1" s="2121"/>
      <c r="C1" s="2121"/>
      <c r="D1" s="2121"/>
      <c r="E1" s="2121"/>
      <c r="F1" s="2122"/>
      <c r="G1" s="2122"/>
      <c r="H1" s="2122"/>
      <c r="I1" s="2123"/>
      <c r="J1" s="2123"/>
    </row>
    <row r="2" spans="1:10" s="2129" customFormat="1" ht="13.5" thickBot="1">
      <c r="A2" s="2125"/>
      <c r="B2" s="2126"/>
      <c r="C2" s="2126"/>
      <c r="D2" s="2127"/>
      <c r="E2" s="2126"/>
      <c r="F2" s="2126"/>
      <c r="G2" s="2127" t="s">
        <v>1301</v>
      </c>
      <c r="H2" s="2126"/>
      <c r="I2" s="2128"/>
      <c r="J2" s="2126"/>
    </row>
    <row r="3" spans="1:10" s="2129" customFormat="1" ht="30" customHeight="1" thickBot="1">
      <c r="A3" s="2130" t="s">
        <v>619</v>
      </c>
      <c r="B3" s="3383" t="s">
        <v>3164</v>
      </c>
      <c r="C3" s="3384"/>
      <c r="D3" s="3383" t="s">
        <v>3165</v>
      </c>
      <c r="E3" s="3384"/>
      <c r="F3" s="3383" t="s">
        <v>3166</v>
      </c>
      <c r="G3" s="3384"/>
      <c r="H3" s="2131"/>
      <c r="I3" s="2131"/>
      <c r="J3" s="2131"/>
    </row>
    <row r="4" spans="1:10" s="2129" customFormat="1" ht="14.1" customHeight="1">
      <c r="A4" s="2132">
        <v>39264</v>
      </c>
      <c r="B4" s="3379">
        <v>7.1</v>
      </c>
      <c r="C4" s="3379"/>
      <c r="D4" s="3379">
        <v>5.0447389893233385</v>
      </c>
      <c r="E4" s="3379"/>
      <c r="F4" s="3379">
        <v>5.3791497041713932</v>
      </c>
      <c r="G4" s="3379"/>
      <c r="H4" s="2126"/>
      <c r="I4" s="2133"/>
      <c r="J4" s="2133"/>
    </row>
    <row r="5" spans="1:10" s="2129" customFormat="1" ht="14.1" hidden="1" customHeight="1">
      <c r="A5" s="2132">
        <v>39295</v>
      </c>
      <c r="B5" s="3379">
        <v>6.8</v>
      </c>
      <c r="C5" s="3379"/>
      <c r="D5" s="3379">
        <v>3.660396223215745</v>
      </c>
      <c r="E5" s="3379"/>
      <c r="F5" s="3379">
        <v>4.6578413383237649</v>
      </c>
      <c r="G5" s="3379"/>
      <c r="H5" s="2126"/>
      <c r="I5" s="2133"/>
      <c r="J5" s="2133"/>
    </row>
    <row r="6" spans="1:10" s="2129" customFormat="1" ht="14.1" hidden="1" customHeight="1">
      <c r="A6" s="2132">
        <v>39326</v>
      </c>
      <c r="B6" s="3379">
        <v>7.3</v>
      </c>
      <c r="C6" s="3379"/>
      <c r="D6" s="3379">
        <v>4.7259123460996921</v>
      </c>
      <c r="E6" s="3379"/>
      <c r="F6" s="3379">
        <v>5.0512072292763222</v>
      </c>
      <c r="G6" s="3379"/>
      <c r="H6" s="2126"/>
      <c r="I6" s="2133"/>
      <c r="J6" s="2133"/>
    </row>
    <row r="7" spans="1:10" s="2129" customFormat="1" ht="14.1" hidden="1" customHeight="1">
      <c r="A7" s="2132">
        <v>39356</v>
      </c>
      <c r="B7" s="3379">
        <v>8.4</v>
      </c>
      <c r="C7" s="3379"/>
      <c r="D7" s="3379">
        <v>5.0358509954642861</v>
      </c>
      <c r="E7" s="3379"/>
      <c r="F7" s="3379">
        <v>5.5418515387933631</v>
      </c>
      <c r="G7" s="3379"/>
      <c r="H7" s="2126"/>
      <c r="I7" s="2133"/>
      <c r="J7" s="2133"/>
    </row>
    <row r="8" spans="1:10" s="2129" customFormat="1" ht="14.1" hidden="1" customHeight="1">
      <c r="A8" s="2132">
        <v>39387</v>
      </c>
      <c r="B8" s="3379">
        <v>8.4</v>
      </c>
      <c r="C8" s="3379"/>
      <c r="D8" s="3379">
        <v>5.1075033046994012</v>
      </c>
      <c r="E8" s="3379"/>
      <c r="F8" s="3379">
        <v>5.6431344967298624</v>
      </c>
      <c r="G8" s="3379"/>
      <c r="H8" s="2126"/>
      <c r="I8" s="2133"/>
      <c r="J8" s="2133"/>
    </row>
    <row r="9" spans="1:10" s="2129" customFormat="1" ht="14.1" customHeight="1">
      <c r="A9" s="2132">
        <v>39417</v>
      </c>
      <c r="B9" s="3379">
        <v>8.6</v>
      </c>
      <c r="C9" s="3379"/>
      <c r="D9" s="3379">
        <v>5.0604430819486623</v>
      </c>
      <c r="E9" s="3379"/>
      <c r="F9" s="3379">
        <v>5.591690193063914</v>
      </c>
      <c r="G9" s="3379"/>
      <c r="H9" s="2126"/>
      <c r="I9" s="2133"/>
      <c r="J9" s="2133"/>
    </row>
    <row r="10" spans="1:10" s="2129" customFormat="1" ht="14.1" hidden="1" customHeight="1">
      <c r="A10" s="2132">
        <v>39448</v>
      </c>
      <c r="B10" s="3379">
        <v>9.9</v>
      </c>
      <c r="C10" s="3379"/>
      <c r="D10" s="3379">
        <v>8.0833099952848819</v>
      </c>
      <c r="E10" s="3379"/>
      <c r="F10" s="3379">
        <v>5.8939130096091974</v>
      </c>
      <c r="G10" s="3379"/>
      <c r="H10" s="2126"/>
      <c r="I10" s="2133"/>
      <c r="J10" s="2133"/>
    </row>
    <row r="11" spans="1:10" s="2129" customFormat="1" ht="14.1" hidden="1" customHeight="1">
      <c r="A11" s="2132">
        <v>39479</v>
      </c>
      <c r="B11" s="3379">
        <v>10.1</v>
      </c>
      <c r="C11" s="3379"/>
      <c r="D11" s="3379">
        <v>8.1201457581817635</v>
      </c>
      <c r="E11" s="3379"/>
      <c r="F11" s="3379">
        <v>5.8769776464297818</v>
      </c>
      <c r="G11" s="3379"/>
      <c r="H11" s="2126"/>
      <c r="I11" s="2133"/>
      <c r="J11" s="2133"/>
    </row>
    <row r="12" spans="1:10" s="2129" customFormat="1" ht="14.1" hidden="1" customHeight="1">
      <c r="A12" s="2132">
        <v>39509</v>
      </c>
      <c r="B12" s="3379">
        <v>9.3000000000000007</v>
      </c>
      <c r="C12" s="3379"/>
      <c r="D12" s="3379">
        <v>8.040251592514668</v>
      </c>
      <c r="E12" s="3379"/>
      <c r="F12" s="3379">
        <v>5.7638673007165631</v>
      </c>
      <c r="G12" s="3379"/>
      <c r="H12" s="2126"/>
      <c r="I12" s="2133"/>
      <c r="J12" s="2133"/>
    </row>
    <row r="13" spans="1:10" s="2129" customFormat="1" ht="14.1" hidden="1" customHeight="1">
      <c r="A13" s="2132">
        <v>39539</v>
      </c>
      <c r="B13" s="3379">
        <v>9.3000000000000007</v>
      </c>
      <c r="C13" s="3379"/>
      <c r="D13" s="3379">
        <v>8.9361330582487177</v>
      </c>
      <c r="E13" s="3379"/>
      <c r="F13" s="3379">
        <v>5.4932220195048842</v>
      </c>
      <c r="G13" s="3379"/>
      <c r="H13" s="2126"/>
      <c r="I13" s="2133"/>
      <c r="J13" s="2133"/>
    </row>
    <row r="14" spans="1:10" s="2129" customFormat="1" ht="14.1" hidden="1" customHeight="1">
      <c r="A14" s="2132">
        <v>39570</v>
      </c>
      <c r="B14" s="3379">
        <v>9.8000000000000007</v>
      </c>
      <c r="C14" s="3379"/>
      <c r="D14" s="3379">
        <v>9.6577736742990083</v>
      </c>
      <c r="E14" s="3379"/>
      <c r="F14" s="3379">
        <v>5.794506306308933</v>
      </c>
      <c r="G14" s="3379"/>
      <c r="H14" s="2126"/>
      <c r="I14" s="2133"/>
      <c r="J14" s="2133"/>
    </row>
    <row r="15" spans="1:10" s="2129" customFormat="1" ht="14.1" customHeight="1">
      <c r="A15" s="2132">
        <v>39601</v>
      </c>
      <c r="B15" s="3379">
        <v>9.6999999999999993</v>
      </c>
      <c r="C15" s="3379"/>
      <c r="D15" s="3379">
        <v>9.5081961476281673</v>
      </c>
      <c r="E15" s="3379"/>
      <c r="F15" s="3379">
        <v>5.6213344566487633</v>
      </c>
      <c r="G15" s="3379"/>
      <c r="H15" s="2126"/>
      <c r="I15" s="2133"/>
      <c r="J15" s="2133"/>
    </row>
    <row r="16" spans="1:10" s="2129" customFormat="1" ht="14.1" hidden="1" customHeight="1">
      <c r="A16" s="2132">
        <v>39632</v>
      </c>
      <c r="B16" s="3379">
        <v>11.5</v>
      </c>
      <c r="C16" s="3379"/>
      <c r="D16" s="3379">
        <v>9.7841687888659443</v>
      </c>
      <c r="E16" s="3379"/>
      <c r="F16" s="3379">
        <v>6.5123230240075047</v>
      </c>
      <c r="G16" s="3379"/>
      <c r="H16" s="2126"/>
      <c r="I16" s="2133"/>
      <c r="J16" s="2133"/>
    </row>
    <row r="17" spans="1:10" s="2129" customFormat="1" ht="14.1" hidden="1" customHeight="1">
      <c r="A17" s="2132">
        <v>39663</v>
      </c>
      <c r="B17" s="3379">
        <v>11.7</v>
      </c>
      <c r="C17" s="3379"/>
      <c r="D17" s="3379">
        <v>10.993643685765676</v>
      </c>
      <c r="E17" s="3379"/>
      <c r="F17" s="3379">
        <v>6.8536562588299876</v>
      </c>
      <c r="G17" s="3379"/>
      <c r="H17" s="2126"/>
      <c r="I17" s="2133"/>
      <c r="J17" s="2133"/>
    </row>
    <row r="18" spans="1:10" s="2129" customFormat="1" ht="14.1" hidden="1" customHeight="1">
      <c r="A18" s="2132">
        <v>39694</v>
      </c>
      <c r="B18" s="3379">
        <v>10.8</v>
      </c>
      <c r="C18" s="3379"/>
      <c r="D18" s="3379">
        <v>9.8195982173374219</v>
      </c>
      <c r="E18" s="3379"/>
      <c r="F18" s="3379">
        <v>6.4433775822698935</v>
      </c>
      <c r="G18" s="3379"/>
      <c r="H18" s="2126"/>
      <c r="I18" s="2133"/>
      <c r="J18" s="2133"/>
    </row>
    <row r="19" spans="1:10" s="2129" customFormat="1" ht="14.1" hidden="1" customHeight="1">
      <c r="A19" s="2132">
        <v>39725</v>
      </c>
      <c r="B19" s="3379">
        <v>9.6999999999999993</v>
      </c>
      <c r="C19" s="3379"/>
      <c r="D19" s="3379">
        <v>8.9465899755739819</v>
      </c>
      <c r="E19" s="3379"/>
      <c r="F19" s="3379">
        <v>6.4005280366357997</v>
      </c>
      <c r="G19" s="3379"/>
      <c r="H19" s="2126"/>
      <c r="I19" s="2133"/>
      <c r="J19" s="2133"/>
    </row>
    <row r="20" spans="1:10" s="2129" customFormat="1" ht="14.1" hidden="1" customHeight="1">
      <c r="A20" s="2132">
        <v>39757</v>
      </c>
      <c r="B20" s="3379">
        <v>8.2713754646840165</v>
      </c>
      <c r="C20" s="3379"/>
      <c r="D20" s="3379">
        <v>6.8990683520289142</v>
      </c>
      <c r="E20" s="3379"/>
      <c r="F20" s="3379">
        <v>6.3701621367625583</v>
      </c>
      <c r="G20" s="3379"/>
      <c r="H20" s="2126"/>
      <c r="I20" s="2133"/>
      <c r="J20" s="2133"/>
    </row>
    <row r="21" spans="1:10" s="2129" customFormat="1" ht="14.1" customHeight="1">
      <c r="A21" s="2132">
        <v>39788</v>
      </c>
      <c r="B21" s="3379">
        <v>6.7467652495379005</v>
      </c>
      <c r="C21" s="3379"/>
      <c r="D21" s="3379">
        <v>5.9330079144542136</v>
      </c>
      <c r="E21" s="3379"/>
      <c r="F21" s="3379">
        <v>6.1671895591780546</v>
      </c>
      <c r="G21" s="3379"/>
      <c r="H21" s="2126"/>
      <c r="I21" s="2133"/>
      <c r="J21" s="2133"/>
    </row>
    <row r="22" spans="1:10" s="2129" customFormat="1" ht="14.1" hidden="1" customHeight="1">
      <c r="A22" s="2132">
        <v>39819</v>
      </c>
      <c r="B22" s="3379">
        <v>5.2007299270073082</v>
      </c>
      <c r="C22" s="3379"/>
      <c r="D22" s="3379">
        <v>3.9884438505438213</v>
      </c>
      <c r="E22" s="3379"/>
      <c r="F22" s="3379">
        <v>5.0258446525900391</v>
      </c>
      <c r="G22" s="3379"/>
      <c r="H22" s="2126"/>
      <c r="I22" s="2133"/>
      <c r="J22" s="2133"/>
    </row>
    <row r="23" spans="1:10" s="2129" customFormat="1" ht="14.1" hidden="1" customHeight="1">
      <c r="A23" s="2132">
        <v>39851</v>
      </c>
      <c r="B23" s="3379">
        <v>4.6070460704606964</v>
      </c>
      <c r="C23" s="3379"/>
      <c r="D23" s="3379">
        <v>4.2105221514626034</v>
      </c>
      <c r="E23" s="3379"/>
      <c r="F23" s="3379">
        <v>4.7818791575772623</v>
      </c>
      <c r="G23" s="3379"/>
      <c r="H23" s="2126"/>
      <c r="I23" s="2133"/>
      <c r="J23" s="2133"/>
    </row>
    <row r="24" spans="1:10" s="2129" customFormat="1" ht="14.1" hidden="1" customHeight="1">
      <c r="A24" s="2132">
        <v>39880</v>
      </c>
      <c r="B24" s="3379">
        <v>4.8</v>
      </c>
      <c r="C24" s="3379"/>
      <c r="D24" s="3379">
        <v>4.0999999999999996</v>
      </c>
      <c r="E24" s="3379"/>
      <c r="F24" s="3379">
        <v>4.8</v>
      </c>
      <c r="G24" s="3379"/>
      <c r="H24" s="2126"/>
      <c r="I24" s="2133"/>
      <c r="J24" s="2133"/>
    </row>
    <row r="25" spans="1:10" s="2129" customFormat="1" ht="14.1" hidden="1" customHeight="1">
      <c r="A25" s="2132">
        <v>39912</v>
      </c>
      <c r="B25" s="3379">
        <v>3.8</v>
      </c>
      <c r="C25" s="3379"/>
      <c r="D25" s="3379">
        <v>3.7</v>
      </c>
      <c r="E25" s="3379"/>
      <c r="F25" s="3379">
        <v>4.7</v>
      </c>
      <c r="G25" s="3379"/>
      <c r="H25" s="2126"/>
      <c r="I25" s="2133"/>
      <c r="J25" s="2133"/>
    </row>
    <row r="26" spans="1:10" s="2129" customFormat="1" ht="14.1" hidden="1" customHeight="1">
      <c r="A26" s="2132">
        <v>39944</v>
      </c>
      <c r="B26" s="3379">
        <v>2.8</v>
      </c>
      <c r="C26" s="3379"/>
      <c r="D26" s="3379">
        <v>2.7</v>
      </c>
      <c r="E26" s="3379"/>
      <c r="F26" s="3379">
        <v>4.0999999999999996</v>
      </c>
      <c r="G26" s="3379"/>
      <c r="H26" s="2126"/>
      <c r="I26" s="2133"/>
      <c r="J26" s="2133"/>
    </row>
    <row r="27" spans="1:10" s="2129" customFormat="1" ht="14.1" customHeight="1">
      <c r="A27" s="2132">
        <v>39976</v>
      </c>
      <c r="B27" s="3379">
        <v>3.3</v>
      </c>
      <c r="C27" s="3379"/>
      <c r="D27" s="3379">
        <v>3.6</v>
      </c>
      <c r="E27" s="3379"/>
      <c r="F27" s="3379">
        <v>4.5</v>
      </c>
      <c r="G27" s="3379"/>
      <c r="H27" s="2126"/>
      <c r="I27" s="2133"/>
      <c r="J27" s="2133"/>
    </row>
    <row r="28" spans="1:10" s="2129" customFormat="1" ht="14.1" hidden="1" customHeight="1">
      <c r="A28" s="2132">
        <v>40006</v>
      </c>
      <c r="B28" s="3379">
        <v>1.9</v>
      </c>
      <c r="C28" s="3379"/>
      <c r="D28" s="3379">
        <v>1.6</v>
      </c>
      <c r="E28" s="3379"/>
      <c r="F28" s="3379">
        <v>3.9</v>
      </c>
      <c r="G28" s="3379"/>
      <c r="H28" s="2126"/>
      <c r="I28" s="2133"/>
      <c r="J28" s="2133"/>
    </row>
    <row r="29" spans="1:10" s="2129" customFormat="1" ht="14.1" hidden="1" customHeight="1">
      <c r="A29" s="2132">
        <v>40038</v>
      </c>
      <c r="B29" s="3379">
        <v>1</v>
      </c>
      <c r="C29" s="3379"/>
      <c r="D29" s="3379">
        <v>0.7</v>
      </c>
      <c r="E29" s="3379"/>
      <c r="F29" s="3379">
        <v>3.5</v>
      </c>
      <c r="G29" s="3379"/>
      <c r="H29" s="2126"/>
      <c r="I29" s="2133"/>
      <c r="J29" s="2133"/>
    </row>
    <row r="30" spans="1:10" s="2129" customFormat="1" ht="14.1" hidden="1" customHeight="1">
      <c r="A30" s="2132">
        <v>40070</v>
      </c>
      <c r="B30" s="3379">
        <v>0.9</v>
      </c>
      <c r="C30" s="3379"/>
      <c r="D30" s="3379">
        <v>1</v>
      </c>
      <c r="E30" s="3379"/>
      <c r="F30" s="3379">
        <v>3.3</v>
      </c>
      <c r="G30" s="3379"/>
      <c r="H30" s="2126"/>
      <c r="I30" s="2133"/>
      <c r="J30" s="2133"/>
    </row>
    <row r="31" spans="1:10" s="2129" customFormat="1" ht="14.1" hidden="1" customHeight="1">
      <c r="A31" s="2132">
        <v>40102</v>
      </c>
      <c r="B31" s="3379">
        <v>0.1</v>
      </c>
      <c r="C31" s="3379"/>
      <c r="D31" s="3379">
        <v>0.2</v>
      </c>
      <c r="E31" s="3379"/>
      <c r="F31" s="3379">
        <v>2.7</v>
      </c>
      <c r="G31" s="3379"/>
      <c r="H31" s="2126"/>
      <c r="I31" s="2133"/>
      <c r="J31" s="2133"/>
    </row>
    <row r="32" spans="1:10" s="2129" customFormat="1" ht="14.1" hidden="1" customHeight="1">
      <c r="A32" s="2132">
        <v>40134</v>
      </c>
      <c r="B32" s="3379">
        <v>0.7</v>
      </c>
      <c r="C32" s="3379"/>
      <c r="D32" s="3379">
        <v>1.2</v>
      </c>
      <c r="E32" s="3379"/>
      <c r="F32" s="3379">
        <v>2.2999999999999998</v>
      </c>
      <c r="G32" s="3379"/>
      <c r="H32" s="2126"/>
      <c r="I32" s="2133"/>
      <c r="J32" s="2133"/>
    </row>
    <row r="33" spans="1:10" s="2129" customFormat="1" ht="14.1" customHeight="1">
      <c r="A33" s="2132">
        <v>40165</v>
      </c>
      <c r="B33" s="3379">
        <v>1.5</v>
      </c>
      <c r="C33" s="3379"/>
      <c r="D33" s="3379">
        <v>2.4</v>
      </c>
      <c r="E33" s="3379"/>
      <c r="F33" s="3379">
        <v>2.2000000000000002</v>
      </c>
      <c r="G33" s="3379"/>
      <c r="H33" s="2126"/>
      <c r="I33" s="2133"/>
      <c r="J33" s="2133"/>
    </row>
    <row r="34" spans="1:10" s="2129" customFormat="1" ht="14.1" hidden="1" customHeight="1">
      <c r="A34" s="2132">
        <v>40197</v>
      </c>
      <c r="B34" s="3379">
        <v>2.5</v>
      </c>
      <c r="C34" s="3379"/>
      <c r="D34" s="3379">
        <v>3.3</v>
      </c>
      <c r="E34" s="3379"/>
      <c r="F34" s="3379">
        <v>2.6</v>
      </c>
      <c r="G34" s="3379"/>
      <c r="H34" s="2126"/>
      <c r="I34" s="2133"/>
      <c r="J34" s="2133"/>
    </row>
    <row r="35" spans="1:10" s="2129" customFormat="1" ht="14.1" hidden="1" customHeight="1">
      <c r="A35" s="2132">
        <v>40229</v>
      </c>
      <c r="B35" s="3379">
        <v>2.4</v>
      </c>
      <c r="C35" s="3379"/>
      <c r="D35" s="3379">
        <v>3.2</v>
      </c>
      <c r="E35" s="3379"/>
      <c r="F35" s="3379">
        <v>2.2999999999999998</v>
      </c>
      <c r="G35" s="3379"/>
      <c r="H35" s="2126"/>
      <c r="I35" s="2133"/>
      <c r="J35" s="2133"/>
    </row>
    <row r="36" spans="1:10" s="2129" customFormat="1" ht="14.1" hidden="1" customHeight="1">
      <c r="A36" s="2132">
        <v>40257</v>
      </c>
      <c r="B36" s="3379">
        <v>2.2999999999999998</v>
      </c>
      <c r="C36" s="3379"/>
      <c r="D36" s="3379">
        <v>3.3</v>
      </c>
      <c r="E36" s="3379"/>
      <c r="F36" s="3379">
        <v>2.2000000000000002</v>
      </c>
      <c r="G36" s="3379"/>
      <c r="H36" s="2126"/>
      <c r="I36" s="2133"/>
      <c r="J36" s="2133"/>
    </row>
    <row r="37" spans="1:10" s="2129" customFormat="1" ht="14.1" hidden="1" customHeight="1">
      <c r="A37" s="2132">
        <v>40288</v>
      </c>
      <c r="B37" s="3379">
        <v>2.7</v>
      </c>
      <c r="C37" s="3379"/>
      <c r="D37" s="3379">
        <v>3.2</v>
      </c>
      <c r="E37" s="3379"/>
      <c r="F37" s="3379">
        <v>2.1</v>
      </c>
      <c r="G37" s="3379"/>
      <c r="H37" s="2126"/>
      <c r="I37" s="2133"/>
      <c r="J37" s="2133"/>
    </row>
    <row r="38" spans="1:10" s="2129" customFormat="1" ht="14.1" hidden="1" customHeight="1">
      <c r="A38" s="2132">
        <v>40318</v>
      </c>
      <c r="B38" s="3379">
        <v>2.5</v>
      </c>
      <c r="C38" s="3379"/>
      <c r="D38" s="3379">
        <v>2.8</v>
      </c>
      <c r="E38" s="3379"/>
      <c r="F38" s="3379">
        <v>2.2000000000000002</v>
      </c>
      <c r="G38" s="3379"/>
      <c r="H38" s="2126"/>
      <c r="I38" s="2133"/>
      <c r="J38" s="2133"/>
    </row>
    <row r="39" spans="1:10" s="2129" customFormat="1" ht="14.1" customHeight="1">
      <c r="A39" s="2132">
        <v>40349</v>
      </c>
      <c r="B39" s="3379">
        <v>2.4</v>
      </c>
      <c r="C39" s="3379"/>
      <c r="D39" s="3379">
        <v>3</v>
      </c>
      <c r="E39" s="3379"/>
      <c r="F39" s="3379">
        <v>2.4</v>
      </c>
      <c r="G39" s="3379"/>
      <c r="H39" s="2126"/>
      <c r="I39" s="2133"/>
      <c r="J39" s="2133"/>
    </row>
    <row r="40" spans="1:10" s="2129" customFormat="1" ht="14.1" hidden="1" customHeight="1">
      <c r="A40" s="2132">
        <v>40379</v>
      </c>
      <c r="B40" s="3379">
        <v>2</v>
      </c>
      <c r="C40" s="3379"/>
      <c r="D40" s="3379">
        <v>1.7</v>
      </c>
      <c r="E40" s="3379"/>
      <c r="F40" s="3379">
        <v>2.7</v>
      </c>
      <c r="G40" s="3379"/>
      <c r="H40" s="2126"/>
      <c r="I40" s="2133"/>
      <c r="J40" s="2133"/>
    </row>
    <row r="41" spans="1:10" s="2129" customFormat="1" ht="14.1" hidden="1" customHeight="1">
      <c r="A41" s="2132">
        <v>40410</v>
      </c>
      <c r="B41" s="3379">
        <v>2.6</v>
      </c>
      <c r="C41" s="3379"/>
      <c r="D41" s="3379">
        <v>3.2</v>
      </c>
      <c r="E41" s="3379"/>
      <c r="F41" s="3379">
        <v>3</v>
      </c>
      <c r="G41" s="3379"/>
      <c r="H41" s="2126"/>
      <c r="I41" s="2133"/>
      <c r="J41" s="2133"/>
    </row>
    <row r="42" spans="1:10" s="2129" customFormat="1" ht="14.1" hidden="1" customHeight="1">
      <c r="A42" s="2132">
        <v>40441</v>
      </c>
      <c r="B42" s="3379">
        <v>2.5</v>
      </c>
      <c r="C42" s="3379"/>
      <c r="D42" s="3379">
        <v>1.9</v>
      </c>
      <c r="E42" s="3379"/>
      <c r="F42" s="3379">
        <v>3</v>
      </c>
      <c r="G42" s="3379"/>
      <c r="H42" s="2126"/>
      <c r="I42" s="2133"/>
      <c r="J42" s="2133"/>
    </row>
    <row r="43" spans="1:10" s="2129" customFormat="1" ht="14.1" hidden="1" customHeight="1">
      <c r="A43" s="2132">
        <v>40471</v>
      </c>
      <c r="B43" s="3379">
        <v>3.2</v>
      </c>
      <c r="C43" s="3379"/>
      <c r="D43" s="3379">
        <v>3.3</v>
      </c>
      <c r="E43" s="3379"/>
      <c r="F43" s="3379">
        <v>3.3</v>
      </c>
      <c r="G43" s="3379"/>
      <c r="H43" s="2126"/>
      <c r="I43" s="2133"/>
      <c r="J43" s="2133"/>
    </row>
    <row r="44" spans="1:10" s="2136" customFormat="1" ht="14.1" hidden="1" customHeight="1">
      <c r="A44" s="2132">
        <v>40502</v>
      </c>
      <c r="B44" s="3379">
        <v>3.9</v>
      </c>
      <c r="C44" s="3379"/>
      <c r="D44" s="3379">
        <v>3.7</v>
      </c>
      <c r="E44" s="3379"/>
      <c r="F44" s="3379">
        <v>3.1</v>
      </c>
      <c r="G44" s="3379"/>
      <c r="H44" s="2134"/>
      <c r="I44" s="2135"/>
      <c r="J44" s="2135"/>
    </row>
    <row r="45" spans="1:10" s="2136" customFormat="1" ht="14.1" customHeight="1">
      <c r="A45" s="2132">
        <v>40532</v>
      </c>
      <c r="B45" s="3379">
        <v>6.1</v>
      </c>
      <c r="C45" s="3379"/>
      <c r="D45" s="3379">
        <v>5.0999999999999996</v>
      </c>
      <c r="E45" s="3379"/>
      <c r="F45" s="3379">
        <v>4.4000000000000004</v>
      </c>
      <c r="G45" s="3379"/>
      <c r="H45" s="2134"/>
      <c r="I45" s="2135"/>
      <c r="J45" s="2135"/>
    </row>
    <row r="46" spans="1:10" s="2136" customFormat="1" ht="14.1" hidden="1" customHeight="1">
      <c r="A46" s="2132">
        <v>40563</v>
      </c>
      <c r="B46" s="3379">
        <v>6.4</v>
      </c>
      <c r="C46" s="3379"/>
      <c r="D46" s="3379">
        <v>6.2</v>
      </c>
      <c r="E46" s="3379"/>
      <c r="F46" s="3379">
        <v>4.8</v>
      </c>
      <c r="G46" s="3379"/>
      <c r="H46" s="2134"/>
      <c r="I46" s="2135"/>
      <c r="J46" s="2135"/>
    </row>
    <row r="47" spans="1:10" s="2136" customFormat="1" ht="14.1" hidden="1" customHeight="1">
      <c r="A47" s="2132">
        <v>40594</v>
      </c>
      <c r="B47" s="3379">
        <v>6.8</v>
      </c>
      <c r="C47" s="3379"/>
      <c r="D47" s="3379">
        <v>6.4</v>
      </c>
      <c r="E47" s="3379"/>
      <c r="F47" s="3379">
        <v>5.0999999999999996</v>
      </c>
      <c r="G47" s="3379"/>
      <c r="H47" s="2134"/>
      <c r="I47" s="2135"/>
      <c r="J47" s="2135"/>
    </row>
    <row r="48" spans="1:10" s="2136" customFormat="1" ht="14.1" hidden="1" customHeight="1">
      <c r="A48" s="2132">
        <v>40622</v>
      </c>
      <c r="B48" s="3379">
        <v>7.2</v>
      </c>
      <c r="C48" s="3379"/>
      <c r="D48" s="3379">
        <v>7</v>
      </c>
      <c r="E48" s="3379"/>
      <c r="F48" s="3379">
        <v>5.4</v>
      </c>
      <c r="G48" s="3379"/>
      <c r="H48" s="2134"/>
      <c r="I48" s="2135"/>
      <c r="J48" s="2135"/>
    </row>
    <row r="49" spans="1:10" s="2136" customFormat="1" ht="14.1" hidden="1" customHeight="1">
      <c r="A49" s="2132">
        <v>40653</v>
      </c>
      <c r="B49" s="3379">
        <v>7</v>
      </c>
      <c r="C49" s="3379"/>
      <c r="D49" s="3379">
        <v>6.6</v>
      </c>
      <c r="E49" s="3379"/>
      <c r="F49" s="3379">
        <v>6</v>
      </c>
      <c r="G49" s="3379"/>
      <c r="H49" s="2134"/>
      <c r="I49" s="2135"/>
      <c r="J49" s="2135"/>
    </row>
    <row r="50" spans="1:10" s="2136" customFormat="1" ht="14.1" hidden="1" customHeight="1">
      <c r="A50" s="2132">
        <v>40683</v>
      </c>
      <c r="B50" s="3379">
        <v>7.1</v>
      </c>
      <c r="C50" s="3379"/>
      <c r="D50" s="3379">
        <v>7</v>
      </c>
      <c r="E50" s="3379"/>
      <c r="F50" s="3379">
        <v>5.8</v>
      </c>
      <c r="G50" s="3379"/>
      <c r="H50" s="2134"/>
      <c r="I50" s="2135"/>
      <c r="J50" s="2135"/>
    </row>
    <row r="51" spans="1:10" s="2136" customFormat="1" ht="14.1" customHeight="1">
      <c r="A51" s="2132">
        <v>40714</v>
      </c>
      <c r="B51" s="3379">
        <v>6.6</v>
      </c>
      <c r="C51" s="3379"/>
      <c r="D51" s="3379">
        <v>5.9</v>
      </c>
      <c r="E51" s="3379"/>
      <c r="F51" s="3379">
        <v>5.3</v>
      </c>
      <c r="G51" s="3379"/>
      <c r="H51" s="2134"/>
      <c r="I51" s="2135"/>
      <c r="J51" s="2135"/>
    </row>
    <row r="52" spans="1:10" s="2136" customFormat="1" ht="14.1" hidden="1" customHeight="1">
      <c r="A52" s="2132">
        <v>40744</v>
      </c>
      <c r="B52" s="3379">
        <v>6.7</v>
      </c>
      <c r="C52" s="3379"/>
      <c r="D52" s="3379">
        <v>6.4</v>
      </c>
      <c r="E52" s="3379"/>
      <c r="F52" s="3379">
        <v>4.9000000000000004</v>
      </c>
      <c r="G52" s="3379"/>
      <c r="H52" s="2134"/>
      <c r="I52" s="2135"/>
      <c r="J52" s="2135"/>
    </row>
    <row r="53" spans="1:10" s="2136" customFormat="1" ht="14.1" hidden="1" customHeight="1">
      <c r="A53" s="2132">
        <v>40775</v>
      </c>
      <c r="B53" s="3379">
        <v>6.5</v>
      </c>
      <c r="C53" s="3379"/>
      <c r="D53" s="3379">
        <v>5.7</v>
      </c>
      <c r="E53" s="3379"/>
      <c r="F53" s="3379">
        <v>4.8</v>
      </c>
      <c r="G53" s="3379"/>
      <c r="H53" s="2134"/>
      <c r="I53" s="2135"/>
      <c r="J53" s="2135"/>
    </row>
    <row r="54" spans="1:10" s="2136" customFormat="1" ht="14.1" hidden="1" customHeight="1">
      <c r="A54" s="2132">
        <v>40806</v>
      </c>
      <c r="B54" s="3379">
        <v>6.3</v>
      </c>
      <c r="C54" s="3379"/>
      <c r="D54" s="3379">
        <v>5.9</v>
      </c>
      <c r="E54" s="3379"/>
      <c r="F54" s="3379">
        <v>4.0999999999999996</v>
      </c>
      <c r="G54" s="3379"/>
      <c r="H54" s="2134"/>
      <c r="I54" s="2135"/>
      <c r="J54" s="2135"/>
    </row>
    <row r="55" spans="1:10" s="2136" customFormat="1" ht="14.1" hidden="1" customHeight="1">
      <c r="A55" s="2132">
        <v>40836</v>
      </c>
      <c r="B55" s="3379">
        <v>6</v>
      </c>
      <c r="C55" s="3379"/>
      <c r="D55" s="3379">
        <v>5.3</v>
      </c>
      <c r="E55" s="3379"/>
      <c r="F55" s="3379">
        <v>3.9</v>
      </c>
      <c r="G55" s="3379"/>
      <c r="H55" s="2134"/>
      <c r="I55" s="2135"/>
      <c r="J55" s="2135"/>
    </row>
    <row r="56" spans="1:10" s="2136" customFormat="1" ht="14.1" hidden="1" customHeight="1">
      <c r="A56" s="2132">
        <v>40867</v>
      </c>
      <c r="B56" s="3379">
        <v>7</v>
      </c>
      <c r="C56" s="3379"/>
      <c r="D56" s="3379">
        <v>5.5</v>
      </c>
      <c r="E56" s="3379"/>
      <c r="F56" s="3379">
        <v>4.0999999999999996</v>
      </c>
      <c r="G56" s="3379"/>
      <c r="H56" s="2134"/>
      <c r="I56" s="2135"/>
      <c r="J56" s="2135"/>
    </row>
    <row r="57" spans="1:10" s="2136" customFormat="1" ht="14.1" customHeight="1">
      <c r="A57" s="2132">
        <v>40897</v>
      </c>
      <c r="B57" s="3379">
        <v>4.8</v>
      </c>
      <c r="C57" s="3379"/>
      <c r="D57" s="3379">
        <v>3.8</v>
      </c>
      <c r="E57" s="3379"/>
      <c r="F57" s="3379">
        <v>3</v>
      </c>
      <c r="G57" s="3379"/>
      <c r="H57" s="2134"/>
      <c r="I57" s="2135"/>
      <c r="J57" s="2135"/>
    </row>
    <row r="58" spans="1:10" s="2136" customFormat="1" ht="14.1" hidden="1" customHeight="1">
      <c r="A58" s="2132">
        <v>40928</v>
      </c>
      <c r="B58" s="3379">
        <v>4.8</v>
      </c>
      <c r="C58" s="3379"/>
      <c r="D58" s="3379">
        <v>4.2</v>
      </c>
      <c r="E58" s="3379"/>
      <c r="F58" s="3379">
        <v>3.4</v>
      </c>
      <c r="G58" s="3379"/>
      <c r="H58" s="2134"/>
      <c r="I58" s="2135"/>
      <c r="J58" s="2135"/>
    </row>
    <row r="59" spans="1:10" s="2136" customFormat="1" ht="14.1" hidden="1" customHeight="1">
      <c r="A59" s="2132">
        <v>40959</v>
      </c>
      <c r="B59" s="3379">
        <v>4.0999999999999996</v>
      </c>
      <c r="C59" s="3379"/>
      <c r="D59" s="3379">
        <v>3.6</v>
      </c>
      <c r="E59" s="3379"/>
      <c r="F59" s="3379">
        <v>3.4</v>
      </c>
      <c r="G59" s="3379"/>
      <c r="H59" s="2134"/>
      <c r="I59" s="2135"/>
      <c r="J59" s="2135"/>
    </row>
    <row r="60" spans="1:10" s="2136" customFormat="1" ht="14.1" hidden="1" customHeight="1">
      <c r="A60" s="2132">
        <v>40988</v>
      </c>
      <c r="B60" s="3379">
        <v>3.8</v>
      </c>
      <c r="C60" s="3379"/>
      <c r="D60" s="3379">
        <v>3.4</v>
      </c>
      <c r="E60" s="3379"/>
      <c r="F60" s="3379">
        <v>3.3</v>
      </c>
      <c r="G60" s="3379"/>
      <c r="H60" s="2134"/>
      <c r="I60" s="2135"/>
      <c r="J60" s="2135"/>
    </row>
    <row r="61" spans="1:10" s="2136" customFormat="1" ht="14.1" hidden="1" customHeight="1">
      <c r="A61" s="2132">
        <v>41019</v>
      </c>
      <c r="B61" s="3379">
        <v>3.8</v>
      </c>
      <c r="C61" s="3379"/>
      <c r="D61" s="3379">
        <v>3.1</v>
      </c>
      <c r="E61" s="3379"/>
      <c r="F61" s="3379">
        <v>2.8</v>
      </c>
      <c r="G61" s="3379"/>
      <c r="H61" s="2134"/>
      <c r="I61" s="2135"/>
      <c r="J61" s="2135"/>
    </row>
    <row r="62" spans="1:10" s="2136" customFormat="1" ht="14.1" hidden="1" customHeight="1">
      <c r="A62" s="2132">
        <v>41049</v>
      </c>
      <c r="B62" s="3379">
        <v>3.8</v>
      </c>
      <c r="C62" s="3379"/>
      <c r="D62" s="3379">
        <v>3.1</v>
      </c>
      <c r="E62" s="3379"/>
      <c r="F62" s="3379">
        <v>2.8</v>
      </c>
      <c r="G62" s="3379"/>
      <c r="H62" s="2134"/>
      <c r="I62" s="2135"/>
      <c r="J62" s="2135"/>
    </row>
    <row r="63" spans="1:10" s="2136" customFormat="1" ht="13.5" customHeight="1">
      <c r="A63" s="2132">
        <v>41080</v>
      </c>
      <c r="B63" s="3379">
        <v>3.9</v>
      </c>
      <c r="C63" s="3379"/>
      <c r="D63" s="3379">
        <v>3.1</v>
      </c>
      <c r="E63" s="3379"/>
      <c r="F63" s="3379">
        <v>2.7</v>
      </c>
      <c r="G63" s="3379"/>
      <c r="H63" s="2134"/>
      <c r="I63" s="2135"/>
      <c r="J63" s="2135"/>
    </row>
    <row r="64" spans="1:10" s="2136" customFormat="1" ht="14.1" hidden="1" customHeight="1">
      <c r="A64" s="2132">
        <v>41110</v>
      </c>
      <c r="B64" s="3379">
        <v>3.7</v>
      </c>
      <c r="C64" s="3379"/>
      <c r="D64" s="3379">
        <v>3</v>
      </c>
      <c r="E64" s="3379"/>
      <c r="F64" s="3379">
        <v>2.8</v>
      </c>
      <c r="G64" s="3379"/>
      <c r="H64" s="2134"/>
      <c r="I64" s="2135"/>
      <c r="J64" s="2135"/>
    </row>
    <row r="65" spans="1:12" s="2136" customFormat="1" ht="14.25" hidden="1" customHeight="1">
      <c r="A65" s="2132">
        <v>41141</v>
      </c>
      <c r="B65" s="3379">
        <v>3.7</v>
      </c>
      <c r="C65" s="3379"/>
      <c r="D65" s="3379">
        <v>3</v>
      </c>
      <c r="E65" s="3379"/>
      <c r="F65" s="3379">
        <v>2.7</v>
      </c>
      <c r="G65" s="3379"/>
      <c r="H65" s="2134"/>
      <c r="I65" s="2135"/>
      <c r="J65" s="2135"/>
      <c r="K65" s="2137"/>
    </row>
    <row r="66" spans="1:12" s="2136" customFormat="1" ht="14.1" hidden="1" customHeight="1">
      <c r="A66" s="2132">
        <v>41172</v>
      </c>
      <c r="B66" s="3379">
        <v>3.9</v>
      </c>
      <c r="C66" s="3379"/>
      <c r="D66" s="3379">
        <v>3.4</v>
      </c>
      <c r="E66" s="3379"/>
      <c r="F66" s="3379">
        <v>3.3</v>
      </c>
      <c r="G66" s="3379"/>
      <c r="H66" s="2134"/>
      <c r="I66" s="2135"/>
      <c r="J66" s="2135"/>
      <c r="K66" s="2137"/>
    </row>
    <row r="67" spans="1:12" s="2136" customFormat="1" ht="14.1" hidden="1" customHeight="1">
      <c r="A67" s="2132">
        <v>41202</v>
      </c>
      <c r="B67" s="3379">
        <v>4.2</v>
      </c>
      <c r="C67" s="3379"/>
      <c r="D67" s="3379">
        <v>3.6</v>
      </c>
      <c r="E67" s="3379"/>
      <c r="F67" s="3379">
        <v>3.5</v>
      </c>
      <c r="G67" s="3379"/>
      <c r="H67" s="2134"/>
      <c r="I67" s="2135"/>
      <c r="J67" s="2135"/>
      <c r="K67" s="2137"/>
    </row>
    <row r="68" spans="1:12" s="2136" customFormat="1" ht="14.1" hidden="1" customHeight="1">
      <c r="A68" s="2132">
        <v>41233</v>
      </c>
      <c r="B68" s="3379">
        <v>3.1</v>
      </c>
      <c r="C68" s="3379"/>
      <c r="D68" s="3379">
        <v>3.2</v>
      </c>
      <c r="E68" s="3379"/>
      <c r="F68" s="3379">
        <v>3</v>
      </c>
      <c r="G68" s="3379"/>
      <c r="H68" s="2134"/>
      <c r="I68" s="2135"/>
      <c r="J68" s="2135"/>
      <c r="K68" s="2137"/>
    </row>
    <row r="69" spans="1:12" s="2136" customFormat="1" ht="14.1" customHeight="1">
      <c r="A69" s="2132">
        <v>41263</v>
      </c>
      <c r="B69" s="3379">
        <v>3.2</v>
      </c>
      <c r="C69" s="3379"/>
      <c r="D69" s="3379">
        <v>3.2</v>
      </c>
      <c r="E69" s="3379"/>
      <c r="F69" s="3379">
        <v>3</v>
      </c>
      <c r="G69" s="3379"/>
      <c r="H69" s="2134"/>
      <c r="I69" s="2135"/>
      <c r="J69" s="2135"/>
      <c r="K69" s="2137"/>
    </row>
    <row r="70" spans="1:12" s="2136" customFormat="1" ht="14.1" customHeight="1">
      <c r="A70" s="2132">
        <v>41294</v>
      </c>
      <c r="B70" s="3379">
        <v>2.9</v>
      </c>
      <c r="C70" s="3379"/>
      <c r="D70" s="3379">
        <v>2.2000000000000002</v>
      </c>
      <c r="E70" s="3379"/>
      <c r="F70" s="3379">
        <v>2.6</v>
      </c>
      <c r="G70" s="3379"/>
      <c r="H70" s="2134"/>
      <c r="I70" s="2135"/>
      <c r="J70" s="2135"/>
      <c r="K70" s="2137"/>
    </row>
    <row r="71" spans="1:12" s="2136" customFormat="1" ht="14.1" customHeight="1">
      <c r="A71" s="2132">
        <v>41325</v>
      </c>
      <c r="B71" s="3379">
        <v>3.6</v>
      </c>
      <c r="C71" s="3379"/>
      <c r="D71" s="3379">
        <v>2.2000000000000002</v>
      </c>
      <c r="E71" s="3379"/>
      <c r="F71" s="3379">
        <v>2.6</v>
      </c>
      <c r="G71" s="3379"/>
      <c r="H71" s="2134"/>
      <c r="I71" s="2135"/>
      <c r="J71" s="2135"/>
      <c r="K71" s="2137"/>
    </row>
    <row r="72" spans="1:12" s="2136" customFormat="1" ht="14.1" customHeight="1">
      <c r="A72" s="2132">
        <v>41353</v>
      </c>
      <c r="B72" s="3379">
        <v>3.6</v>
      </c>
      <c r="C72" s="3379"/>
      <c r="D72" s="3379">
        <v>2.7</v>
      </c>
      <c r="E72" s="3379"/>
      <c r="F72" s="3379">
        <v>2.7</v>
      </c>
      <c r="G72" s="3379"/>
      <c r="H72" s="2134"/>
      <c r="I72" s="2135"/>
      <c r="J72" s="2135"/>
      <c r="K72" s="2137"/>
    </row>
    <row r="73" spans="1:12" s="2136" customFormat="1" ht="14.1" customHeight="1">
      <c r="A73" s="2132">
        <v>41384</v>
      </c>
      <c r="B73" s="3379">
        <v>3.8</v>
      </c>
      <c r="C73" s="3379"/>
      <c r="D73" s="3379">
        <v>2.6</v>
      </c>
      <c r="E73" s="3379"/>
      <c r="F73" s="3379">
        <v>2.6</v>
      </c>
      <c r="G73" s="3379"/>
      <c r="H73" s="2134"/>
      <c r="I73" s="2135"/>
      <c r="J73" s="2135"/>
      <c r="K73" s="2137"/>
    </row>
    <row r="74" spans="1:12" s="2136" customFormat="1" ht="14.1" customHeight="1">
      <c r="A74" s="2132">
        <v>41414</v>
      </c>
      <c r="B74" s="3379">
        <v>3.7</v>
      </c>
      <c r="C74" s="3379"/>
      <c r="D74" s="3379">
        <v>2.6</v>
      </c>
      <c r="E74" s="3379"/>
      <c r="F74" s="3379">
        <v>2.5</v>
      </c>
      <c r="G74" s="3379"/>
      <c r="H74" s="2134"/>
      <c r="I74" s="2135"/>
      <c r="J74" s="2135"/>
      <c r="K74" s="2137"/>
    </row>
    <row r="75" spans="1:12" s="2136" customFormat="1" ht="14.1" customHeight="1">
      <c r="A75" s="2132">
        <v>41445</v>
      </c>
      <c r="B75" s="3379">
        <v>3.6</v>
      </c>
      <c r="C75" s="3379"/>
      <c r="D75" s="3379">
        <v>2.5</v>
      </c>
      <c r="E75" s="3379"/>
      <c r="F75" s="3379">
        <v>2.4</v>
      </c>
      <c r="G75" s="3379"/>
      <c r="H75" s="2134"/>
      <c r="I75" s="2135"/>
      <c r="J75" s="2135"/>
      <c r="K75" s="2137"/>
      <c r="L75" s="2137"/>
    </row>
    <row r="76" spans="1:12" s="2136" customFormat="1" ht="14.1" customHeight="1">
      <c r="A76" s="2132">
        <v>41475</v>
      </c>
      <c r="B76" s="3381">
        <v>3.6</v>
      </c>
      <c r="C76" s="3382"/>
      <c r="D76" s="3381">
        <v>2.7</v>
      </c>
      <c r="E76" s="3382"/>
      <c r="F76" s="3381">
        <v>2.5</v>
      </c>
      <c r="G76" s="3382"/>
      <c r="H76" s="2134"/>
      <c r="I76" s="2135"/>
      <c r="J76" s="2135"/>
      <c r="K76" s="2137"/>
    </row>
    <row r="77" spans="1:12" s="2136" customFormat="1" ht="14.1" customHeight="1">
      <c r="A77" s="2132">
        <v>41487</v>
      </c>
      <c r="B77" s="3379">
        <v>3.1</v>
      </c>
      <c r="C77" s="3379"/>
      <c r="D77" s="3379">
        <v>2.6</v>
      </c>
      <c r="E77" s="3379"/>
      <c r="F77" s="3379">
        <v>2.2999999999999998</v>
      </c>
      <c r="G77" s="3379"/>
      <c r="H77" s="2134"/>
      <c r="I77" s="2135"/>
      <c r="J77" s="2135"/>
      <c r="K77" s="2137"/>
    </row>
    <row r="78" spans="1:12" s="2136" customFormat="1" ht="14.1" customHeight="1">
      <c r="A78" s="2132">
        <v>41518</v>
      </c>
      <c r="B78" s="3381">
        <v>3.3</v>
      </c>
      <c r="C78" s="3382"/>
      <c r="D78" s="3381">
        <v>2.6</v>
      </c>
      <c r="E78" s="3382"/>
      <c r="F78" s="3381">
        <v>2.2000000000000002</v>
      </c>
      <c r="G78" s="3382"/>
      <c r="H78" s="2134"/>
      <c r="I78" s="2135"/>
      <c r="J78" s="2135"/>
      <c r="K78" s="2137"/>
    </row>
    <row r="79" spans="1:12" s="2136" customFormat="1" ht="14.1" customHeight="1">
      <c r="A79" s="2132">
        <v>41548</v>
      </c>
      <c r="B79" s="3379">
        <v>3.4</v>
      </c>
      <c r="C79" s="3379"/>
      <c r="D79" s="3379">
        <v>2.6</v>
      </c>
      <c r="E79" s="3379"/>
      <c r="F79" s="3379">
        <v>2.2999999999999998</v>
      </c>
      <c r="G79" s="3379"/>
      <c r="H79" s="2134"/>
      <c r="I79" s="2135"/>
      <c r="J79" s="2135"/>
      <c r="K79" s="2137"/>
    </row>
    <row r="80" spans="1:12" s="2136" customFormat="1" ht="14.1" customHeight="1">
      <c r="A80" s="2132">
        <v>41579</v>
      </c>
      <c r="B80" s="3379">
        <v>3.9</v>
      </c>
      <c r="C80" s="3379"/>
      <c r="D80" s="3379">
        <v>3</v>
      </c>
      <c r="E80" s="3379"/>
      <c r="F80" s="3379">
        <v>2.9</v>
      </c>
      <c r="G80" s="3379"/>
      <c r="H80" s="2134"/>
      <c r="I80" s="2135"/>
      <c r="J80" s="2135"/>
      <c r="K80" s="2137"/>
    </row>
    <row r="81" spans="1:14" s="2136" customFormat="1" ht="14.1" customHeight="1">
      <c r="A81" s="2132">
        <v>41609</v>
      </c>
      <c r="B81" s="3379">
        <v>4</v>
      </c>
      <c r="C81" s="3379"/>
      <c r="D81" s="3379">
        <v>3.3</v>
      </c>
      <c r="E81" s="3379"/>
      <c r="F81" s="3379">
        <v>3.2</v>
      </c>
      <c r="G81" s="3379"/>
      <c r="H81" s="2134"/>
      <c r="I81" s="2135"/>
      <c r="J81" s="2135"/>
      <c r="K81" s="2137"/>
    </row>
    <row r="82" spans="1:14" s="2136" customFormat="1" ht="14.1" customHeight="1">
      <c r="A82" s="2132">
        <v>41640</v>
      </c>
      <c r="B82" s="3379">
        <v>5.0999999999999996</v>
      </c>
      <c r="C82" s="3379"/>
      <c r="D82" s="3379">
        <v>3.6</v>
      </c>
      <c r="E82" s="3379"/>
      <c r="F82" s="3379">
        <v>3.4</v>
      </c>
      <c r="G82" s="3379"/>
      <c r="H82" s="2134"/>
      <c r="I82" s="2135"/>
      <c r="J82" s="2135"/>
      <c r="K82" s="2137"/>
      <c r="N82" s="2136" t="s">
        <v>28</v>
      </c>
    </row>
    <row r="83" spans="1:14" s="2136" customFormat="1" ht="14.1" customHeight="1">
      <c r="A83" s="2132">
        <v>41671</v>
      </c>
      <c r="B83" s="3379">
        <v>5.6</v>
      </c>
      <c r="C83" s="3379"/>
      <c r="D83" s="3379">
        <v>3.5</v>
      </c>
      <c r="E83" s="3379"/>
      <c r="F83" s="3379">
        <v>3.2</v>
      </c>
      <c r="G83" s="3379"/>
      <c r="H83" s="2134"/>
      <c r="I83" s="2135"/>
      <c r="J83" s="2135"/>
      <c r="K83" s="2137"/>
    </row>
    <row r="84" spans="1:14" s="2136" customFormat="1" ht="14.1" customHeight="1">
      <c r="A84" s="2132">
        <v>41699</v>
      </c>
      <c r="B84" s="3379">
        <v>4.5</v>
      </c>
      <c r="C84" s="3379"/>
      <c r="D84" s="3379">
        <v>2.7</v>
      </c>
      <c r="E84" s="3379"/>
      <c r="F84" s="3379">
        <v>3.1</v>
      </c>
      <c r="G84" s="3379"/>
      <c r="H84" s="2134"/>
      <c r="I84" s="2135"/>
      <c r="J84" s="2135"/>
      <c r="K84" s="2137"/>
    </row>
    <row r="85" spans="1:14" s="2136" customFormat="1" ht="14.1" customHeight="1">
      <c r="A85" s="2132">
        <v>41730</v>
      </c>
      <c r="B85" s="3379">
        <v>4.2</v>
      </c>
      <c r="C85" s="3379"/>
      <c r="D85" s="3379">
        <v>2.8</v>
      </c>
      <c r="E85" s="3379"/>
      <c r="F85" s="3379">
        <v>3.3</v>
      </c>
      <c r="G85" s="3379"/>
      <c r="H85" s="2134"/>
      <c r="I85" s="2135"/>
      <c r="J85" s="2135"/>
      <c r="K85" s="2137"/>
    </row>
    <row r="86" spans="1:14" s="2136" customFormat="1" ht="14.1" customHeight="1">
      <c r="A86" s="2132">
        <v>41760</v>
      </c>
      <c r="B86" s="3379">
        <v>3.4</v>
      </c>
      <c r="C86" s="3379"/>
      <c r="D86" s="3379">
        <v>2.9</v>
      </c>
      <c r="E86" s="3379"/>
      <c r="F86" s="3379">
        <v>3.4</v>
      </c>
      <c r="G86" s="3379"/>
      <c r="H86" s="2134"/>
      <c r="I86" s="2135"/>
      <c r="J86" s="2135"/>
      <c r="K86" s="2137"/>
    </row>
    <row r="87" spans="1:14" s="2136" customFormat="1" ht="14.1" customHeight="1">
      <c r="A87" s="2132">
        <v>41791</v>
      </c>
      <c r="B87" s="3379">
        <v>3.3</v>
      </c>
      <c r="C87" s="3379"/>
      <c r="D87" s="3379">
        <v>2.7</v>
      </c>
      <c r="E87" s="3379"/>
      <c r="F87" s="3379">
        <v>3.2</v>
      </c>
      <c r="G87" s="3379"/>
      <c r="H87" s="2134"/>
      <c r="I87" s="2135"/>
      <c r="J87" s="2135"/>
      <c r="K87" s="2137"/>
    </row>
    <row r="88" spans="1:14" s="2136" customFormat="1" ht="14.1" customHeight="1" thickBot="1">
      <c r="A88" s="2138">
        <v>41821</v>
      </c>
      <c r="B88" s="3380">
        <v>3.1</v>
      </c>
      <c r="C88" s="3380"/>
      <c r="D88" s="3380">
        <v>2.7</v>
      </c>
      <c r="E88" s="3380"/>
      <c r="F88" s="3380">
        <v>3.2</v>
      </c>
      <c r="G88" s="3380"/>
      <c r="H88" s="2134"/>
      <c r="I88" s="2135"/>
      <c r="J88" s="2135"/>
      <c r="K88" s="2137"/>
    </row>
    <row r="89" spans="1:14" ht="14.1" customHeight="1">
      <c r="A89" s="2139" t="s">
        <v>3167</v>
      </c>
      <c r="B89" s="2140"/>
      <c r="C89" s="2140"/>
      <c r="D89" s="2140"/>
      <c r="E89" s="2140"/>
      <c r="F89" s="2140"/>
      <c r="G89" s="2140"/>
      <c r="H89" s="2140"/>
      <c r="I89" s="2141"/>
      <c r="J89" s="2141"/>
      <c r="K89" s="2141"/>
    </row>
    <row r="90" spans="1:14" ht="14.1" customHeight="1">
      <c r="A90" s="2139" t="s">
        <v>3168</v>
      </c>
      <c r="B90" s="2140"/>
      <c r="C90" s="2140"/>
      <c r="D90" s="2140"/>
      <c r="E90" s="2140"/>
      <c r="F90" s="2140"/>
      <c r="G90" s="2139"/>
      <c r="H90" s="2139"/>
      <c r="I90" s="2139"/>
      <c r="J90" s="2139"/>
      <c r="K90" s="2141"/>
    </row>
    <row r="91" spans="1:14" ht="14.1" customHeight="1">
      <c r="A91" s="2139" t="s">
        <v>3169</v>
      </c>
      <c r="B91" s="2141"/>
      <c r="C91" s="2140"/>
      <c r="D91" s="2140"/>
      <c r="E91" s="2140"/>
      <c r="F91" s="2140"/>
      <c r="G91" s="2139"/>
      <c r="H91" s="2139"/>
      <c r="I91" s="2139"/>
      <c r="J91" s="2139"/>
      <c r="K91" s="2141"/>
    </row>
    <row r="92" spans="1:14" ht="14.1" customHeight="1">
      <c r="A92" s="2139" t="s">
        <v>3170</v>
      </c>
      <c r="B92" s="2141"/>
      <c r="C92" s="2140"/>
      <c r="D92" s="2140"/>
      <c r="E92" s="2140"/>
      <c r="F92" s="2140"/>
      <c r="G92" s="2139"/>
      <c r="H92" s="2139"/>
      <c r="I92" s="2139"/>
      <c r="J92" s="2139"/>
      <c r="K92" s="2141"/>
    </row>
    <row r="93" spans="1:14" ht="14.1" customHeight="1">
      <c r="A93" s="2139" t="s">
        <v>3171</v>
      </c>
      <c r="B93" s="2141"/>
      <c r="C93" s="2140"/>
      <c r="D93" s="2140"/>
      <c r="E93" s="2140"/>
      <c r="F93" s="2140"/>
      <c r="G93" s="2139"/>
      <c r="H93" s="2139"/>
      <c r="I93" s="2139"/>
      <c r="J93" s="2139"/>
      <c r="K93" s="2141"/>
    </row>
    <row r="94" spans="1:14" ht="14.1" customHeight="1">
      <c r="A94" s="2139" t="s">
        <v>3172</v>
      </c>
      <c r="B94" s="2141"/>
      <c r="C94" s="2140"/>
      <c r="D94" s="2140"/>
      <c r="E94" s="2140"/>
      <c r="F94" s="2140"/>
      <c r="G94" s="2139"/>
      <c r="H94" s="2139"/>
      <c r="I94" s="2139"/>
      <c r="J94" s="2139"/>
      <c r="K94" s="2141"/>
    </row>
    <row r="95" spans="1:14" ht="14.1" customHeight="1">
      <c r="A95" s="2139" t="s">
        <v>3173</v>
      </c>
      <c r="B95" s="2140"/>
      <c r="C95" s="2140"/>
      <c r="D95" s="2140"/>
      <c r="E95" s="2140"/>
      <c r="F95" s="2140"/>
      <c r="G95" s="2139"/>
      <c r="H95" s="2139"/>
      <c r="I95" s="2139"/>
      <c r="J95" s="2139"/>
      <c r="K95" s="2141"/>
    </row>
    <row r="96" spans="1:14" ht="14.1" customHeight="1">
      <c r="A96" s="2139" t="s">
        <v>180</v>
      </c>
      <c r="B96" s="2141"/>
      <c r="C96" s="2141"/>
      <c r="D96" s="2141"/>
      <c r="E96" s="2141"/>
      <c r="F96" s="2141"/>
      <c r="G96" s="2141"/>
      <c r="H96" s="2141"/>
      <c r="I96" s="2141"/>
      <c r="J96" s="2141"/>
      <c r="K96" s="2141"/>
    </row>
    <row r="97" spans="1:12" ht="12" customHeight="1"/>
    <row r="98" spans="1:12" ht="21.75" customHeight="1">
      <c r="A98" s="2142" t="s">
        <v>3174</v>
      </c>
      <c r="B98" s="2143"/>
      <c r="C98" s="2143"/>
      <c r="D98" s="2143"/>
      <c r="E98" s="2143"/>
      <c r="F98" s="2143"/>
      <c r="G98" s="2143"/>
      <c r="H98" s="2143"/>
      <c r="I98" s="2143"/>
      <c r="J98" s="2143"/>
      <c r="K98" s="2143"/>
      <c r="L98" s="2143"/>
    </row>
    <row r="99" spans="1:12" ht="14.1" customHeight="1" thickBot="1">
      <c r="A99" s="2144"/>
      <c r="B99" s="2145"/>
      <c r="C99" s="2145"/>
      <c r="D99" s="2145"/>
      <c r="E99" s="2145"/>
      <c r="F99" s="2145"/>
      <c r="G99" s="3371"/>
      <c r="H99" s="3371"/>
      <c r="I99" s="2123"/>
      <c r="J99" s="2123"/>
      <c r="K99" s="2123"/>
      <c r="L99" s="2123"/>
    </row>
    <row r="100" spans="1:12" s="2129" customFormat="1" ht="14.1" customHeight="1" thickTop="1" thickBot="1">
      <c r="A100" s="3372" t="s">
        <v>3175</v>
      </c>
      <c r="B100" s="3374" t="s">
        <v>3176</v>
      </c>
      <c r="C100" s="3375"/>
      <c r="D100" s="3375"/>
      <c r="E100" s="3376" t="s">
        <v>3177</v>
      </c>
      <c r="F100" s="3375"/>
      <c r="G100" s="3377"/>
      <c r="H100" s="3375" t="s">
        <v>3178</v>
      </c>
      <c r="I100" s="3375"/>
      <c r="J100" s="3378"/>
    </row>
    <row r="101" spans="1:12" s="2129" customFormat="1" ht="18" customHeight="1" thickBot="1">
      <c r="A101" s="3373"/>
      <c r="B101" s="2146" t="s">
        <v>3179</v>
      </c>
      <c r="C101" s="2147" t="s">
        <v>3180</v>
      </c>
      <c r="D101" s="2148" t="s">
        <v>835</v>
      </c>
      <c r="E101" s="2146" t="s">
        <v>3179</v>
      </c>
      <c r="F101" s="2147" t="s">
        <v>3180</v>
      </c>
      <c r="G101" s="2146" t="s">
        <v>835</v>
      </c>
      <c r="H101" s="2147" t="s">
        <v>3179</v>
      </c>
      <c r="I101" s="2146" t="s">
        <v>3180</v>
      </c>
      <c r="J101" s="2149" t="s">
        <v>835</v>
      </c>
    </row>
    <row r="102" spans="1:12" s="2129" customFormat="1" ht="14.1" hidden="1" customHeight="1" thickTop="1">
      <c r="A102" s="2150"/>
      <c r="B102" s="2151"/>
      <c r="C102" s="2152"/>
      <c r="D102" s="2153"/>
      <c r="E102" s="2154"/>
      <c r="F102" s="2154"/>
      <c r="G102" s="2155"/>
      <c r="H102" s="2156"/>
      <c r="I102" s="2151"/>
      <c r="J102" s="2157"/>
    </row>
    <row r="103" spans="1:12" s="2129" customFormat="1" ht="14.1" customHeight="1" thickTop="1">
      <c r="A103" s="2158" t="s">
        <v>3117</v>
      </c>
      <c r="B103" s="2159">
        <v>102.7</v>
      </c>
      <c r="C103" s="2160">
        <v>107.42695652173911</v>
      </c>
      <c r="D103" s="2160">
        <v>108.2</v>
      </c>
      <c r="E103" s="2161">
        <v>87.9</v>
      </c>
      <c r="F103" s="2161">
        <v>104.69863636363638</v>
      </c>
      <c r="G103" s="2160">
        <v>104.6</v>
      </c>
      <c r="H103" s="2162">
        <v>1593.1</v>
      </c>
      <c r="I103" s="2162">
        <v>1285.609090909091</v>
      </c>
      <c r="J103" s="2163">
        <v>1311.1</v>
      </c>
    </row>
    <row r="104" spans="1:12" s="2129" customFormat="1" ht="14.1" customHeight="1">
      <c r="A104" s="2158" t="s">
        <v>3118</v>
      </c>
      <c r="B104" s="2159">
        <v>112.51590909090913</v>
      </c>
      <c r="C104" s="2160">
        <v>110.44909090909094</v>
      </c>
      <c r="D104" s="2160"/>
      <c r="E104" s="2161">
        <v>94.285454545454556</v>
      </c>
      <c r="F104" s="2161">
        <v>106.4804761904762</v>
      </c>
      <c r="G104" s="2160"/>
      <c r="H104" s="2162">
        <v>1634.4181818181821</v>
      </c>
      <c r="I104" s="2162">
        <v>1351.4231818181815</v>
      </c>
      <c r="J104" s="2163"/>
    </row>
    <row r="105" spans="1:12" s="2129" customFormat="1" ht="14.1" customHeight="1">
      <c r="A105" s="2158" t="s">
        <v>3119</v>
      </c>
      <c r="B105" s="2159">
        <v>113.04849999999999</v>
      </c>
      <c r="C105" s="2160">
        <v>111.13523809523811</v>
      </c>
      <c r="D105" s="2160"/>
      <c r="E105" s="2161">
        <v>94.558421052631587</v>
      </c>
      <c r="F105" s="2161">
        <v>106.18571428571428</v>
      </c>
      <c r="G105" s="2160"/>
      <c r="H105" s="2162">
        <v>1751.6842105263158</v>
      </c>
      <c r="I105" s="2162">
        <v>1348.2142857142858</v>
      </c>
      <c r="J105" s="2164"/>
    </row>
    <row r="106" spans="1:12" s="2129" customFormat="1" ht="14.1" customHeight="1">
      <c r="A106" s="2158" t="s">
        <v>3120</v>
      </c>
      <c r="B106" s="2159">
        <v>111.52</v>
      </c>
      <c r="C106" s="2160">
        <v>109.44000000000001</v>
      </c>
      <c r="D106" s="2160"/>
      <c r="E106" s="2161">
        <v>89.570869565217379</v>
      </c>
      <c r="F106" s="2161">
        <v>100.57434782608694</v>
      </c>
      <c r="G106" s="2160"/>
      <c r="H106" s="2162">
        <v>1746.0782608695649</v>
      </c>
      <c r="I106" s="2162">
        <v>1317</v>
      </c>
      <c r="J106" s="2164"/>
    </row>
    <row r="107" spans="1:12" s="2129" customFormat="1" ht="14.1" customHeight="1">
      <c r="A107" s="2158" t="s">
        <v>3121</v>
      </c>
      <c r="B107" s="2159">
        <v>109.52727272727275</v>
      </c>
      <c r="C107" s="2160">
        <v>107.93666666666667</v>
      </c>
      <c r="D107" s="2160"/>
      <c r="E107" s="2161">
        <v>86.732380952380964</v>
      </c>
      <c r="F107" s="2161">
        <v>93.976499999999987</v>
      </c>
      <c r="G107" s="2160"/>
      <c r="H107" s="2162">
        <v>1722.0238095238092</v>
      </c>
      <c r="I107" s="2162">
        <v>1275.1899999999998</v>
      </c>
      <c r="J107" s="2164"/>
      <c r="L107" s="2165"/>
    </row>
    <row r="108" spans="1:12" s="2129" customFormat="1" ht="14.1" customHeight="1">
      <c r="A108" s="2158" t="s">
        <v>3122</v>
      </c>
      <c r="B108" s="2159">
        <v>109.19649999999999</v>
      </c>
      <c r="C108" s="2160">
        <v>110.7</v>
      </c>
      <c r="D108" s="2160"/>
      <c r="E108" s="2161">
        <v>88.245499999999993</v>
      </c>
      <c r="F108" s="2161">
        <v>97.9</v>
      </c>
      <c r="G108" s="2160"/>
      <c r="H108" s="2162">
        <v>1685.595</v>
      </c>
      <c r="I108" s="2162">
        <v>1224.9000000000001</v>
      </c>
      <c r="J108" s="2164"/>
    </row>
    <row r="109" spans="1:12" s="2129" customFormat="1" ht="14.1" customHeight="1">
      <c r="A109" s="2158" t="s">
        <v>3111</v>
      </c>
      <c r="B109" s="2159">
        <v>112.32318181818182</v>
      </c>
      <c r="C109" s="2160">
        <v>107.12363636363635</v>
      </c>
      <c r="D109" s="2160"/>
      <c r="E109" s="2161">
        <v>94.837142857142851</v>
      </c>
      <c r="F109" s="2161">
        <v>94.855714285714285</v>
      </c>
      <c r="G109" s="2160"/>
      <c r="H109" s="2162">
        <v>1670.9428571428573</v>
      </c>
      <c r="I109" s="2162">
        <v>1244.0738095238096</v>
      </c>
      <c r="J109" s="2164"/>
      <c r="K109" s="2166"/>
    </row>
    <row r="110" spans="1:12" s="2129" customFormat="1" ht="14.1" customHeight="1">
      <c r="A110" s="2158" t="s">
        <v>3112</v>
      </c>
      <c r="B110" s="2159">
        <v>116.07249999999999</v>
      </c>
      <c r="C110" s="2160">
        <v>108.82449999999999</v>
      </c>
      <c r="D110" s="2160"/>
      <c r="E110" s="2161">
        <v>95.336499999999972</v>
      </c>
      <c r="F110" s="2161">
        <v>100.66631578947367</v>
      </c>
      <c r="G110" s="2160"/>
      <c r="H110" s="2162">
        <v>1627.2199999999998</v>
      </c>
      <c r="I110" s="2162">
        <v>1300.9652631578947</v>
      </c>
      <c r="J110" s="2164"/>
    </row>
    <row r="111" spans="1:12" s="2129" customFormat="1" ht="14.1" customHeight="1">
      <c r="A111" s="2158" t="s">
        <v>3113</v>
      </c>
      <c r="B111" s="2159">
        <v>109.542</v>
      </c>
      <c r="C111" s="2160">
        <v>107.7</v>
      </c>
      <c r="D111" s="2160"/>
      <c r="E111" s="2161">
        <v>92.957000000000008</v>
      </c>
      <c r="F111" s="2161">
        <v>100.5</v>
      </c>
      <c r="G111" s="2160"/>
      <c r="H111" s="2162">
        <v>1591.62</v>
      </c>
      <c r="I111" s="2162">
        <v>1336.4</v>
      </c>
      <c r="J111" s="2164"/>
      <c r="L111" s="2166"/>
    </row>
    <row r="112" spans="1:12" s="2129" customFormat="1" ht="14.1" customHeight="1">
      <c r="A112" s="2158" t="s">
        <v>3114</v>
      </c>
      <c r="B112" s="2159">
        <v>103.425</v>
      </c>
      <c r="C112" s="2160">
        <v>108.2</v>
      </c>
      <c r="D112" s="2160"/>
      <c r="E112" s="2161">
        <v>92.067727272727282</v>
      </c>
      <c r="F112" s="2161">
        <v>102.14</v>
      </c>
      <c r="G112" s="2160"/>
      <c r="H112" s="2162">
        <v>1486.3318181818181</v>
      </c>
      <c r="I112" s="2162">
        <v>1298.19</v>
      </c>
      <c r="J112" s="2164"/>
      <c r="K112" s="2166"/>
    </row>
    <row r="113" spans="1:16" s="2129" customFormat="1" ht="14.1" customHeight="1">
      <c r="A113" s="2158" t="s">
        <v>3115</v>
      </c>
      <c r="B113" s="2159">
        <v>103.30545454545455</v>
      </c>
      <c r="C113" s="2160">
        <v>109.17772727272724</v>
      </c>
      <c r="D113" s="2160"/>
      <c r="E113" s="2161">
        <v>94.75409090909092</v>
      </c>
      <c r="F113" s="2161">
        <v>101.78952380952379</v>
      </c>
      <c r="G113" s="2160"/>
      <c r="H113" s="2162">
        <v>1416.4772727272727</v>
      </c>
      <c r="I113" s="2162">
        <v>1287.5380952380951</v>
      </c>
      <c r="J113" s="2164"/>
      <c r="N113" s="2166"/>
    </row>
    <row r="114" spans="1:16" s="2129" customFormat="1" ht="14.1" customHeight="1">
      <c r="A114" s="2158" t="s">
        <v>3116</v>
      </c>
      <c r="B114" s="2159">
        <v>103.3925</v>
      </c>
      <c r="C114" s="2160">
        <v>111.92190476190477</v>
      </c>
      <c r="D114" s="2160"/>
      <c r="E114" s="2161">
        <v>95.829000000000022</v>
      </c>
      <c r="F114" s="2161">
        <v>105.14666666666666</v>
      </c>
      <c r="G114" s="2160"/>
      <c r="H114" s="2162">
        <v>1342.6699999999998</v>
      </c>
      <c r="I114" s="2162">
        <v>1282.1761904761906</v>
      </c>
      <c r="J114" s="2164"/>
    </row>
    <row r="115" spans="1:16" s="2129" customFormat="1" ht="14.1" customHeight="1">
      <c r="A115" s="2158"/>
      <c r="B115" s="2159"/>
      <c r="C115" s="2160"/>
      <c r="D115" s="2167"/>
      <c r="E115" s="2168"/>
      <c r="F115" s="2168"/>
      <c r="G115" s="2169"/>
      <c r="H115" s="2168"/>
      <c r="I115" s="2168"/>
      <c r="J115" s="2170"/>
    </row>
    <row r="116" spans="1:16" s="2129" customFormat="1" ht="14.1" customHeight="1" thickBot="1">
      <c r="A116" s="2171" t="s">
        <v>1230</v>
      </c>
      <c r="B116" s="2172">
        <f t="shared" ref="B116:J116" si="0">AVERAGE(B103:B114)</f>
        <v>108.88073484848485</v>
      </c>
      <c r="C116" s="2172">
        <f t="shared" si="0"/>
        <v>109.1696433825836</v>
      </c>
      <c r="D116" s="2172">
        <f t="shared" si="0"/>
        <v>108.2</v>
      </c>
      <c r="E116" s="2172">
        <f t="shared" si="0"/>
        <v>92.25617392955381</v>
      </c>
      <c r="F116" s="2172">
        <f t="shared" si="0"/>
        <v>101.24282460144103</v>
      </c>
      <c r="G116" s="2172">
        <f t="shared" si="0"/>
        <v>104.6</v>
      </c>
      <c r="H116" s="2173">
        <f t="shared" si="0"/>
        <v>1605.6801175658181</v>
      </c>
      <c r="I116" s="2173">
        <f t="shared" si="0"/>
        <v>1295.9733264031292</v>
      </c>
      <c r="J116" s="2174">
        <f t="shared" si="0"/>
        <v>1311.1</v>
      </c>
    </row>
    <row r="117" spans="1:16" ht="16.5" thickTop="1">
      <c r="A117" s="2175" t="s">
        <v>3181</v>
      </c>
      <c r="B117" s="2133"/>
      <c r="C117" s="2133"/>
      <c r="D117" s="2133"/>
      <c r="E117" s="2133"/>
      <c r="F117" s="2133"/>
      <c r="G117" s="2133"/>
      <c r="H117" s="2133"/>
      <c r="I117" s="2133"/>
      <c r="J117" s="2133"/>
      <c r="K117" s="2176"/>
      <c r="L117" s="2176"/>
    </row>
    <row r="118" spans="1:16">
      <c r="A118" s="2177" t="s">
        <v>3182</v>
      </c>
      <c r="B118" s="2133"/>
      <c r="C118" s="2133"/>
      <c r="D118" s="2133"/>
      <c r="E118" s="2133"/>
      <c r="F118" s="2133"/>
      <c r="G118" s="2133"/>
      <c r="H118" s="2133"/>
      <c r="I118" s="2133"/>
      <c r="J118" s="2133"/>
      <c r="K118" s="2176"/>
      <c r="L118" s="2176"/>
      <c r="N118" s="2178"/>
    </row>
    <row r="119" spans="1:16">
      <c r="A119" s="2177" t="s">
        <v>3183</v>
      </c>
      <c r="B119" s="2133"/>
      <c r="C119" s="2133"/>
      <c r="D119" s="2133"/>
      <c r="E119" s="2133"/>
      <c r="F119" s="2133"/>
      <c r="G119" s="2133"/>
      <c r="H119" s="2133"/>
      <c r="I119" s="2133"/>
      <c r="J119" s="2133"/>
      <c r="K119" s="2176"/>
      <c r="L119" s="2176"/>
      <c r="N119" s="2178"/>
    </row>
    <row r="120" spans="1:16">
      <c r="A120" s="2179" t="s">
        <v>3184</v>
      </c>
      <c r="B120" s="2129"/>
      <c r="C120" s="2129"/>
      <c r="D120" s="2129"/>
      <c r="E120" s="2129"/>
      <c r="F120" s="2129"/>
      <c r="G120" s="2129"/>
      <c r="H120" s="2129"/>
      <c r="I120" s="2129"/>
      <c r="J120" s="2129"/>
    </row>
    <row r="121" spans="1:16">
      <c r="A121" s="2129"/>
      <c r="B121" s="2129"/>
      <c r="C121" s="2129"/>
      <c r="D121" s="2129"/>
      <c r="E121" s="2129"/>
      <c r="F121" s="2129"/>
      <c r="G121" s="2129"/>
      <c r="H121" s="2129"/>
      <c r="I121" s="2129"/>
      <c r="J121" s="2129"/>
      <c r="L121" s="2178"/>
      <c r="N121" s="2178"/>
      <c r="P121" s="2178"/>
    </row>
    <row r="122" spans="1:16" ht="19.5" customHeight="1">
      <c r="A122" s="2142" t="s">
        <v>3185</v>
      </c>
    </row>
    <row r="123" spans="1:16" ht="16.5" thickBot="1">
      <c r="G123" s="2127" t="s">
        <v>3186</v>
      </c>
    </row>
    <row r="124" spans="1:16" ht="17.25" thickTop="1" thickBot="1">
      <c r="A124" s="2180" t="s">
        <v>619</v>
      </c>
      <c r="B124" s="2181" t="s">
        <v>3187</v>
      </c>
      <c r="C124" s="2181" t="s">
        <v>3188</v>
      </c>
      <c r="D124" s="2181" t="s">
        <v>3189</v>
      </c>
      <c r="E124" s="2181" t="s">
        <v>3190</v>
      </c>
      <c r="F124" s="2181" t="s">
        <v>3191</v>
      </c>
      <c r="G124" s="2182" t="s">
        <v>3192</v>
      </c>
    </row>
    <row r="125" spans="1:16" ht="16.5" hidden="1" thickTop="1">
      <c r="A125" s="2183">
        <v>41153</v>
      </c>
      <c r="B125" s="2184">
        <v>215.85322259670608</v>
      </c>
      <c r="C125" s="2185">
        <v>174.90655980872501</v>
      </c>
      <c r="D125" s="2185">
        <v>187.70300633182845</v>
      </c>
      <c r="E125" s="2185">
        <v>262.98507280047954</v>
      </c>
      <c r="F125" s="2185">
        <v>224.71435582404604</v>
      </c>
      <c r="G125" s="2186">
        <v>283.69357666134431</v>
      </c>
    </row>
    <row r="126" spans="1:16" ht="16.5" hidden="1" thickTop="1">
      <c r="A126" s="2187">
        <v>41395</v>
      </c>
      <c r="B126" s="2188">
        <v>214.61604099181937</v>
      </c>
      <c r="C126" s="2161">
        <v>179.99759855665999</v>
      </c>
      <c r="D126" s="2161">
        <v>253.47616210255549</v>
      </c>
      <c r="E126" s="2161">
        <v>234.83983597563295</v>
      </c>
      <c r="F126" s="2161">
        <v>194.30426681492548</v>
      </c>
      <c r="G126" s="2161">
        <v>250.07275562862236</v>
      </c>
    </row>
    <row r="127" spans="1:16" ht="16.5" thickTop="1">
      <c r="A127" s="2187">
        <v>41456</v>
      </c>
      <c r="B127" s="2188">
        <v>207.46998722510668</v>
      </c>
      <c r="C127" s="2161">
        <v>179.42607916747374</v>
      </c>
      <c r="D127" s="2161">
        <v>243.64839304622956</v>
      </c>
      <c r="E127" s="2161">
        <v>222.27085784175716</v>
      </c>
      <c r="F127" s="2161">
        <v>186.6909161092214</v>
      </c>
      <c r="G127" s="2161">
        <v>238.95323834085517</v>
      </c>
    </row>
    <row r="128" spans="1:16">
      <c r="A128" s="2187">
        <v>41487</v>
      </c>
      <c r="B128" s="2188">
        <v>204.52612522454928</v>
      </c>
      <c r="C128" s="2161">
        <v>182.39350722187334</v>
      </c>
      <c r="D128" s="2161">
        <v>247.636223376354</v>
      </c>
      <c r="E128" s="2161">
        <v>206.77369284327932</v>
      </c>
      <c r="F128" s="2161">
        <v>181.84429459039808</v>
      </c>
      <c r="G128" s="2161">
        <v>241.68754587063407</v>
      </c>
    </row>
    <row r="129" spans="1:11">
      <c r="A129" s="2187">
        <v>41518</v>
      </c>
      <c r="B129" s="2188">
        <v>203.74640150740555</v>
      </c>
      <c r="C129" s="2161">
        <v>186.10582281440131</v>
      </c>
      <c r="D129" s="2161">
        <v>250.20351433673628</v>
      </c>
      <c r="E129" s="2161">
        <v>195.04010606770427</v>
      </c>
      <c r="F129" s="2161">
        <v>184.27089290444204</v>
      </c>
      <c r="G129" s="2161">
        <v>246.46619398106569</v>
      </c>
    </row>
    <row r="130" spans="1:11">
      <c r="A130" s="2187">
        <v>41548</v>
      </c>
      <c r="B130" s="2188">
        <v>206.56067370299274</v>
      </c>
      <c r="C130" s="2161">
        <v>187.31634578733662</v>
      </c>
      <c r="D130" s="2161">
        <v>251.05398499564799</v>
      </c>
      <c r="E130" s="2161">
        <v>196.56680860295648</v>
      </c>
      <c r="F130" s="2161">
        <v>188.0235389336836</v>
      </c>
      <c r="G130" s="2161">
        <v>264.83932501781828</v>
      </c>
    </row>
    <row r="131" spans="1:11">
      <c r="A131" s="2187">
        <v>41579</v>
      </c>
      <c r="B131" s="2188">
        <v>205.72141316962862</v>
      </c>
      <c r="C131" s="2161">
        <v>185.67034085932701</v>
      </c>
      <c r="D131" s="2161">
        <v>250.80276810338847</v>
      </c>
      <c r="E131" s="2161">
        <v>194.31342274842325</v>
      </c>
      <c r="F131" s="2161">
        <v>198.5052150043567</v>
      </c>
      <c r="G131" s="2161">
        <v>250.62869810708239</v>
      </c>
    </row>
    <row r="132" spans="1:11">
      <c r="A132" s="2187">
        <v>41609</v>
      </c>
      <c r="B132" s="2188">
        <v>206.15462724485798</v>
      </c>
      <c r="C132" s="2161">
        <v>185.62705736549262</v>
      </c>
      <c r="D132" s="2161">
        <v>264.11017387842185</v>
      </c>
      <c r="E132" s="2161">
        <v>192.92114067589151</v>
      </c>
      <c r="F132" s="2161">
        <v>195.96124367610443</v>
      </c>
      <c r="G132" s="2161">
        <v>234.86388946098313</v>
      </c>
    </row>
    <row r="133" spans="1:11">
      <c r="A133" s="2187">
        <v>41640</v>
      </c>
      <c r="B133" s="2188">
        <v>203.20706999241483</v>
      </c>
      <c r="C133" s="2161">
        <v>182.17289121523436</v>
      </c>
      <c r="D133" s="2161">
        <v>267.65595595802728</v>
      </c>
      <c r="E133" s="2161">
        <v>191.41937141911603</v>
      </c>
      <c r="F133" s="2161">
        <v>188.55060892080596</v>
      </c>
      <c r="G133" s="2161">
        <v>221.65334471039407</v>
      </c>
    </row>
    <row r="134" spans="1:11">
      <c r="A134" s="2187">
        <v>41671</v>
      </c>
      <c r="B134" s="2188">
        <v>208.6047748859753</v>
      </c>
      <c r="C134" s="2161">
        <v>181.81643692788725</v>
      </c>
      <c r="D134" s="2161">
        <v>275.37948764012583</v>
      </c>
      <c r="E134" s="2161">
        <v>198.59127894900629</v>
      </c>
      <c r="F134" s="2161">
        <v>197.78875011157447</v>
      </c>
      <c r="G134" s="2161">
        <v>235.36122761629943</v>
      </c>
    </row>
    <row r="135" spans="1:11">
      <c r="A135" s="2187">
        <v>41699</v>
      </c>
      <c r="B135" s="2188">
        <v>213.78748687887818</v>
      </c>
      <c r="C135" s="2161">
        <v>185.51270177526084</v>
      </c>
      <c r="D135" s="2161">
        <v>268.48231230603051</v>
      </c>
      <c r="E135" s="2161">
        <v>208.91749222529245</v>
      </c>
      <c r="F135" s="2161">
        <v>204.77329869158712</v>
      </c>
      <c r="G135" s="2161">
        <v>254.00059674163177</v>
      </c>
    </row>
    <row r="136" spans="1:11">
      <c r="A136" s="2187">
        <v>41730</v>
      </c>
      <c r="B136" s="2188">
        <v>211.5119183464804</v>
      </c>
      <c r="C136" s="2161">
        <v>190.35783841522033</v>
      </c>
      <c r="D136" s="2161">
        <v>251.49852382440025</v>
      </c>
      <c r="E136" s="2161">
        <v>209.15090971973794</v>
      </c>
      <c r="F136" s="2161">
        <v>198.95109859934169</v>
      </c>
      <c r="G136" s="2161">
        <v>249.89215111075799</v>
      </c>
    </row>
    <row r="137" spans="1:11">
      <c r="A137" s="2187">
        <v>41760</v>
      </c>
      <c r="B137" s="2188">
        <v>210.40150620716332</v>
      </c>
      <c r="C137" s="2161">
        <v>194.56783807806806</v>
      </c>
      <c r="D137" s="2161">
        <v>238.91887211577486</v>
      </c>
      <c r="E137" s="2161">
        <v>207.04059624541392</v>
      </c>
      <c r="F137" s="2161">
        <v>195.26646126856514</v>
      </c>
      <c r="G137" s="2161">
        <v>259.25778539429581</v>
      </c>
    </row>
    <row r="138" spans="1:11">
      <c r="A138" s="2187">
        <v>41791</v>
      </c>
      <c r="B138" s="2188">
        <v>208.30165339460035</v>
      </c>
      <c r="C138" s="2161">
        <v>201.07169962346839</v>
      </c>
      <c r="D138" s="2161">
        <v>236.45422203191302</v>
      </c>
      <c r="E138" s="2161">
        <v>196.10670480753072</v>
      </c>
      <c r="F138" s="2161">
        <v>188.78773346390429</v>
      </c>
      <c r="G138" s="2161">
        <v>257.99559066230387</v>
      </c>
    </row>
    <row r="139" spans="1:11" ht="16.5" thickBot="1">
      <c r="A139" s="2189">
        <v>41821</v>
      </c>
      <c r="B139" s="2190">
        <v>203.92520982637143</v>
      </c>
      <c r="C139" s="2191">
        <v>204.77539028833945</v>
      </c>
      <c r="D139" s="2191">
        <v>226.110797116963</v>
      </c>
      <c r="E139" s="2191">
        <v>185.37960914084266</v>
      </c>
      <c r="F139" s="2191">
        <v>181.09166864994904</v>
      </c>
      <c r="G139" s="2191">
        <v>259.10943168319295</v>
      </c>
    </row>
    <row r="140" spans="1:11" ht="16.5" thickTop="1">
      <c r="A140" s="2140" t="s">
        <v>3193</v>
      </c>
      <c r="B140" s="2140"/>
      <c r="C140" s="2140"/>
      <c r="D140" s="2140"/>
      <c r="E140" s="2140"/>
      <c r="F140" s="2140"/>
      <c r="G140" s="2140"/>
      <c r="H140" s="2140"/>
      <c r="I140" s="2140"/>
      <c r="J140" s="2140"/>
      <c r="K140" s="2141"/>
    </row>
    <row r="141" spans="1:11">
      <c r="A141" s="2192" t="s">
        <v>3194</v>
      </c>
      <c r="B141" s="2140"/>
      <c r="C141" s="2140"/>
      <c r="D141" s="2140"/>
      <c r="E141" s="2140"/>
      <c r="F141" s="2140"/>
      <c r="G141" s="2140"/>
      <c r="H141" s="2140"/>
      <c r="I141" s="2140"/>
      <c r="J141" s="2140"/>
      <c r="K141" s="2141"/>
    </row>
    <row r="142" spans="1:11">
      <c r="A142" s="2192" t="s">
        <v>3195</v>
      </c>
      <c r="B142" s="2140"/>
      <c r="C142" s="2140"/>
      <c r="D142" s="2140"/>
      <c r="E142" s="2140"/>
      <c r="F142" s="2140"/>
      <c r="G142" s="2140"/>
      <c r="H142" s="2140"/>
      <c r="I142" s="2140"/>
      <c r="J142" s="2140"/>
      <c r="K142" s="2141"/>
    </row>
    <row r="143" spans="1:11">
      <c r="A143" s="2139" t="s">
        <v>3196</v>
      </c>
      <c r="B143" s="2141"/>
      <c r="C143" s="2141"/>
      <c r="D143" s="2141"/>
      <c r="E143" s="2141"/>
      <c r="F143" s="2141"/>
      <c r="G143" s="2141"/>
      <c r="H143" s="2141"/>
      <c r="I143" s="2141"/>
      <c r="J143" s="2141"/>
      <c r="K143" s="2141"/>
    </row>
    <row r="147" spans="6:6">
      <c r="F147" s="2193"/>
    </row>
    <row r="148" spans="6:6">
      <c r="F148" s="2193"/>
    </row>
    <row r="149" spans="6:6">
      <c r="F149" s="2193"/>
    </row>
  </sheetData>
  <mergeCells count="263">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5:C65"/>
    <mergeCell ref="D65:E65"/>
    <mergeCell ref="F65:G65"/>
    <mergeCell ref="B66:C66"/>
    <mergeCell ref="D66:E66"/>
    <mergeCell ref="F66:G66"/>
    <mergeCell ref="B63:C63"/>
    <mergeCell ref="D63:E63"/>
    <mergeCell ref="F63:G63"/>
    <mergeCell ref="B64:C64"/>
    <mergeCell ref="D64:E64"/>
    <mergeCell ref="F64:G64"/>
    <mergeCell ref="B69:C69"/>
    <mergeCell ref="D69:E69"/>
    <mergeCell ref="F69:G69"/>
    <mergeCell ref="B70:C70"/>
    <mergeCell ref="D70:E70"/>
    <mergeCell ref="F70:G70"/>
    <mergeCell ref="B67:C67"/>
    <mergeCell ref="D67:E67"/>
    <mergeCell ref="F67:G67"/>
    <mergeCell ref="B68:C68"/>
    <mergeCell ref="D68:E68"/>
    <mergeCell ref="F68:G68"/>
    <mergeCell ref="B73:C73"/>
    <mergeCell ref="D73:E73"/>
    <mergeCell ref="F73:G73"/>
    <mergeCell ref="B74:C74"/>
    <mergeCell ref="D74:E74"/>
    <mergeCell ref="F74:G74"/>
    <mergeCell ref="B71:C71"/>
    <mergeCell ref="D71:E71"/>
    <mergeCell ref="F71:G71"/>
    <mergeCell ref="B72:C72"/>
    <mergeCell ref="D72:E72"/>
    <mergeCell ref="F72:G72"/>
    <mergeCell ref="B77:C77"/>
    <mergeCell ref="D77:E77"/>
    <mergeCell ref="F77:G77"/>
    <mergeCell ref="B78:C78"/>
    <mergeCell ref="D78:E78"/>
    <mergeCell ref="F78:G78"/>
    <mergeCell ref="B75:C75"/>
    <mergeCell ref="D75:E75"/>
    <mergeCell ref="F75:G75"/>
    <mergeCell ref="B76:C76"/>
    <mergeCell ref="D76:E76"/>
    <mergeCell ref="F76:G76"/>
    <mergeCell ref="B81:C81"/>
    <mergeCell ref="D81:E81"/>
    <mergeCell ref="F81:G81"/>
    <mergeCell ref="B82:C82"/>
    <mergeCell ref="D82:E82"/>
    <mergeCell ref="F82:G82"/>
    <mergeCell ref="B79:C79"/>
    <mergeCell ref="D79:E79"/>
    <mergeCell ref="F79:G79"/>
    <mergeCell ref="B80:C80"/>
    <mergeCell ref="D80:E80"/>
    <mergeCell ref="F80:G80"/>
    <mergeCell ref="B85:C85"/>
    <mergeCell ref="D85:E85"/>
    <mergeCell ref="F85:G85"/>
    <mergeCell ref="B86:C86"/>
    <mergeCell ref="D86:E86"/>
    <mergeCell ref="F86:G86"/>
    <mergeCell ref="B83:C83"/>
    <mergeCell ref="D83:E83"/>
    <mergeCell ref="F83:G83"/>
    <mergeCell ref="B84:C84"/>
    <mergeCell ref="D84:E84"/>
    <mergeCell ref="F84:G84"/>
    <mergeCell ref="G99:H99"/>
    <mergeCell ref="A100:A101"/>
    <mergeCell ref="B100:D100"/>
    <mergeCell ref="E100:G100"/>
    <mergeCell ref="H100:J100"/>
    <mergeCell ref="B87:C87"/>
    <mergeCell ref="D87:E87"/>
    <mergeCell ref="F87:G87"/>
    <mergeCell ref="B88:C88"/>
    <mergeCell ref="D88:E88"/>
    <mergeCell ref="F88:G88"/>
  </mergeCells>
  <printOptions horizontalCentered="1" verticalCentered="1"/>
  <pageMargins left="0.31496062992125984" right="0" top="0.31496062992125984" bottom="0" header="0" footer="0"/>
  <pageSetup paperSize="9" scale="64"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zoomScale="90" zoomScaleNormal="90" workbookViewId="0">
      <selection activeCell="E66" sqref="E66"/>
    </sheetView>
  </sheetViews>
  <sheetFormatPr defaultRowHeight="12.75"/>
  <cols>
    <col min="1" max="1" width="13.28515625" style="2195" customWidth="1"/>
    <col min="2" max="4" width="11.28515625" style="2195" customWidth="1"/>
    <col min="5" max="5" width="11.5703125" style="2195" bestFit="1" customWidth="1"/>
    <col min="6" max="6" width="11.140625" style="2195" customWidth="1"/>
    <col min="7" max="7" width="12.42578125" style="2195" customWidth="1"/>
    <col min="8" max="8" width="13.85546875" style="2195" customWidth="1"/>
    <col min="9" max="9" width="13.42578125" style="2195" customWidth="1"/>
    <col min="10" max="10" width="15.7109375" style="2195" customWidth="1"/>
    <col min="11" max="11" width="17.7109375" style="2195" bestFit="1" customWidth="1"/>
    <col min="12" max="12" width="21" style="2195" customWidth="1"/>
    <col min="13" max="13" width="18.85546875" style="2195" customWidth="1"/>
    <col min="14" max="14" width="15.7109375" style="2195" customWidth="1"/>
    <col min="15" max="252" width="9.140625" style="2195"/>
    <col min="253" max="253" width="13.28515625" style="2195" customWidth="1"/>
    <col min="254" max="254" width="10.5703125" style="2195" customWidth="1"/>
    <col min="255" max="255" width="12.140625" style="2195" customWidth="1"/>
    <col min="256" max="256" width="8.140625" style="2195" bestFit="1" customWidth="1"/>
    <col min="257" max="257" width="11.5703125" style="2195" bestFit="1" customWidth="1"/>
    <col min="258" max="258" width="11.140625" style="2195" customWidth="1"/>
    <col min="259" max="259" width="12.5703125" style="2195" customWidth="1"/>
    <col min="260" max="260" width="13.85546875" style="2195" customWidth="1"/>
    <col min="261" max="261" width="13.42578125" style="2195" customWidth="1"/>
    <col min="262" max="262" width="11" style="2195" customWidth="1"/>
    <col min="263" max="263" width="17.7109375" style="2195" bestFit="1" customWidth="1"/>
    <col min="264" max="265" width="9.140625" style="2195"/>
    <col min="266" max="266" width="10.140625" style="2195" customWidth="1"/>
    <col min="267" max="508" width="9.140625" style="2195"/>
    <col min="509" max="509" width="13.28515625" style="2195" customWidth="1"/>
    <col min="510" max="510" width="10.5703125" style="2195" customWidth="1"/>
    <col min="511" max="511" width="12.140625" style="2195" customWidth="1"/>
    <col min="512" max="512" width="8.140625" style="2195" bestFit="1" customWidth="1"/>
    <col min="513" max="513" width="11.5703125" style="2195" bestFit="1" customWidth="1"/>
    <col min="514" max="514" width="11.140625" style="2195" customWidth="1"/>
    <col min="515" max="515" width="12.5703125" style="2195" customWidth="1"/>
    <col min="516" max="516" width="13.85546875" style="2195" customWidth="1"/>
    <col min="517" max="517" width="13.42578125" style="2195" customWidth="1"/>
    <col min="518" max="518" width="11" style="2195" customWidth="1"/>
    <col min="519" max="519" width="17.7109375" style="2195" bestFit="1" customWidth="1"/>
    <col min="520" max="521" width="9.140625" style="2195"/>
    <col min="522" max="522" width="10.140625" style="2195" customWidth="1"/>
    <col min="523" max="764" width="9.140625" style="2195"/>
    <col min="765" max="765" width="13.28515625" style="2195" customWidth="1"/>
    <col min="766" max="766" width="10.5703125" style="2195" customWidth="1"/>
    <col min="767" max="767" width="12.140625" style="2195" customWidth="1"/>
    <col min="768" max="768" width="8.140625" style="2195" bestFit="1" customWidth="1"/>
    <col min="769" max="769" width="11.5703125" style="2195" bestFit="1" customWidth="1"/>
    <col min="770" max="770" width="11.140625" style="2195" customWidth="1"/>
    <col min="771" max="771" width="12.5703125" style="2195" customWidth="1"/>
    <col min="772" max="772" width="13.85546875" style="2195" customWidth="1"/>
    <col min="773" max="773" width="13.42578125" style="2195" customWidth="1"/>
    <col min="774" max="774" width="11" style="2195" customWidth="1"/>
    <col min="775" max="775" width="17.7109375" style="2195" bestFit="1" customWidth="1"/>
    <col min="776" max="777" width="9.140625" style="2195"/>
    <col min="778" max="778" width="10.140625" style="2195" customWidth="1"/>
    <col min="779" max="1020" width="9.140625" style="2195"/>
    <col min="1021" max="1021" width="13.28515625" style="2195" customWidth="1"/>
    <col min="1022" max="1022" width="10.5703125" style="2195" customWidth="1"/>
    <col min="1023" max="1023" width="12.140625" style="2195" customWidth="1"/>
    <col min="1024" max="1024" width="8.140625" style="2195" bestFit="1" customWidth="1"/>
    <col min="1025" max="1025" width="11.5703125" style="2195" bestFit="1" customWidth="1"/>
    <col min="1026" max="1026" width="11.140625" style="2195" customWidth="1"/>
    <col min="1027" max="1027" width="12.5703125" style="2195" customWidth="1"/>
    <col min="1028" max="1028" width="13.85546875" style="2195" customWidth="1"/>
    <col min="1029" max="1029" width="13.42578125" style="2195" customWidth="1"/>
    <col min="1030" max="1030" width="11" style="2195" customWidth="1"/>
    <col min="1031" max="1031" width="17.7109375" style="2195" bestFit="1" customWidth="1"/>
    <col min="1032" max="1033" width="9.140625" style="2195"/>
    <col min="1034" max="1034" width="10.140625" style="2195" customWidth="1"/>
    <col min="1035" max="1276" width="9.140625" style="2195"/>
    <col min="1277" max="1277" width="13.28515625" style="2195" customWidth="1"/>
    <col min="1278" max="1278" width="10.5703125" style="2195" customWidth="1"/>
    <col min="1279" max="1279" width="12.140625" style="2195" customWidth="1"/>
    <col min="1280" max="1280" width="8.140625" style="2195" bestFit="1" customWidth="1"/>
    <col min="1281" max="1281" width="11.5703125" style="2195" bestFit="1" customWidth="1"/>
    <col min="1282" max="1282" width="11.140625" style="2195" customWidth="1"/>
    <col min="1283" max="1283" width="12.5703125" style="2195" customWidth="1"/>
    <col min="1284" max="1284" width="13.85546875" style="2195" customWidth="1"/>
    <col min="1285" max="1285" width="13.42578125" style="2195" customWidth="1"/>
    <col min="1286" max="1286" width="11" style="2195" customWidth="1"/>
    <col min="1287" max="1287" width="17.7109375" style="2195" bestFit="1" customWidth="1"/>
    <col min="1288" max="1289" width="9.140625" style="2195"/>
    <col min="1290" max="1290" width="10.140625" style="2195" customWidth="1"/>
    <col min="1291" max="1532" width="9.140625" style="2195"/>
    <col min="1533" max="1533" width="13.28515625" style="2195" customWidth="1"/>
    <col min="1534" max="1534" width="10.5703125" style="2195" customWidth="1"/>
    <col min="1535" max="1535" width="12.140625" style="2195" customWidth="1"/>
    <col min="1536" max="1536" width="8.140625" style="2195" bestFit="1" customWidth="1"/>
    <col min="1537" max="1537" width="11.5703125" style="2195" bestFit="1" customWidth="1"/>
    <col min="1538" max="1538" width="11.140625" style="2195" customWidth="1"/>
    <col min="1539" max="1539" width="12.5703125" style="2195" customWidth="1"/>
    <col min="1540" max="1540" width="13.85546875" style="2195" customWidth="1"/>
    <col min="1541" max="1541" width="13.42578125" style="2195" customWidth="1"/>
    <col min="1542" max="1542" width="11" style="2195" customWidth="1"/>
    <col min="1543" max="1543" width="17.7109375" style="2195" bestFit="1" customWidth="1"/>
    <col min="1544" max="1545" width="9.140625" style="2195"/>
    <col min="1546" max="1546" width="10.140625" style="2195" customWidth="1"/>
    <col min="1547" max="1788" width="9.140625" style="2195"/>
    <col min="1789" max="1789" width="13.28515625" style="2195" customWidth="1"/>
    <col min="1790" max="1790" width="10.5703125" style="2195" customWidth="1"/>
    <col min="1791" max="1791" width="12.140625" style="2195" customWidth="1"/>
    <col min="1792" max="1792" width="8.140625" style="2195" bestFit="1" customWidth="1"/>
    <col min="1793" max="1793" width="11.5703125" style="2195" bestFit="1" customWidth="1"/>
    <col min="1794" max="1794" width="11.140625" style="2195" customWidth="1"/>
    <col min="1795" max="1795" width="12.5703125" style="2195" customWidth="1"/>
    <col min="1796" max="1796" width="13.85546875" style="2195" customWidth="1"/>
    <col min="1797" max="1797" width="13.42578125" style="2195" customWidth="1"/>
    <col min="1798" max="1798" width="11" style="2195" customWidth="1"/>
    <col min="1799" max="1799" width="17.7109375" style="2195" bestFit="1" customWidth="1"/>
    <col min="1800" max="1801" width="9.140625" style="2195"/>
    <col min="1802" max="1802" width="10.140625" style="2195" customWidth="1"/>
    <col min="1803" max="2044" width="9.140625" style="2195"/>
    <col min="2045" max="2045" width="13.28515625" style="2195" customWidth="1"/>
    <col min="2046" max="2046" width="10.5703125" style="2195" customWidth="1"/>
    <col min="2047" max="2047" width="12.140625" style="2195" customWidth="1"/>
    <col min="2048" max="2048" width="8.140625" style="2195" bestFit="1" customWidth="1"/>
    <col min="2049" max="2049" width="11.5703125" style="2195" bestFit="1" customWidth="1"/>
    <col min="2050" max="2050" width="11.140625" style="2195" customWidth="1"/>
    <col min="2051" max="2051" width="12.5703125" style="2195" customWidth="1"/>
    <col min="2052" max="2052" width="13.85546875" style="2195" customWidth="1"/>
    <col min="2053" max="2053" width="13.42578125" style="2195" customWidth="1"/>
    <col min="2054" max="2054" width="11" style="2195" customWidth="1"/>
    <col min="2055" max="2055" width="17.7109375" style="2195" bestFit="1" customWidth="1"/>
    <col min="2056" max="2057" width="9.140625" style="2195"/>
    <col min="2058" max="2058" width="10.140625" style="2195" customWidth="1"/>
    <col min="2059" max="2300" width="9.140625" style="2195"/>
    <col min="2301" max="2301" width="13.28515625" style="2195" customWidth="1"/>
    <col min="2302" max="2302" width="10.5703125" style="2195" customWidth="1"/>
    <col min="2303" max="2303" width="12.140625" style="2195" customWidth="1"/>
    <col min="2304" max="2304" width="8.140625" style="2195" bestFit="1" customWidth="1"/>
    <col min="2305" max="2305" width="11.5703125" style="2195" bestFit="1" customWidth="1"/>
    <col min="2306" max="2306" width="11.140625" style="2195" customWidth="1"/>
    <col min="2307" max="2307" width="12.5703125" style="2195" customWidth="1"/>
    <col min="2308" max="2308" width="13.85546875" style="2195" customWidth="1"/>
    <col min="2309" max="2309" width="13.42578125" style="2195" customWidth="1"/>
    <col min="2310" max="2310" width="11" style="2195" customWidth="1"/>
    <col min="2311" max="2311" width="17.7109375" style="2195" bestFit="1" customWidth="1"/>
    <col min="2312" max="2313" width="9.140625" style="2195"/>
    <col min="2314" max="2314" width="10.140625" style="2195" customWidth="1"/>
    <col min="2315" max="2556" width="9.140625" style="2195"/>
    <col min="2557" max="2557" width="13.28515625" style="2195" customWidth="1"/>
    <col min="2558" max="2558" width="10.5703125" style="2195" customWidth="1"/>
    <col min="2559" max="2559" width="12.140625" style="2195" customWidth="1"/>
    <col min="2560" max="2560" width="8.140625" style="2195" bestFit="1" customWidth="1"/>
    <col min="2561" max="2561" width="11.5703125" style="2195" bestFit="1" customWidth="1"/>
    <col min="2562" max="2562" width="11.140625" style="2195" customWidth="1"/>
    <col min="2563" max="2563" width="12.5703125" style="2195" customWidth="1"/>
    <col min="2564" max="2564" width="13.85546875" style="2195" customWidth="1"/>
    <col min="2565" max="2565" width="13.42578125" style="2195" customWidth="1"/>
    <col min="2566" max="2566" width="11" style="2195" customWidth="1"/>
    <col min="2567" max="2567" width="17.7109375" style="2195" bestFit="1" customWidth="1"/>
    <col min="2568" max="2569" width="9.140625" style="2195"/>
    <col min="2570" max="2570" width="10.140625" style="2195" customWidth="1"/>
    <col min="2571" max="2812" width="9.140625" style="2195"/>
    <col min="2813" max="2813" width="13.28515625" style="2195" customWidth="1"/>
    <col min="2814" max="2814" width="10.5703125" style="2195" customWidth="1"/>
    <col min="2815" max="2815" width="12.140625" style="2195" customWidth="1"/>
    <col min="2816" max="2816" width="8.140625" style="2195" bestFit="1" customWidth="1"/>
    <col min="2817" max="2817" width="11.5703125" style="2195" bestFit="1" customWidth="1"/>
    <col min="2818" max="2818" width="11.140625" style="2195" customWidth="1"/>
    <col min="2819" max="2819" width="12.5703125" style="2195" customWidth="1"/>
    <col min="2820" max="2820" width="13.85546875" style="2195" customWidth="1"/>
    <col min="2821" max="2821" width="13.42578125" style="2195" customWidth="1"/>
    <col min="2822" max="2822" width="11" style="2195" customWidth="1"/>
    <col min="2823" max="2823" width="17.7109375" style="2195" bestFit="1" customWidth="1"/>
    <col min="2824" max="2825" width="9.140625" style="2195"/>
    <col min="2826" max="2826" width="10.140625" style="2195" customWidth="1"/>
    <col min="2827" max="3068" width="9.140625" style="2195"/>
    <col min="3069" max="3069" width="13.28515625" style="2195" customWidth="1"/>
    <col min="3070" max="3070" width="10.5703125" style="2195" customWidth="1"/>
    <col min="3071" max="3071" width="12.140625" style="2195" customWidth="1"/>
    <col min="3072" max="3072" width="8.140625" style="2195" bestFit="1" customWidth="1"/>
    <col min="3073" max="3073" width="11.5703125" style="2195" bestFit="1" customWidth="1"/>
    <col min="3074" max="3074" width="11.140625" style="2195" customWidth="1"/>
    <col min="3075" max="3075" width="12.5703125" style="2195" customWidth="1"/>
    <col min="3076" max="3076" width="13.85546875" style="2195" customWidth="1"/>
    <col min="3077" max="3077" width="13.42578125" style="2195" customWidth="1"/>
    <col min="3078" max="3078" width="11" style="2195" customWidth="1"/>
    <col min="3079" max="3079" width="17.7109375" style="2195" bestFit="1" customWidth="1"/>
    <col min="3080" max="3081" width="9.140625" style="2195"/>
    <col min="3082" max="3082" width="10.140625" style="2195" customWidth="1"/>
    <col min="3083" max="3324" width="9.140625" style="2195"/>
    <col min="3325" max="3325" width="13.28515625" style="2195" customWidth="1"/>
    <col min="3326" max="3326" width="10.5703125" style="2195" customWidth="1"/>
    <col min="3327" max="3327" width="12.140625" style="2195" customWidth="1"/>
    <col min="3328" max="3328" width="8.140625" style="2195" bestFit="1" customWidth="1"/>
    <col min="3329" max="3329" width="11.5703125" style="2195" bestFit="1" customWidth="1"/>
    <col min="3330" max="3330" width="11.140625" style="2195" customWidth="1"/>
    <col min="3331" max="3331" width="12.5703125" style="2195" customWidth="1"/>
    <col min="3332" max="3332" width="13.85546875" style="2195" customWidth="1"/>
    <col min="3333" max="3333" width="13.42578125" style="2195" customWidth="1"/>
    <col min="3334" max="3334" width="11" style="2195" customWidth="1"/>
    <col min="3335" max="3335" width="17.7109375" style="2195" bestFit="1" customWidth="1"/>
    <col min="3336" max="3337" width="9.140625" style="2195"/>
    <col min="3338" max="3338" width="10.140625" style="2195" customWidth="1"/>
    <col min="3339" max="3580" width="9.140625" style="2195"/>
    <col min="3581" max="3581" width="13.28515625" style="2195" customWidth="1"/>
    <col min="3582" max="3582" width="10.5703125" style="2195" customWidth="1"/>
    <col min="3583" max="3583" width="12.140625" style="2195" customWidth="1"/>
    <col min="3584" max="3584" width="8.140625" style="2195" bestFit="1" customWidth="1"/>
    <col min="3585" max="3585" width="11.5703125" style="2195" bestFit="1" customWidth="1"/>
    <col min="3586" max="3586" width="11.140625" style="2195" customWidth="1"/>
    <col min="3587" max="3587" width="12.5703125" style="2195" customWidth="1"/>
    <col min="3588" max="3588" width="13.85546875" style="2195" customWidth="1"/>
    <col min="3589" max="3589" width="13.42578125" style="2195" customWidth="1"/>
    <col min="3590" max="3590" width="11" style="2195" customWidth="1"/>
    <col min="3591" max="3591" width="17.7109375" style="2195" bestFit="1" customWidth="1"/>
    <col min="3592" max="3593" width="9.140625" style="2195"/>
    <col min="3594" max="3594" width="10.140625" style="2195" customWidth="1"/>
    <col min="3595" max="3836" width="9.140625" style="2195"/>
    <col min="3837" max="3837" width="13.28515625" style="2195" customWidth="1"/>
    <col min="3838" max="3838" width="10.5703125" style="2195" customWidth="1"/>
    <col min="3839" max="3839" width="12.140625" style="2195" customWidth="1"/>
    <col min="3840" max="3840" width="8.140625" style="2195" bestFit="1" customWidth="1"/>
    <col min="3841" max="3841" width="11.5703125" style="2195" bestFit="1" customWidth="1"/>
    <col min="3842" max="3842" width="11.140625" style="2195" customWidth="1"/>
    <col min="3843" max="3843" width="12.5703125" style="2195" customWidth="1"/>
    <col min="3844" max="3844" width="13.85546875" style="2195" customWidth="1"/>
    <col min="3845" max="3845" width="13.42578125" style="2195" customWidth="1"/>
    <col min="3846" max="3846" width="11" style="2195" customWidth="1"/>
    <col min="3847" max="3847" width="17.7109375" style="2195" bestFit="1" customWidth="1"/>
    <col min="3848" max="3849" width="9.140625" style="2195"/>
    <col min="3850" max="3850" width="10.140625" style="2195" customWidth="1"/>
    <col min="3851" max="4092" width="9.140625" style="2195"/>
    <col min="4093" max="4093" width="13.28515625" style="2195" customWidth="1"/>
    <col min="4094" max="4094" width="10.5703125" style="2195" customWidth="1"/>
    <col min="4095" max="4095" width="12.140625" style="2195" customWidth="1"/>
    <col min="4096" max="4096" width="8.140625" style="2195" bestFit="1" customWidth="1"/>
    <col min="4097" max="4097" width="11.5703125" style="2195" bestFit="1" customWidth="1"/>
    <col min="4098" max="4098" width="11.140625" style="2195" customWidth="1"/>
    <col min="4099" max="4099" width="12.5703125" style="2195" customWidth="1"/>
    <col min="4100" max="4100" width="13.85546875" style="2195" customWidth="1"/>
    <col min="4101" max="4101" width="13.42578125" style="2195" customWidth="1"/>
    <col min="4102" max="4102" width="11" style="2195" customWidth="1"/>
    <col min="4103" max="4103" width="17.7109375" style="2195" bestFit="1" customWidth="1"/>
    <col min="4104" max="4105" width="9.140625" style="2195"/>
    <col min="4106" max="4106" width="10.140625" style="2195" customWidth="1"/>
    <col min="4107" max="4348" width="9.140625" style="2195"/>
    <col min="4349" max="4349" width="13.28515625" style="2195" customWidth="1"/>
    <col min="4350" max="4350" width="10.5703125" style="2195" customWidth="1"/>
    <col min="4351" max="4351" width="12.140625" style="2195" customWidth="1"/>
    <col min="4352" max="4352" width="8.140625" style="2195" bestFit="1" customWidth="1"/>
    <col min="4353" max="4353" width="11.5703125" style="2195" bestFit="1" customWidth="1"/>
    <col min="4354" max="4354" width="11.140625" style="2195" customWidth="1"/>
    <col min="4355" max="4355" width="12.5703125" style="2195" customWidth="1"/>
    <col min="4356" max="4356" width="13.85546875" style="2195" customWidth="1"/>
    <col min="4357" max="4357" width="13.42578125" style="2195" customWidth="1"/>
    <col min="4358" max="4358" width="11" style="2195" customWidth="1"/>
    <col min="4359" max="4359" width="17.7109375" style="2195" bestFit="1" customWidth="1"/>
    <col min="4360" max="4361" width="9.140625" style="2195"/>
    <col min="4362" max="4362" width="10.140625" style="2195" customWidth="1"/>
    <col min="4363" max="4604" width="9.140625" style="2195"/>
    <col min="4605" max="4605" width="13.28515625" style="2195" customWidth="1"/>
    <col min="4606" max="4606" width="10.5703125" style="2195" customWidth="1"/>
    <col min="4607" max="4607" width="12.140625" style="2195" customWidth="1"/>
    <col min="4608" max="4608" width="8.140625" style="2195" bestFit="1" customWidth="1"/>
    <col min="4609" max="4609" width="11.5703125" style="2195" bestFit="1" customWidth="1"/>
    <col min="4610" max="4610" width="11.140625" style="2195" customWidth="1"/>
    <col min="4611" max="4611" width="12.5703125" style="2195" customWidth="1"/>
    <col min="4612" max="4612" width="13.85546875" style="2195" customWidth="1"/>
    <col min="4613" max="4613" width="13.42578125" style="2195" customWidth="1"/>
    <col min="4614" max="4614" width="11" style="2195" customWidth="1"/>
    <col min="4615" max="4615" width="17.7109375" style="2195" bestFit="1" customWidth="1"/>
    <col min="4616" max="4617" width="9.140625" style="2195"/>
    <col min="4618" max="4618" width="10.140625" style="2195" customWidth="1"/>
    <col min="4619" max="4860" width="9.140625" style="2195"/>
    <col min="4861" max="4861" width="13.28515625" style="2195" customWidth="1"/>
    <col min="4862" max="4862" width="10.5703125" style="2195" customWidth="1"/>
    <col min="4863" max="4863" width="12.140625" style="2195" customWidth="1"/>
    <col min="4864" max="4864" width="8.140625" style="2195" bestFit="1" customWidth="1"/>
    <col min="4865" max="4865" width="11.5703125" style="2195" bestFit="1" customWidth="1"/>
    <col min="4866" max="4866" width="11.140625" style="2195" customWidth="1"/>
    <col min="4867" max="4867" width="12.5703125" style="2195" customWidth="1"/>
    <col min="4868" max="4868" width="13.85546875" style="2195" customWidth="1"/>
    <col min="4869" max="4869" width="13.42578125" style="2195" customWidth="1"/>
    <col min="4870" max="4870" width="11" style="2195" customWidth="1"/>
    <col min="4871" max="4871" width="17.7109375" style="2195" bestFit="1" customWidth="1"/>
    <col min="4872" max="4873" width="9.140625" style="2195"/>
    <col min="4874" max="4874" width="10.140625" style="2195" customWidth="1"/>
    <col min="4875" max="5116" width="9.140625" style="2195"/>
    <col min="5117" max="5117" width="13.28515625" style="2195" customWidth="1"/>
    <col min="5118" max="5118" width="10.5703125" style="2195" customWidth="1"/>
    <col min="5119" max="5119" width="12.140625" style="2195" customWidth="1"/>
    <col min="5120" max="5120" width="8.140625" style="2195" bestFit="1" customWidth="1"/>
    <col min="5121" max="5121" width="11.5703125" style="2195" bestFit="1" customWidth="1"/>
    <col min="5122" max="5122" width="11.140625" style="2195" customWidth="1"/>
    <col min="5123" max="5123" width="12.5703125" style="2195" customWidth="1"/>
    <col min="5124" max="5124" width="13.85546875" style="2195" customWidth="1"/>
    <col min="5125" max="5125" width="13.42578125" style="2195" customWidth="1"/>
    <col min="5126" max="5126" width="11" style="2195" customWidth="1"/>
    <col min="5127" max="5127" width="17.7109375" style="2195" bestFit="1" customWidth="1"/>
    <col min="5128" max="5129" width="9.140625" style="2195"/>
    <col min="5130" max="5130" width="10.140625" style="2195" customWidth="1"/>
    <col min="5131" max="5372" width="9.140625" style="2195"/>
    <col min="5373" max="5373" width="13.28515625" style="2195" customWidth="1"/>
    <col min="5374" max="5374" width="10.5703125" style="2195" customWidth="1"/>
    <col min="5375" max="5375" width="12.140625" style="2195" customWidth="1"/>
    <col min="5376" max="5376" width="8.140625" style="2195" bestFit="1" customWidth="1"/>
    <col min="5377" max="5377" width="11.5703125" style="2195" bestFit="1" customWidth="1"/>
    <col min="5378" max="5378" width="11.140625" style="2195" customWidth="1"/>
    <col min="5379" max="5379" width="12.5703125" style="2195" customWidth="1"/>
    <col min="5380" max="5380" width="13.85546875" style="2195" customWidth="1"/>
    <col min="5381" max="5381" width="13.42578125" style="2195" customWidth="1"/>
    <col min="5382" max="5382" width="11" style="2195" customWidth="1"/>
    <col min="5383" max="5383" width="17.7109375" style="2195" bestFit="1" customWidth="1"/>
    <col min="5384" max="5385" width="9.140625" style="2195"/>
    <col min="5386" max="5386" width="10.140625" style="2195" customWidth="1"/>
    <col min="5387" max="5628" width="9.140625" style="2195"/>
    <col min="5629" max="5629" width="13.28515625" style="2195" customWidth="1"/>
    <col min="5630" max="5630" width="10.5703125" style="2195" customWidth="1"/>
    <col min="5631" max="5631" width="12.140625" style="2195" customWidth="1"/>
    <col min="5632" max="5632" width="8.140625" style="2195" bestFit="1" customWidth="1"/>
    <col min="5633" max="5633" width="11.5703125" style="2195" bestFit="1" customWidth="1"/>
    <col min="5634" max="5634" width="11.140625" style="2195" customWidth="1"/>
    <col min="5635" max="5635" width="12.5703125" style="2195" customWidth="1"/>
    <col min="5636" max="5636" width="13.85546875" style="2195" customWidth="1"/>
    <col min="5637" max="5637" width="13.42578125" style="2195" customWidth="1"/>
    <col min="5638" max="5638" width="11" style="2195" customWidth="1"/>
    <col min="5639" max="5639" width="17.7109375" style="2195" bestFit="1" customWidth="1"/>
    <col min="5640" max="5641" width="9.140625" style="2195"/>
    <col min="5642" max="5642" width="10.140625" style="2195" customWidth="1"/>
    <col min="5643" max="5884" width="9.140625" style="2195"/>
    <col min="5885" max="5885" width="13.28515625" style="2195" customWidth="1"/>
    <col min="5886" max="5886" width="10.5703125" style="2195" customWidth="1"/>
    <col min="5887" max="5887" width="12.140625" style="2195" customWidth="1"/>
    <col min="5888" max="5888" width="8.140625" style="2195" bestFit="1" customWidth="1"/>
    <col min="5889" max="5889" width="11.5703125" style="2195" bestFit="1" customWidth="1"/>
    <col min="5890" max="5890" width="11.140625" style="2195" customWidth="1"/>
    <col min="5891" max="5891" width="12.5703125" style="2195" customWidth="1"/>
    <col min="5892" max="5892" width="13.85546875" style="2195" customWidth="1"/>
    <col min="5893" max="5893" width="13.42578125" style="2195" customWidth="1"/>
    <col min="5894" max="5894" width="11" style="2195" customWidth="1"/>
    <col min="5895" max="5895" width="17.7109375" style="2195" bestFit="1" customWidth="1"/>
    <col min="5896" max="5897" width="9.140625" style="2195"/>
    <col min="5898" max="5898" width="10.140625" style="2195" customWidth="1"/>
    <col min="5899" max="6140" width="9.140625" style="2195"/>
    <col min="6141" max="6141" width="13.28515625" style="2195" customWidth="1"/>
    <col min="6142" max="6142" width="10.5703125" style="2195" customWidth="1"/>
    <col min="6143" max="6143" width="12.140625" style="2195" customWidth="1"/>
    <col min="6144" max="6144" width="8.140625" style="2195" bestFit="1" customWidth="1"/>
    <col min="6145" max="6145" width="11.5703125" style="2195" bestFit="1" customWidth="1"/>
    <col min="6146" max="6146" width="11.140625" style="2195" customWidth="1"/>
    <col min="6147" max="6147" width="12.5703125" style="2195" customWidth="1"/>
    <col min="6148" max="6148" width="13.85546875" style="2195" customWidth="1"/>
    <col min="6149" max="6149" width="13.42578125" style="2195" customWidth="1"/>
    <col min="6150" max="6150" width="11" style="2195" customWidth="1"/>
    <col min="6151" max="6151" width="17.7109375" style="2195" bestFit="1" customWidth="1"/>
    <col min="6152" max="6153" width="9.140625" style="2195"/>
    <col min="6154" max="6154" width="10.140625" style="2195" customWidth="1"/>
    <col min="6155" max="6396" width="9.140625" style="2195"/>
    <col min="6397" max="6397" width="13.28515625" style="2195" customWidth="1"/>
    <col min="6398" max="6398" width="10.5703125" style="2195" customWidth="1"/>
    <col min="6399" max="6399" width="12.140625" style="2195" customWidth="1"/>
    <col min="6400" max="6400" width="8.140625" style="2195" bestFit="1" customWidth="1"/>
    <col min="6401" max="6401" width="11.5703125" style="2195" bestFit="1" customWidth="1"/>
    <col min="6402" max="6402" width="11.140625" style="2195" customWidth="1"/>
    <col min="6403" max="6403" width="12.5703125" style="2195" customWidth="1"/>
    <col min="6404" max="6404" width="13.85546875" style="2195" customWidth="1"/>
    <col min="6405" max="6405" width="13.42578125" style="2195" customWidth="1"/>
    <col min="6406" max="6406" width="11" style="2195" customWidth="1"/>
    <col min="6407" max="6407" width="17.7109375" style="2195" bestFit="1" customWidth="1"/>
    <col min="6408" max="6409" width="9.140625" style="2195"/>
    <col min="6410" max="6410" width="10.140625" style="2195" customWidth="1"/>
    <col min="6411" max="6652" width="9.140625" style="2195"/>
    <col min="6653" max="6653" width="13.28515625" style="2195" customWidth="1"/>
    <col min="6654" max="6654" width="10.5703125" style="2195" customWidth="1"/>
    <col min="6655" max="6655" width="12.140625" style="2195" customWidth="1"/>
    <col min="6656" max="6656" width="8.140625" style="2195" bestFit="1" customWidth="1"/>
    <col min="6657" max="6657" width="11.5703125" style="2195" bestFit="1" customWidth="1"/>
    <col min="6658" max="6658" width="11.140625" style="2195" customWidth="1"/>
    <col min="6659" max="6659" width="12.5703125" style="2195" customWidth="1"/>
    <col min="6660" max="6660" width="13.85546875" style="2195" customWidth="1"/>
    <col min="6661" max="6661" width="13.42578125" style="2195" customWidth="1"/>
    <col min="6662" max="6662" width="11" style="2195" customWidth="1"/>
    <col min="6663" max="6663" width="17.7109375" style="2195" bestFit="1" customWidth="1"/>
    <col min="6664" max="6665" width="9.140625" style="2195"/>
    <col min="6666" max="6666" width="10.140625" style="2195" customWidth="1"/>
    <col min="6667" max="6908" width="9.140625" style="2195"/>
    <col min="6909" max="6909" width="13.28515625" style="2195" customWidth="1"/>
    <col min="6910" max="6910" width="10.5703125" style="2195" customWidth="1"/>
    <col min="6911" max="6911" width="12.140625" style="2195" customWidth="1"/>
    <col min="6912" max="6912" width="8.140625" style="2195" bestFit="1" customWidth="1"/>
    <col min="6913" max="6913" width="11.5703125" style="2195" bestFit="1" customWidth="1"/>
    <col min="6914" max="6914" width="11.140625" style="2195" customWidth="1"/>
    <col min="6915" max="6915" width="12.5703125" style="2195" customWidth="1"/>
    <col min="6916" max="6916" width="13.85546875" style="2195" customWidth="1"/>
    <col min="6917" max="6917" width="13.42578125" style="2195" customWidth="1"/>
    <col min="6918" max="6918" width="11" style="2195" customWidth="1"/>
    <col min="6919" max="6919" width="17.7109375" style="2195" bestFit="1" customWidth="1"/>
    <col min="6920" max="6921" width="9.140625" style="2195"/>
    <col min="6922" max="6922" width="10.140625" style="2195" customWidth="1"/>
    <col min="6923" max="7164" width="9.140625" style="2195"/>
    <col min="7165" max="7165" width="13.28515625" style="2195" customWidth="1"/>
    <col min="7166" max="7166" width="10.5703125" style="2195" customWidth="1"/>
    <col min="7167" max="7167" width="12.140625" style="2195" customWidth="1"/>
    <col min="7168" max="7168" width="8.140625" style="2195" bestFit="1" customWidth="1"/>
    <col min="7169" max="7169" width="11.5703125" style="2195" bestFit="1" customWidth="1"/>
    <col min="7170" max="7170" width="11.140625" style="2195" customWidth="1"/>
    <col min="7171" max="7171" width="12.5703125" style="2195" customWidth="1"/>
    <col min="7172" max="7172" width="13.85546875" style="2195" customWidth="1"/>
    <col min="7173" max="7173" width="13.42578125" style="2195" customWidth="1"/>
    <col min="7174" max="7174" width="11" style="2195" customWidth="1"/>
    <col min="7175" max="7175" width="17.7109375" style="2195" bestFit="1" customWidth="1"/>
    <col min="7176" max="7177" width="9.140625" style="2195"/>
    <col min="7178" max="7178" width="10.140625" style="2195" customWidth="1"/>
    <col min="7179" max="7420" width="9.140625" style="2195"/>
    <col min="7421" max="7421" width="13.28515625" style="2195" customWidth="1"/>
    <col min="7422" max="7422" width="10.5703125" style="2195" customWidth="1"/>
    <col min="7423" max="7423" width="12.140625" style="2195" customWidth="1"/>
    <col min="7424" max="7424" width="8.140625" style="2195" bestFit="1" customWidth="1"/>
    <col min="7425" max="7425" width="11.5703125" style="2195" bestFit="1" customWidth="1"/>
    <col min="7426" max="7426" width="11.140625" style="2195" customWidth="1"/>
    <col min="7427" max="7427" width="12.5703125" style="2195" customWidth="1"/>
    <col min="7428" max="7428" width="13.85546875" style="2195" customWidth="1"/>
    <col min="7429" max="7429" width="13.42578125" style="2195" customWidth="1"/>
    <col min="7430" max="7430" width="11" style="2195" customWidth="1"/>
    <col min="7431" max="7431" width="17.7109375" style="2195" bestFit="1" customWidth="1"/>
    <col min="7432" max="7433" width="9.140625" style="2195"/>
    <col min="7434" max="7434" width="10.140625" style="2195" customWidth="1"/>
    <col min="7435" max="7676" width="9.140625" style="2195"/>
    <col min="7677" max="7677" width="13.28515625" style="2195" customWidth="1"/>
    <col min="7678" max="7678" width="10.5703125" style="2195" customWidth="1"/>
    <col min="7679" max="7679" width="12.140625" style="2195" customWidth="1"/>
    <col min="7680" max="7680" width="8.140625" style="2195" bestFit="1" customWidth="1"/>
    <col min="7681" max="7681" width="11.5703125" style="2195" bestFit="1" customWidth="1"/>
    <col min="7682" max="7682" width="11.140625" style="2195" customWidth="1"/>
    <col min="7683" max="7683" width="12.5703125" style="2195" customWidth="1"/>
    <col min="7684" max="7684" width="13.85546875" style="2195" customWidth="1"/>
    <col min="7685" max="7685" width="13.42578125" style="2195" customWidth="1"/>
    <col min="7686" max="7686" width="11" style="2195" customWidth="1"/>
    <col min="7687" max="7687" width="17.7109375" style="2195" bestFit="1" customWidth="1"/>
    <col min="7688" max="7689" width="9.140625" style="2195"/>
    <col min="7690" max="7690" width="10.140625" style="2195" customWidth="1"/>
    <col min="7691" max="7932" width="9.140625" style="2195"/>
    <col min="7933" max="7933" width="13.28515625" style="2195" customWidth="1"/>
    <col min="7934" max="7934" width="10.5703125" style="2195" customWidth="1"/>
    <col min="7935" max="7935" width="12.140625" style="2195" customWidth="1"/>
    <col min="7936" max="7936" width="8.140625" style="2195" bestFit="1" customWidth="1"/>
    <col min="7937" max="7937" width="11.5703125" style="2195" bestFit="1" customWidth="1"/>
    <col min="7938" max="7938" width="11.140625" style="2195" customWidth="1"/>
    <col min="7939" max="7939" width="12.5703125" style="2195" customWidth="1"/>
    <col min="7940" max="7940" width="13.85546875" style="2195" customWidth="1"/>
    <col min="7941" max="7941" width="13.42578125" style="2195" customWidth="1"/>
    <col min="7942" max="7942" width="11" style="2195" customWidth="1"/>
    <col min="7943" max="7943" width="17.7109375" style="2195" bestFit="1" customWidth="1"/>
    <col min="7944" max="7945" width="9.140625" style="2195"/>
    <col min="7946" max="7946" width="10.140625" style="2195" customWidth="1"/>
    <col min="7947" max="8188" width="9.140625" style="2195"/>
    <col min="8189" max="8189" width="13.28515625" style="2195" customWidth="1"/>
    <col min="8190" max="8190" width="10.5703125" style="2195" customWidth="1"/>
    <col min="8191" max="8191" width="12.140625" style="2195" customWidth="1"/>
    <col min="8192" max="8192" width="8.140625" style="2195" bestFit="1" customWidth="1"/>
    <col min="8193" max="8193" width="11.5703125" style="2195" bestFit="1" customWidth="1"/>
    <col min="8194" max="8194" width="11.140625" style="2195" customWidth="1"/>
    <col min="8195" max="8195" width="12.5703125" style="2195" customWidth="1"/>
    <col min="8196" max="8196" width="13.85546875" style="2195" customWidth="1"/>
    <col min="8197" max="8197" width="13.42578125" style="2195" customWidth="1"/>
    <col min="8198" max="8198" width="11" style="2195" customWidth="1"/>
    <col min="8199" max="8199" width="17.7109375" style="2195" bestFit="1" customWidth="1"/>
    <col min="8200" max="8201" width="9.140625" style="2195"/>
    <col min="8202" max="8202" width="10.140625" style="2195" customWidth="1"/>
    <col min="8203" max="8444" width="9.140625" style="2195"/>
    <col min="8445" max="8445" width="13.28515625" style="2195" customWidth="1"/>
    <col min="8446" max="8446" width="10.5703125" style="2195" customWidth="1"/>
    <col min="8447" max="8447" width="12.140625" style="2195" customWidth="1"/>
    <col min="8448" max="8448" width="8.140625" style="2195" bestFit="1" customWidth="1"/>
    <col min="8449" max="8449" width="11.5703125" style="2195" bestFit="1" customWidth="1"/>
    <col min="8450" max="8450" width="11.140625" style="2195" customWidth="1"/>
    <col min="8451" max="8451" width="12.5703125" style="2195" customWidth="1"/>
    <col min="8452" max="8452" width="13.85546875" style="2195" customWidth="1"/>
    <col min="8453" max="8453" width="13.42578125" style="2195" customWidth="1"/>
    <col min="8454" max="8454" width="11" style="2195" customWidth="1"/>
    <col min="8455" max="8455" width="17.7109375" style="2195" bestFit="1" customWidth="1"/>
    <col min="8456" max="8457" width="9.140625" style="2195"/>
    <col min="8458" max="8458" width="10.140625" style="2195" customWidth="1"/>
    <col min="8459" max="8700" width="9.140625" style="2195"/>
    <col min="8701" max="8701" width="13.28515625" style="2195" customWidth="1"/>
    <col min="8702" max="8702" width="10.5703125" style="2195" customWidth="1"/>
    <col min="8703" max="8703" width="12.140625" style="2195" customWidth="1"/>
    <col min="8704" max="8704" width="8.140625" style="2195" bestFit="1" customWidth="1"/>
    <col min="8705" max="8705" width="11.5703125" style="2195" bestFit="1" customWidth="1"/>
    <col min="8706" max="8706" width="11.140625" style="2195" customWidth="1"/>
    <col min="8707" max="8707" width="12.5703125" style="2195" customWidth="1"/>
    <col min="8708" max="8708" width="13.85546875" style="2195" customWidth="1"/>
    <col min="8709" max="8709" width="13.42578125" style="2195" customWidth="1"/>
    <col min="8710" max="8710" width="11" style="2195" customWidth="1"/>
    <col min="8711" max="8711" width="17.7109375" style="2195" bestFit="1" customWidth="1"/>
    <col min="8712" max="8713" width="9.140625" style="2195"/>
    <col min="8714" max="8714" width="10.140625" style="2195" customWidth="1"/>
    <col min="8715" max="8956" width="9.140625" style="2195"/>
    <col min="8957" max="8957" width="13.28515625" style="2195" customWidth="1"/>
    <col min="8958" max="8958" width="10.5703125" style="2195" customWidth="1"/>
    <col min="8959" max="8959" width="12.140625" style="2195" customWidth="1"/>
    <col min="8960" max="8960" width="8.140625" style="2195" bestFit="1" customWidth="1"/>
    <col min="8961" max="8961" width="11.5703125" style="2195" bestFit="1" customWidth="1"/>
    <col min="8962" max="8962" width="11.140625" style="2195" customWidth="1"/>
    <col min="8963" max="8963" width="12.5703125" style="2195" customWidth="1"/>
    <col min="8964" max="8964" width="13.85546875" style="2195" customWidth="1"/>
    <col min="8965" max="8965" width="13.42578125" style="2195" customWidth="1"/>
    <col min="8966" max="8966" width="11" style="2195" customWidth="1"/>
    <col min="8967" max="8967" width="17.7109375" style="2195" bestFit="1" customWidth="1"/>
    <col min="8968" max="8969" width="9.140625" style="2195"/>
    <col min="8970" max="8970" width="10.140625" style="2195" customWidth="1"/>
    <col min="8971" max="9212" width="9.140625" style="2195"/>
    <col min="9213" max="9213" width="13.28515625" style="2195" customWidth="1"/>
    <col min="9214" max="9214" width="10.5703125" style="2195" customWidth="1"/>
    <col min="9215" max="9215" width="12.140625" style="2195" customWidth="1"/>
    <col min="9216" max="9216" width="8.140625" style="2195" bestFit="1" customWidth="1"/>
    <col min="9217" max="9217" width="11.5703125" style="2195" bestFit="1" customWidth="1"/>
    <col min="9218" max="9218" width="11.140625" style="2195" customWidth="1"/>
    <col min="9219" max="9219" width="12.5703125" style="2195" customWidth="1"/>
    <col min="9220" max="9220" width="13.85546875" style="2195" customWidth="1"/>
    <col min="9221" max="9221" width="13.42578125" style="2195" customWidth="1"/>
    <col min="9222" max="9222" width="11" style="2195" customWidth="1"/>
    <col min="9223" max="9223" width="17.7109375" style="2195" bestFit="1" customWidth="1"/>
    <col min="9224" max="9225" width="9.140625" style="2195"/>
    <col min="9226" max="9226" width="10.140625" style="2195" customWidth="1"/>
    <col min="9227" max="9468" width="9.140625" style="2195"/>
    <col min="9469" max="9469" width="13.28515625" style="2195" customWidth="1"/>
    <col min="9470" max="9470" width="10.5703125" style="2195" customWidth="1"/>
    <col min="9471" max="9471" width="12.140625" style="2195" customWidth="1"/>
    <col min="9472" max="9472" width="8.140625" style="2195" bestFit="1" customWidth="1"/>
    <col min="9473" max="9473" width="11.5703125" style="2195" bestFit="1" customWidth="1"/>
    <col min="9474" max="9474" width="11.140625" style="2195" customWidth="1"/>
    <col min="9475" max="9475" width="12.5703125" style="2195" customWidth="1"/>
    <col min="9476" max="9476" width="13.85546875" style="2195" customWidth="1"/>
    <col min="9477" max="9477" width="13.42578125" style="2195" customWidth="1"/>
    <col min="9478" max="9478" width="11" style="2195" customWidth="1"/>
    <col min="9479" max="9479" width="17.7109375" style="2195" bestFit="1" customWidth="1"/>
    <col min="9480" max="9481" width="9.140625" style="2195"/>
    <col min="9482" max="9482" width="10.140625" style="2195" customWidth="1"/>
    <col min="9483" max="9724" width="9.140625" style="2195"/>
    <col min="9725" max="9725" width="13.28515625" style="2195" customWidth="1"/>
    <col min="9726" max="9726" width="10.5703125" style="2195" customWidth="1"/>
    <col min="9727" max="9727" width="12.140625" style="2195" customWidth="1"/>
    <col min="9728" max="9728" width="8.140625" style="2195" bestFit="1" customWidth="1"/>
    <col min="9729" max="9729" width="11.5703125" style="2195" bestFit="1" customWidth="1"/>
    <col min="9730" max="9730" width="11.140625" style="2195" customWidth="1"/>
    <col min="9731" max="9731" width="12.5703125" style="2195" customWidth="1"/>
    <col min="9732" max="9732" width="13.85546875" style="2195" customWidth="1"/>
    <col min="9733" max="9733" width="13.42578125" style="2195" customWidth="1"/>
    <col min="9734" max="9734" width="11" style="2195" customWidth="1"/>
    <col min="9735" max="9735" width="17.7109375" style="2195" bestFit="1" customWidth="1"/>
    <col min="9736" max="9737" width="9.140625" style="2195"/>
    <col min="9738" max="9738" width="10.140625" style="2195" customWidth="1"/>
    <col min="9739" max="9980" width="9.140625" style="2195"/>
    <col min="9981" max="9981" width="13.28515625" style="2195" customWidth="1"/>
    <col min="9982" max="9982" width="10.5703125" style="2195" customWidth="1"/>
    <col min="9983" max="9983" width="12.140625" style="2195" customWidth="1"/>
    <col min="9984" max="9984" width="8.140625" style="2195" bestFit="1" customWidth="1"/>
    <col min="9985" max="9985" width="11.5703125" style="2195" bestFit="1" customWidth="1"/>
    <col min="9986" max="9986" width="11.140625" style="2195" customWidth="1"/>
    <col min="9987" max="9987" width="12.5703125" style="2195" customWidth="1"/>
    <col min="9988" max="9988" width="13.85546875" style="2195" customWidth="1"/>
    <col min="9989" max="9989" width="13.42578125" style="2195" customWidth="1"/>
    <col min="9990" max="9990" width="11" style="2195" customWidth="1"/>
    <col min="9991" max="9991" width="17.7109375" style="2195" bestFit="1" customWidth="1"/>
    <col min="9992" max="9993" width="9.140625" style="2195"/>
    <col min="9994" max="9994" width="10.140625" style="2195" customWidth="1"/>
    <col min="9995" max="10236" width="9.140625" style="2195"/>
    <col min="10237" max="10237" width="13.28515625" style="2195" customWidth="1"/>
    <col min="10238" max="10238" width="10.5703125" style="2195" customWidth="1"/>
    <col min="10239" max="10239" width="12.140625" style="2195" customWidth="1"/>
    <col min="10240" max="10240" width="8.140625" style="2195" bestFit="1" customWidth="1"/>
    <col min="10241" max="10241" width="11.5703125" style="2195" bestFit="1" customWidth="1"/>
    <col min="10242" max="10242" width="11.140625" style="2195" customWidth="1"/>
    <col min="10243" max="10243" width="12.5703125" style="2195" customWidth="1"/>
    <col min="10244" max="10244" width="13.85546875" style="2195" customWidth="1"/>
    <col min="10245" max="10245" width="13.42578125" style="2195" customWidth="1"/>
    <col min="10246" max="10246" width="11" style="2195" customWidth="1"/>
    <col min="10247" max="10247" width="17.7109375" style="2195" bestFit="1" customWidth="1"/>
    <col min="10248" max="10249" width="9.140625" style="2195"/>
    <col min="10250" max="10250" width="10.140625" style="2195" customWidth="1"/>
    <col min="10251" max="10492" width="9.140625" style="2195"/>
    <col min="10493" max="10493" width="13.28515625" style="2195" customWidth="1"/>
    <col min="10494" max="10494" width="10.5703125" style="2195" customWidth="1"/>
    <col min="10495" max="10495" width="12.140625" style="2195" customWidth="1"/>
    <col min="10496" max="10496" width="8.140625" style="2195" bestFit="1" customWidth="1"/>
    <col min="10497" max="10497" width="11.5703125" style="2195" bestFit="1" customWidth="1"/>
    <col min="10498" max="10498" width="11.140625" style="2195" customWidth="1"/>
    <col min="10499" max="10499" width="12.5703125" style="2195" customWidth="1"/>
    <col min="10500" max="10500" width="13.85546875" style="2195" customWidth="1"/>
    <col min="10501" max="10501" width="13.42578125" style="2195" customWidth="1"/>
    <col min="10502" max="10502" width="11" style="2195" customWidth="1"/>
    <col min="10503" max="10503" width="17.7109375" style="2195" bestFit="1" customWidth="1"/>
    <col min="10504" max="10505" width="9.140625" style="2195"/>
    <col min="10506" max="10506" width="10.140625" style="2195" customWidth="1"/>
    <col min="10507" max="10748" width="9.140625" style="2195"/>
    <col min="10749" max="10749" width="13.28515625" style="2195" customWidth="1"/>
    <col min="10750" max="10750" width="10.5703125" style="2195" customWidth="1"/>
    <col min="10751" max="10751" width="12.140625" style="2195" customWidth="1"/>
    <col min="10752" max="10752" width="8.140625" style="2195" bestFit="1" customWidth="1"/>
    <col min="10753" max="10753" width="11.5703125" style="2195" bestFit="1" customWidth="1"/>
    <col min="10754" max="10754" width="11.140625" style="2195" customWidth="1"/>
    <col min="10755" max="10755" width="12.5703125" style="2195" customWidth="1"/>
    <col min="10756" max="10756" width="13.85546875" style="2195" customWidth="1"/>
    <col min="10757" max="10757" width="13.42578125" style="2195" customWidth="1"/>
    <col min="10758" max="10758" width="11" style="2195" customWidth="1"/>
    <col min="10759" max="10759" width="17.7109375" style="2195" bestFit="1" customWidth="1"/>
    <col min="10760" max="10761" width="9.140625" style="2195"/>
    <col min="10762" max="10762" width="10.140625" style="2195" customWidth="1"/>
    <col min="10763" max="11004" width="9.140625" style="2195"/>
    <col min="11005" max="11005" width="13.28515625" style="2195" customWidth="1"/>
    <col min="11006" max="11006" width="10.5703125" style="2195" customWidth="1"/>
    <col min="11007" max="11007" width="12.140625" style="2195" customWidth="1"/>
    <col min="11008" max="11008" width="8.140625" style="2195" bestFit="1" customWidth="1"/>
    <col min="11009" max="11009" width="11.5703125" style="2195" bestFit="1" customWidth="1"/>
    <col min="11010" max="11010" width="11.140625" style="2195" customWidth="1"/>
    <col min="11011" max="11011" width="12.5703125" style="2195" customWidth="1"/>
    <col min="11012" max="11012" width="13.85546875" style="2195" customWidth="1"/>
    <col min="11013" max="11013" width="13.42578125" style="2195" customWidth="1"/>
    <col min="11014" max="11014" width="11" style="2195" customWidth="1"/>
    <col min="11015" max="11015" width="17.7109375" style="2195" bestFit="1" customWidth="1"/>
    <col min="11016" max="11017" width="9.140625" style="2195"/>
    <col min="11018" max="11018" width="10.140625" style="2195" customWidth="1"/>
    <col min="11019" max="11260" width="9.140625" style="2195"/>
    <col min="11261" max="11261" width="13.28515625" style="2195" customWidth="1"/>
    <col min="11262" max="11262" width="10.5703125" style="2195" customWidth="1"/>
    <col min="11263" max="11263" width="12.140625" style="2195" customWidth="1"/>
    <col min="11264" max="11264" width="8.140625" style="2195" bestFit="1" customWidth="1"/>
    <col min="11265" max="11265" width="11.5703125" style="2195" bestFit="1" customWidth="1"/>
    <col min="11266" max="11266" width="11.140625" style="2195" customWidth="1"/>
    <col min="11267" max="11267" width="12.5703125" style="2195" customWidth="1"/>
    <col min="11268" max="11268" width="13.85546875" style="2195" customWidth="1"/>
    <col min="11269" max="11269" width="13.42578125" style="2195" customWidth="1"/>
    <col min="11270" max="11270" width="11" style="2195" customWidth="1"/>
    <col min="11271" max="11271" width="17.7109375" style="2195" bestFit="1" customWidth="1"/>
    <col min="11272" max="11273" width="9.140625" style="2195"/>
    <col min="11274" max="11274" width="10.140625" style="2195" customWidth="1"/>
    <col min="11275" max="11516" width="9.140625" style="2195"/>
    <col min="11517" max="11517" width="13.28515625" style="2195" customWidth="1"/>
    <col min="11518" max="11518" width="10.5703125" style="2195" customWidth="1"/>
    <col min="11519" max="11519" width="12.140625" style="2195" customWidth="1"/>
    <col min="11520" max="11520" width="8.140625" style="2195" bestFit="1" customWidth="1"/>
    <col min="11521" max="11521" width="11.5703125" style="2195" bestFit="1" customWidth="1"/>
    <col min="11522" max="11522" width="11.140625" style="2195" customWidth="1"/>
    <col min="11523" max="11523" width="12.5703125" style="2195" customWidth="1"/>
    <col min="11524" max="11524" width="13.85546875" style="2195" customWidth="1"/>
    <col min="11525" max="11525" width="13.42578125" style="2195" customWidth="1"/>
    <col min="11526" max="11526" width="11" style="2195" customWidth="1"/>
    <col min="11527" max="11527" width="17.7109375" style="2195" bestFit="1" customWidth="1"/>
    <col min="11528" max="11529" width="9.140625" style="2195"/>
    <col min="11530" max="11530" width="10.140625" style="2195" customWidth="1"/>
    <col min="11531" max="11772" width="9.140625" style="2195"/>
    <col min="11773" max="11773" width="13.28515625" style="2195" customWidth="1"/>
    <col min="11774" max="11774" width="10.5703125" style="2195" customWidth="1"/>
    <col min="11775" max="11775" width="12.140625" style="2195" customWidth="1"/>
    <col min="11776" max="11776" width="8.140625" style="2195" bestFit="1" customWidth="1"/>
    <col min="11777" max="11777" width="11.5703125" style="2195" bestFit="1" customWidth="1"/>
    <col min="11778" max="11778" width="11.140625" style="2195" customWidth="1"/>
    <col min="11779" max="11779" width="12.5703125" style="2195" customWidth="1"/>
    <col min="11780" max="11780" width="13.85546875" style="2195" customWidth="1"/>
    <col min="11781" max="11781" width="13.42578125" style="2195" customWidth="1"/>
    <col min="11782" max="11782" width="11" style="2195" customWidth="1"/>
    <col min="11783" max="11783" width="17.7109375" style="2195" bestFit="1" customWidth="1"/>
    <col min="11784" max="11785" width="9.140625" style="2195"/>
    <col min="11786" max="11786" width="10.140625" style="2195" customWidth="1"/>
    <col min="11787" max="12028" width="9.140625" style="2195"/>
    <col min="12029" max="12029" width="13.28515625" style="2195" customWidth="1"/>
    <col min="12030" max="12030" width="10.5703125" style="2195" customWidth="1"/>
    <col min="12031" max="12031" width="12.140625" style="2195" customWidth="1"/>
    <col min="12032" max="12032" width="8.140625" style="2195" bestFit="1" customWidth="1"/>
    <col min="12033" max="12033" width="11.5703125" style="2195" bestFit="1" customWidth="1"/>
    <col min="12034" max="12034" width="11.140625" style="2195" customWidth="1"/>
    <col min="12035" max="12035" width="12.5703125" style="2195" customWidth="1"/>
    <col min="12036" max="12036" width="13.85546875" style="2195" customWidth="1"/>
    <col min="12037" max="12037" width="13.42578125" style="2195" customWidth="1"/>
    <col min="12038" max="12038" width="11" style="2195" customWidth="1"/>
    <col min="12039" max="12039" width="17.7109375" style="2195" bestFit="1" customWidth="1"/>
    <col min="12040" max="12041" width="9.140625" style="2195"/>
    <col min="12042" max="12042" width="10.140625" style="2195" customWidth="1"/>
    <col min="12043" max="12284" width="9.140625" style="2195"/>
    <col min="12285" max="12285" width="13.28515625" style="2195" customWidth="1"/>
    <col min="12286" max="12286" width="10.5703125" style="2195" customWidth="1"/>
    <col min="12287" max="12287" width="12.140625" style="2195" customWidth="1"/>
    <col min="12288" max="12288" width="8.140625" style="2195" bestFit="1" customWidth="1"/>
    <col min="12289" max="12289" width="11.5703125" style="2195" bestFit="1" customWidth="1"/>
    <col min="12290" max="12290" width="11.140625" style="2195" customWidth="1"/>
    <col min="12291" max="12291" width="12.5703125" style="2195" customWidth="1"/>
    <col min="12292" max="12292" width="13.85546875" style="2195" customWidth="1"/>
    <col min="12293" max="12293" width="13.42578125" style="2195" customWidth="1"/>
    <col min="12294" max="12294" width="11" style="2195" customWidth="1"/>
    <col min="12295" max="12295" width="17.7109375" style="2195" bestFit="1" customWidth="1"/>
    <col min="12296" max="12297" width="9.140625" style="2195"/>
    <col min="12298" max="12298" width="10.140625" style="2195" customWidth="1"/>
    <col min="12299" max="12540" width="9.140625" style="2195"/>
    <col min="12541" max="12541" width="13.28515625" style="2195" customWidth="1"/>
    <col min="12542" max="12542" width="10.5703125" style="2195" customWidth="1"/>
    <col min="12543" max="12543" width="12.140625" style="2195" customWidth="1"/>
    <col min="12544" max="12544" width="8.140625" style="2195" bestFit="1" customWidth="1"/>
    <col min="12545" max="12545" width="11.5703125" style="2195" bestFit="1" customWidth="1"/>
    <col min="12546" max="12546" width="11.140625" style="2195" customWidth="1"/>
    <col min="12547" max="12547" width="12.5703125" style="2195" customWidth="1"/>
    <col min="12548" max="12548" width="13.85546875" style="2195" customWidth="1"/>
    <col min="12549" max="12549" width="13.42578125" style="2195" customWidth="1"/>
    <col min="12550" max="12550" width="11" style="2195" customWidth="1"/>
    <col min="12551" max="12551" width="17.7109375" style="2195" bestFit="1" customWidth="1"/>
    <col min="12552" max="12553" width="9.140625" style="2195"/>
    <col min="12554" max="12554" width="10.140625" style="2195" customWidth="1"/>
    <col min="12555" max="12796" width="9.140625" style="2195"/>
    <col min="12797" max="12797" width="13.28515625" style="2195" customWidth="1"/>
    <col min="12798" max="12798" width="10.5703125" style="2195" customWidth="1"/>
    <col min="12799" max="12799" width="12.140625" style="2195" customWidth="1"/>
    <col min="12800" max="12800" width="8.140625" style="2195" bestFit="1" customWidth="1"/>
    <col min="12801" max="12801" width="11.5703125" style="2195" bestFit="1" customWidth="1"/>
    <col min="12802" max="12802" width="11.140625" style="2195" customWidth="1"/>
    <col min="12803" max="12803" width="12.5703125" style="2195" customWidth="1"/>
    <col min="12804" max="12804" width="13.85546875" style="2195" customWidth="1"/>
    <col min="12805" max="12805" width="13.42578125" style="2195" customWidth="1"/>
    <col min="12806" max="12806" width="11" style="2195" customWidth="1"/>
    <col min="12807" max="12807" width="17.7109375" style="2195" bestFit="1" customWidth="1"/>
    <col min="12808" max="12809" width="9.140625" style="2195"/>
    <col min="12810" max="12810" width="10.140625" style="2195" customWidth="1"/>
    <col min="12811" max="13052" width="9.140625" style="2195"/>
    <col min="13053" max="13053" width="13.28515625" style="2195" customWidth="1"/>
    <col min="13054" max="13054" width="10.5703125" style="2195" customWidth="1"/>
    <col min="13055" max="13055" width="12.140625" style="2195" customWidth="1"/>
    <col min="13056" max="13056" width="8.140625" style="2195" bestFit="1" customWidth="1"/>
    <col min="13057" max="13057" width="11.5703125" style="2195" bestFit="1" customWidth="1"/>
    <col min="13058" max="13058" width="11.140625" style="2195" customWidth="1"/>
    <col min="13059" max="13059" width="12.5703125" style="2195" customWidth="1"/>
    <col min="13060" max="13060" width="13.85546875" style="2195" customWidth="1"/>
    <col min="13061" max="13061" width="13.42578125" style="2195" customWidth="1"/>
    <col min="13062" max="13062" width="11" style="2195" customWidth="1"/>
    <col min="13063" max="13063" width="17.7109375" style="2195" bestFit="1" customWidth="1"/>
    <col min="13064" max="13065" width="9.140625" style="2195"/>
    <col min="13066" max="13066" width="10.140625" style="2195" customWidth="1"/>
    <col min="13067" max="13308" width="9.140625" style="2195"/>
    <col min="13309" max="13309" width="13.28515625" style="2195" customWidth="1"/>
    <col min="13310" max="13310" width="10.5703125" style="2195" customWidth="1"/>
    <col min="13311" max="13311" width="12.140625" style="2195" customWidth="1"/>
    <col min="13312" max="13312" width="8.140625" style="2195" bestFit="1" customWidth="1"/>
    <col min="13313" max="13313" width="11.5703125" style="2195" bestFit="1" customWidth="1"/>
    <col min="13314" max="13314" width="11.140625" style="2195" customWidth="1"/>
    <col min="13315" max="13315" width="12.5703125" style="2195" customWidth="1"/>
    <col min="13316" max="13316" width="13.85546875" style="2195" customWidth="1"/>
    <col min="13317" max="13317" width="13.42578125" style="2195" customWidth="1"/>
    <col min="13318" max="13318" width="11" style="2195" customWidth="1"/>
    <col min="13319" max="13319" width="17.7109375" style="2195" bestFit="1" customWidth="1"/>
    <col min="13320" max="13321" width="9.140625" style="2195"/>
    <col min="13322" max="13322" width="10.140625" style="2195" customWidth="1"/>
    <col min="13323" max="13564" width="9.140625" style="2195"/>
    <col min="13565" max="13565" width="13.28515625" style="2195" customWidth="1"/>
    <col min="13566" max="13566" width="10.5703125" style="2195" customWidth="1"/>
    <col min="13567" max="13567" width="12.140625" style="2195" customWidth="1"/>
    <col min="13568" max="13568" width="8.140625" style="2195" bestFit="1" customWidth="1"/>
    <col min="13569" max="13569" width="11.5703125" style="2195" bestFit="1" customWidth="1"/>
    <col min="13570" max="13570" width="11.140625" style="2195" customWidth="1"/>
    <col min="13571" max="13571" width="12.5703125" style="2195" customWidth="1"/>
    <col min="13572" max="13572" width="13.85546875" style="2195" customWidth="1"/>
    <col min="13573" max="13573" width="13.42578125" style="2195" customWidth="1"/>
    <col min="13574" max="13574" width="11" style="2195" customWidth="1"/>
    <col min="13575" max="13575" width="17.7109375" style="2195" bestFit="1" customWidth="1"/>
    <col min="13576" max="13577" width="9.140625" style="2195"/>
    <col min="13578" max="13578" width="10.140625" style="2195" customWidth="1"/>
    <col min="13579" max="13820" width="9.140625" style="2195"/>
    <col min="13821" max="13821" width="13.28515625" style="2195" customWidth="1"/>
    <col min="13822" max="13822" width="10.5703125" style="2195" customWidth="1"/>
    <col min="13823" max="13823" width="12.140625" style="2195" customWidth="1"/>
    <col min="13824" max="13824" width="8.140625" style="2195" bestFit="1" customWidth="1"/>
    <col min="13825" max="13825" width="11.5703125" style="2195" bestFit="1" customWidth="1"/>
    <col min="13826" max="13826" width="11.140625" style="2195" customWidth="1"/>
    <col min="13827" max="13827" width="12.5703125" style="2195" customWidth="1"/>
    <col min="13828" max="13828" width="13.85546875" style="2195" customWidth="1"/>
    <col min="13829" max="13829" width="13.42578125" style="2195" customWidth="1"/>
    <col min="13830" max="13830" width="11" style="2195" customWidth="1"/>
    <col min="13831" max="13831" width="17.7109375" style="2195" bestFit="1" customWidth="1"/>
    <col min="13832" max="13833" width="9.140625" style="2195"/>
    <col min="13834" max="13834" width="10.140625" style="2195" customWidth="1"/>
    <col min="13835" max="14076" width="9.140625" style="2195"/>
    <col min="14077" max="14077" width="13.28515625" style="2195" customWidth="1"/>
    <col min="14078" max="14078" width="10.5703125" style="2195" customWidth="1"/>
    <col min="14079" max="14079" width="12.140625" style="2195" customWidth="1"/>
    <col min="14080" max="14080" width="8.140625" style="2195" bestFit="1" customWidth="1"/>
    <col min="14081" max="14081" width="11.5703125" style="2195" bestFit="1" customWidth="1"/>
    <col min="14082" max="14082" width="11.140625" style="2195" customWidth="1"/>
    <col min="14083" max="14083" width="12.5703125" style="2195" customWidth="1"/>
    <col min="14084" max="14084" width="13.85546875" style="2195" customWidth="1"/>
    <col min="14085" max="14085" width="13.42578125" style="2195" customWidth="1"/>
    <col min="14086" max="14086" width="11" style="2195" customWidth="1"/>
    <col min="14087" max="14087" width="17.7109375" style="2195" bestFit="1" customWidth="1"/>
    <col min="14088" max="14089" width="9.140625" style="2195"/>
    <col min="14090" max="14090" width="10.140625" style="2195" customWidth="1"/>
    <col min="14091" max="14332" width="9.140625" style="2195"/>
    <col min="14333" max="14333" width="13.28515625" style="2195" customWidth="1"/>
    <col min="14334" max="14334" width="10.5703125" style="2195" customWidth="1"/>
    <col min="14335" max="14335" width="12.140625" style="2195" customWidth="1"/>
    <col min="14336" max="14336" width="8.140625" style="2195" bestFit="1" customWidth="1"/>
    <col min="14337" max="14337" width="11.5703125" style="2195" bestFit="1" customWidth="1"/>
    <col min="14338" max="14338" width="11.140625" style="2195" customWidth="1"/>
    <col min="14339" max="14339" width="12.5703125" style="2195" customWidth="1"/>
    <col min="14340" max="14340" width="13.85546875" style="2195" customWidth="1"/>
    <col min="14341" max="14341" width="13.42578125" style="2195" customWidth="1"/>
    <col min="14342" max="14342" width="11" style="2195" customWidth="1"/>
    <col min="14343" max="14343" width="17.7109375" style="2195" bestFit="1" customWidth="1"/>
    <col min="14344" max="14345" width="9.140625" style="2195"/>
    <col min="14346" max="14346" width="10.140625" style="2195" customWidth="1"/>
    <col min="14347" max="14588" width="9.140625" style="2195"/>
    <col min="14589" max="14589" width="13.28515625" style="2195" customWidth="1"/>
    <col min="14590" max="14590" width="10.5703125" style="2195" customWidth="1"/>
    <col min="14591" max="14591" width="12.140625" style="2195" customWidth="1"/>
    <col min="14592" max="14592" width="8.140625" style="2195" bestFit="1" customWidth="1"/>
    <col min="14593" max="14593" width="11.5703125" style="2195" bestFit="1" customWidth="1"/>
    <col min="14594" max="14594" width="11.140625" style="2195" customWidth="1"/>
    <col min="14595" max="14595" width="12.5703125" style="2195" customWidth="1"/>
    <col min="14596" max="14596" width="13.85546875" style="2195" customWidth="1"/>
    <col min="14597" max="14597" width="13.42578125" style="2195" customWidth="1"/>
    <col min="14598" max="14598" width="11" style="2195" customWidth="1"/>
    <col min="14599" max="14599" width="17.7109375" style="2195" bestFit="1" customWidth="1"/>
    <col min="14600" max="14601" width="9.140625" style="2195"/>
    <col min="14602" max="14602" width="10.140625" style="2195" customWidth="1"/>
    <col min="14603" max="14844" width="9.140625" style="2195"/>
    <col min="14845" max="14845" width="13.28515625" style="2195" customWidth="1"/>
    <col min="14846" max="14846" width="10.5703125" style="2195" customWidth="1"/>
    <col min="14847" max="14847" width="12.140625" style="2195" customWidth="1"/>
    <col min="14848" max="14848" width="8.140625" style="2195" bestFit="1" customWidth="1"/>
    <col min="14849" max="14849" width="11.5703125" style="2195" bestFit="1" customWidth="1"/>
    <col min="14850" max="14850" width="11.140625" style="2195" customWidth="1"/>
    <col min="14851" max="14851" width="12.5703125" style="2195" customWidth="1"/>
    <col min="14852" max="14852" width="13.85546875" style="2195" customWidth="1"/>
    <col min="14853" max="14853" width="13.42578125" style="2195" customWidth="1"/>
    <col min="14854" max="14854" width="11" style="2195" customWidth="1"/>
    <col min="14855" max="14855" width="17.7109375" style="2195" bestFit="1" customWidth="1"/>
    <col min="14856" max="14857" width="9.140625" style="2195"/>
    <col min="14858" max="14858" width="10.140625" style="2195" customWidth="1"/>
    <col min="14859" max="15100" width="9.140625" style="2195"/>
    <col min="15101" max="15101" width="13.28515625" style="2195" customWidth="1"/>
    <col min="15102" max="15102" width="10.5703125" style="2195" customWidth="1"/>
    <col min="15103" max="15103" width="12.140625" style="2195" customWidth="1"/>
    <col min="15104" max="15104" width="8.140625" style="2195" bestFit="1" customWidth="1"/>
    <col min="15105" max="15105" width="11.5703125" style="2195" bestFit="1" customWidth="1"/>
    <col min="15106" max="15106" width="11.140625" style="2195" customWidth="1"/>
    <col min="15107" max="15107" width="12.5703125" style="2195" customWidth="1"/>
    <col min="15108" max="15108" width="13.85546875" style="2195" customWidth="1"/>
    <col min="15109" max="15109" width="13.42578125" style="2195" customWidth="1"/>
    <col min="15110" max="15110" width="11" style="2195" customWidth="1"/>
    <col min="15111" max="15111" width="17.7109375" style="2195" bestFit="1" customWidth="1"/>
    <col min="15112" max="15113" width="9.140625" style="2195"/>
    <col min="15114" max="15114" width="10.140625" style="2195" customWidth="1"/>
    <col min="15115" max="15356" width="9.140625" style="2195"/>
    <col min="15357" max="15357" width="13.28515625" style="2195" customWidth="1"/>
    <col min="15358" max="15358" width="10.5703125" style="2195" customWidth="1"/>
    <col min="15359" max="15359" width="12.140625" style="2195" customWidth="1"/>
    <col min="15360" max="15360" width="8.140625" style="2195" bestFit="1" customWidth="1"/>
    <col min="15361" max="15361" width="11.5703125" style="2195" bestFit="1" customWidth="1"/>
    <col min="15362" max="15362" width="11.140625" style="2195" customWidth="1"/>
    <col min="15363" max="15363" width="12.5703125" style="2195" customWidth="1"/>
    <col min="15364" max="15364" width="13.85546875" style="2195" customWidth="1"/>
    <col min="15365" max="15365" width="13.42578125" style="2195" customWidth="1"/>
    <col min="15366" max="15366" width="11" style="2195" customWidth="1"/>
    <col min="15367" max="15367" width="17.7109375" style="2195" bestFit="1" customWidth="1"/>
    <col min="15368" max="15369" width="9.140625" style="2195"/>
    <col min="15370" max="15370" width="10.140625" style="2195" customWidth="1"/>
    <col min="15371" max="15612" width="9.140625" style="2195"/>
    <col min="15613" max="15613" width="13.28515625" style="2195" customWidth="1"/>
    <col min="15614" max="15614" width="10.5703125" style="2195" customWidth="1"/>
    <col min="15615" max="15615" width="12.140625" style="2195" customWidth="1"/>
    <col min="15616" max="15616" width="8.140625" style="2195" bestFit="1" customWidth="1"/>
    <col min="15617" max="15617" width="11.5703125" style="2195" bestFit="1" customWidth="1"/>
    <col min="15618" max="15618" width="11.140625" style="2195" customWidth="1"/>
    <col min="15619" max="15619" width="12.5703125" style="2195" customWidth="1"/>
    <col min="15620" max="15620" width="13.85546875" style="2195" customWidth="1"/>
    <col min="15621" max="15621" width="13.42578125" style="2195" customWidth="1"/>
    <col min="15622" max="15622" width="11" style="2195" customWidth="1"/>
    <col min="15623" max="15623" width="17.7109375" style="2195" bestFit="1" customWidth="1"/>
    <col min="15624" max="15625" width="9.140625" style="2195"/>
    <col min="15626" max="15626" width="10.140625" style="2195" customWidth="1"/>
    <col min="15627" max="15868" width="9.140625" style="2195"/>
    <col min="15869" max="15869" width="13.28515625" style="2195" customWidth="1"/>
    <col min="15870" max="15870" width="10.5703125" style="2195" customWidth="1"/>
    <col min="15871" max="15871" width="12.140625" style="2195" customWidth="1"/>
    <col min="15872" max="15872" width="8.140625" style="2195" bestFit="1" customWidth="1"/>
    <col min="15873" max="15873" width="11.5703125" style="2195" bestFit="1" customWidth="1"/>
    <col min="15874" max="15874" width="11.140625" style="2195" customWidth="1"/>
    <col min="15875" max="15875" width="12.5703125" style="2195" customWidth="1"/>
    <col min="15876" max="15876" width="13.85546875" style="2195" customWidth="1"/>
    <col min="15877" max="15877" width="13.42578125" style="2195" customWidth="1"/>
    <col min="15878" max="15878" width="11" style="2195" customWidth="1"/>
    <col min="15879" max="15879" width="17.7109375" style="2195" bestFit="1" customWidth="1"/>
    <col min="15880" max="15881" width="9.140625" style="2195"/>
    <col min="15882" max="15882" width="10.140625" style="2195" customWidth="1"/>
    <col min="15883" max="16124" width="9.140625" style="2195"/>
    <col min="16125" max="16125" width="13.28515625" style="2195" customWidth="1"/>
    <col min="16126" max="16126" width="10.5703125" style="2195" customWidth="1"/>
    <col min="16127" max="16127" width="12.140625" style="2195" customWidth="1"/>
    <col min="16128" max="16128" width="8.140625" style="2195" bestFit="1" customWidth="1"/>
    <col min="16129" max="16129" width="11.5703125" style="2195" bestFit="1" customWidth="1"/>
    <col min="16130" max="16130" width="11.140625" style="2195" customWidth="1"/>
    <col min="16131" max="16131" width="12.5703125" style="2195" customWidth="1"/>
    <col min="16132" max="16132" width="13.85546875" style="2195" customWidth="1"/>
    <col min="16133" max="16133" width="13.42578125" style="2195" customWidth="1"/>
    <col min="16134" max="16134" width="11" style="2195" customWidth="1"/>
    <col min="16135" max="16135" width="17.7109375" style="2195" bestFit="1" customWidth="1"/>
    <col min="16136" max="16137" width="9.140625" style="2195"/>
    <col min="16138" max="16138" width="10.140625" style="2195" customWidth="1"/>
    <col min="16139" max="16384" width="9.140625" style="2195"/>
  </cols>
  <sheetData>
    <row r="1" spans="1:11" ht="21" customHeight="1">
      <c r="A1" s="2194" t="s">
        <v>3197</v>
      </c>
    </row>
    <row r="2" spans="1:11" ht="19.5" customHeight="1" thickBot="1"/>
    <row r="3" spans="1:11" ht="13.5" customHeight="1" thickTop="1">
      <c r="A3" s="2196"/>
      <c r="B3" s="3400" t="s">
        <v>3198</v>
      </c>
      <c r="C3" s="3401"/>
      <c r="D3" s="3401"/>
      <c r="E3" s="3402"/>
      <c r="F3" s="3385" t="s">
        <v>3199</v>
      </c>
      <c r="G3" s="3385" t="s">
        <v>3200</v>
      </c>
      <c r="H3" s="3385" t="s">
        <v>3201</v>
      </c>
      <c r="I3" s="3385" t="s">
        <v>3202</v>
      </c>
      <c r="J3" s="3388" t="s">
        <v>3203</v>
      </c>
    </row>
    <row r="4" spans="1:11" ht="13.5" customHeight="1">
      <c r="A4" s="2197"/>
      <c r="B4" s="3391" t="s">
        <v>3204</v>
      </c>
      <c r="C4" s="3392"/>
      <c r="D4" s="3392"/>
      <c r="E4" s="3393"/>
      <c r="F4" s="3386"/>
      <c r="G4" s="3386"/>
      <c r="H4" s="3386"/>
      <c r="I4" s="3386"/>
      <c r="J4" s="3389"/>
    </row>
    <row r="5" spans="1:11" ht="16.5" customHeight="1" thickBot="1">
      <c r="A5" s="2197"/>
      <c r="B5" s="3394" t="s">
        <v>3205</v>
      </c>
      <c r="C5" s="3395"/>
      <c r="D5" s="3395"/>
      <c r="E5" s="3396"/>
      <c r="F5" s="3386"/>
      <c r="G5" s="3386"/>
      <c r="H5" s="3386"/>
      <c r="I5" s="3386"/>
      <c r="J5" s="3389"/>
    </row>
    <row r="6" spans="1:11" ht="38.25" customHeight="1" thickTop="1" thickBot="1">
      <c r="A6" s="2198"/>
      <c r="B6" s="2199" t="s">
        <v>3206</v>
      </c>
      <c r="C6" s="2200" t="s">
        <v>3207</v>
      </c>
      <c r="D6" s="2200" t="s">
        <v>246</v>
      </c>
      <c r="E6" s="2201" t="s">
        <v>247</v>
      </c>
      <c r="F6" s="3387"/>
      <c r="G6" s="3387"/>
      <c r="H6" s="3387"/>
      <c r="I6" s="3387"/>
      <c r="J6" s="3390"/>
    </row>
    <row r="7" spans="1:11" ht="24" customHeight="1" thickTop="1" thickBot="1">
      <c r="A7" s="2202"/>
      <c r="B7" s="3397" t="s">
        <v>74</v>
      </c>
      <c r="C7" s="3398"/>
      <c r="D7" s="3398"/>
      <c r="E7" s="3398"/>
      <c r="F7" s="3398"/>
      <c r="G7" s="3398"/>
      <c r="H7" s="3399"/>
      <c r="I7" s="2203" t="s">
        <v>3208</v>
      </c>
      <c r="J7" s="2203" t="s">
        <v>3209</v>
      </c>
    </row>
    <row r="8" spans="1:11" ht="15" hidden="1" customHeight="1" thickTop="1">
      <c r="A8" s="2204" t="s">
        <v>3210</v>
      </c>
      <c r="B8" s="2205">
        <v>1548</v>
      </c>
      <c r="C8" s="2206">
        <v>937</v>
      </c>
      <c r="D8" s="2206">
        <v>57988</v>
      </c>
      <c r="E8" s="2207">
        <v>60473</v>
      </c>
      <c r="F8" s="2208">
        <v>659</v>
      </c>
      <c r="G8" s="2209">
        <v>0.1</v>
      </c>
      <c r="H8" s="2210">
        <f>E8+F8+G8</f>
        <v>61132.1</v>
      </c>
      <c r="I8" s="2211">
        <f>H8/32.3722</f>
        <v>1888.413515300165</v>
      </c>
      <c r="J8" s="2211"/>
      <c r="K8" s="2212"/>
    </row>
    <row r="9" spans="1:11" ht="15.75" hidden="1" customHeight="1">
      <c r="A9" s="2204" t="s">
        <v>3211</v>
      </c>
      <c r="B9" s="2205">
        <v>1467</v>
      </c>
      <c r="C9" s="2206">
        <v>932</v>
      </c>
      <c r="D9" s="2206">
        <v>60945</v>
      </c>
      <c r="E9" s="2213">
        <v>63344</v>
      </c>
      <c r="F9" s="2214">
        <v>651</v>
      </c>
      <c r="G9" s="2215">
        <v>0</v>
      </c>
      <c r="H9" s="2211">
        <f>E9+F9+G9</f>
        <v>63995</v>
      </c>
      <c r="I9" s="2210">
        <f>H9/31.8576</f>
        <v>2008.7828336095624</v>
      </c>
      <c r="J9" s="2210"/>
      <c r="K9" s="2212"/>
    </row>
    <row r="10" spans="1:11" ht="15.75" hidden="1" customHeight="1">
      <c r="A10" s="2204" t="s">
        <v>3212</v>
      </c>
      <c r="B10" s="2214">
        <v>1482</v>
      </c>
      <c r="C10" s="2206">
        <v>4656</v>
      </c>
      <c r="D10" s="2206">
        <v>60862</v>
      </c>
      <c r="E10" s="2216" t="s">
        <v>3213</v>
      </c>
      <c r="F10" s="2214">
        <v>651</v>
      </c>
      <c r="G10" s="2215">
        <v>0.1</v>
      </c>
      <c r="H10" s="2211">
        <v>67651.100000000006</v>
      </c>
      <c r="I10" s="2210">
        <f>H10/31.6102</f>
        <v>2140.1667816084682</v>
      </c>
      <c r="J10" s="2210"/>
      <c r="K10" s="2212"/>
    </row>
    <row r="11" spans="1:11" ht="15.75" hidden="1" customHeight="1">
      <c r="A11" s="2204" t="s">
        <v>3214</v>
      </c>
      <c r="B11" s="2217">
        <v>1500</v>
      </c>
      <c r="C11" s="2206">
        <v>4813</v>
      </c>
      <c r="D11" s="2206">
        <v>59242</v>
      </c>
      <c r="E11" s="2217">
        <v>65555</v>
      </c>
      <c r="F11" s="2214">
        <v>636</v>
      </c>
      <c r="G11" s="2215">
        <v>0.2</v>
      </c>
      <c r="H11" s="2211">
        <v>66191.199999999997</v>
      </c>
      <c r="I11" s="2210">
        <v>2167.8435277009944</v>
      </c>
      <c r="J11" s="2210"/>
      <c r="K11" s="2212"/>
    </row>
    <row r="12" spans="1:11" ht="15.75" hidden="1" customHeight="1">
      <c r="A12" s="2204" t="s">
        <v>3215</v>
      </c>
      <c r="B12" s="2217">
        <v>1555</v>
      </c>
      <c r="C12" s="2206">
        <v>4802</v>
      </c>
      <c r="D12" s="2206">
        <v>60038</v>
      </c>
      <c r="E12" s="2217">
        <v>66395</v>
      </c>
      <c r="F12" s="2214">
        <v>633</v>
      </c>
      <c r="G12" s="2215">
        <v>0.1</v>
      </c>
      <c r="H12" s="2211">
        <f>E12+F12+G12</f>
        <v>67028.100000000006</v>
      </c>
      <c r="I12" s="2210">
        <f>H12/30.2723</f>
        <v>2214.172692527492</v>
      </c>
      <c r="J12" s="2210"/>
      <c r="K12" s="2212"/>
    </row>
    <row r="13" spans="1:11" ht="15.75" hidden="1" customHeight="1">
      <c r="A13" s="2218" t="s">
        <v>3216</v>
      </c>
      <c r="B13" s="2219">
        <v>3867</v>
      </c>
      <c r="C13" s="2206">
        <v>4677</v>
      </c>
      <c r="D13" s="2206">
        <v>58869</v>
      </c>
      <c r="E13" s="2220">
        <v>67413</v>
      </c>
      <c r="F13" s="2221">
        <v>807</v>
      </c>
      <c r="G13" s="2222">
        <v>0.2</v>
      </c>
      <c r="H13" s="2211">
        <f>E13+F13+G13</f>
        <v>68220.2</v>
      </c>
      <c r="I13" s="2210">
        <f>H13/30.7998</f>
        <v>2214.9559412723456</v>
      </c>
      <c r="J13" s="2210"/>
      <c r="K13" s="2212"/>
    </row>
    <row r="14" spans="1:11" ht="15.75" hidden="1" customHeight="1">
      <c r="A14" s="2218" t="s">
        <v>3217</v>
      </c>
      <c r="B14" s="2219">
        <v>4097</v>
      </c>
      <c r="C14" s="2206">
        <v>4651</v>
      </c>
      <c r="D14" s="2206">
        <v>59179</v>
      </c>
      <c r="E14" s="2223">
        <v>67927</v>
      </c>
      <c r="F14" s="2221">
        <v>804</v>
      </c>
      <c r="G14" s="2222">
        <v>0.2</v>
      </c>
      <c r="H14" s="2211">
        <v>68731.199999999997</v>
      </c>
      <c r="I14" s="2210">
        <f>H14/30.8466</f>
        <v>2228.161288440217</v>
      </c>
      <c r="J14" s="2210"/>
      <c r="K14" s="2212"/>
    </row>
    <row r="15" spans="1:11" ht="15.75" hidden="1" customHeight="1">
      <c r="A15" s="2218" t="s">
        <v>3218</v>
      </c>
      <c r="B15" s="2219">
        <v>4614</v>
      </c>
      <c r="C15" s="2206">
        <v>4942</v>
      </c>
      <c r="D15" s="2206">
        <v>61027</v>
      </c>
      <c r="E15" s="2223">
        <v>70583</v>
      </c>
      <c r="F15" s="2221">
        <v>862</v>
      </c>
      <c r="G15" s="2222">
        <v>0.1</v>
      </c>
      <c r="H15" s="2211">
        <v>71445.100000000006</v>
      </c>
      <c r="I15" s="2210">
        <f>H15/33.5965</f>
        <v>2126.5637789650709</v>
      </c>
      <c r="J15" s="2210"/>
      <c r="K15" s="2212"/>
    </row>
    <row r="16" spans="1:11" ht="15.75" hidden="1" customHeight="1">
      <c r="A16" s="2224">
        <v>40369</v>
      </c>
      <c r="B16" s="2219">
        <v>3994</v>
      </c>
      <c r="C16" s="2206">
        <v>4583</v>
      </c>
      <c r="D16" s="2206">
        <v>60698</v>
      </c>
      <c r="E16" s="2223">
        <v>69275</v>
      </c>
      <c r="F16" s="2221">
        <v>1011</v>
      </c>
      <c r="G16" s="2222">
        <v>0.1</v>
      </c>
      <c r="H16" s="2211">
        <v>70286.100000000006</v>
      </c>
      <c r="I16" s="2210">
        <f>H16/30.1817</f>
        <v>2328.765443961076</v>
      </c>
      <c r="J16" s="2210"/>
      <c r="K16" s="2212"/>
    </row>
    <row r="17" spans="1:14" ht="15.75" hidden="1" customHeight="1">
      <c r="A17" s="2224">
        <v>40400</v>
      </c>
      <c r="B17" s="2219">
        <v>4317</v>
      </c>
      <c r="C17" s="2206">
        <v>4648</v>
      </c>
      <c r="D17" s="2206">
        <v>61259</v>
      </c>
      <c r="E17" s="2223">
        <v>70224</v>
      </c>
      <c r="F17" s="2221">
        <v>1027</v>
      </c>
      <c r="G17" s="2222">
        <v>0.2</v>
      </c>
      <c r="H17" s="2211">
        <v>71251.199999999997</v>
      </c>
      <c r="I17" s="2210">
        <f>H17/30.8685</f>
        <v>2308.2171145342336</v>
      </c>
      <c r="J17" s="2210"/>
      <c r="K17" s="2212"/>
    </row>
    <row r="18" spans="1:14" ht="15.75" hidden="1" customHeight="1">
      <c r="A18" s="2224">
        <v>40431</v>
      </c>
      <c r="B18" s="2219">
        <v>4472</v>
      </c>
      <c r="C18" s="2206">
        <v>4665</v>
      </c>
      <c r="D18" s="2206">
        <v>64159</v>
      </c>
      <c r="E18" s="2223">
        <v>73296</v>
      </c>
      <c r="F18" s="2221">
        <v>1033</v>
      </c>
      <c r="G18" s="2222">
        <v>0.2</v>
      </c>
      <c r="H18" s="2211">
        <f t="shared" ref="H18:H36" si="0">E18+F18+G18</f>
        <v>74329.2</v>
      </c>
      <c r="I18" s="2210">
        <f>H18/30.1123</f>
        <v>2468.3999561640921</v>
      </c>
      <c r="J18" s="2210"/>
    </row>
    <row r="19" spans="1:14" ht="15.75" hidden="1" customHeight="1">
      <c r="A19" s="2224">
        <v>40461</v>
      </c>
      <c r="B19" s="2219">
        <v>4517</v>
      </c>
      <c r="C19" s="2206">
        <v>4672</v>
      </c>
      <c r="D19" s="2206">
        <f>E19-C19-B19</f>
        <v>63543</v>
      </c>
      <c r="E19" s="2223">
        <v>72732</v>
      </c>
      <c r="F19" s="2221">
        <v>1034</v>
      </c>
      <c r="G19" s="2222">
        <v>0.1</v>
      </c>
      <c r="H19" s="2211">
        <f t="shared" si="0"/>
        <v>73766.100000000006</v>
      </c>
      <c r="I19" s="2210">
        <f>H19/29.8251</f>
        <v>2473.2892764818898</v>
      </c>
      <c r="J19" s="2210"/>
    </row>
    <row r="20" spans="1:14" ht="18.75" hidden="1" customHeight="1">
      <c r="A20" s="2225">
        <v>40492</v>
      </c>
      <c r="B20" s="2219">
        <v>4594</v>
      </c>
      <c r="C20" s="2206">
        <v>4636</v>
      </c>
      <c r="D20" s="2206">
        <f>E20-C20-B20</f>
        <v>65831</v>
      </c>
      <c r="E20" s="2223">
        <v>75061</v>
      </c>
      <c r="F20" s="2214">
        <v>1024</v>
      </c>
      <c r="G20" s="2222">
        <v>0.1</v>
      </c>
      <c r="H20" s="2211">
        <f t="shared" si="0"/>
        <v>76085.100000000006</v>
      </c>
      <c r="I20" s="2210">
        <f>H20/30.4308</f>
        <v>2500.2661776883947</v>
      </c>
      <c r="J20" s="2210"/>
    </row>
    <row r="21" spans="1:14" ht="18.75" hidden="1" customHeight="1">
      <c r="A21" s="2225">
        <v>40522</v>
      </c>
      <c r="B21" s="2226">
        <v>4850</v>
      </c>
      <c r="C21" s="2206">
        <v>4675</v>
      </c>
      <c r="D21" s="2206">
        <v>68506</v>
      </c>
      <c r="E21" s="2227">
        <v>78031</v>
      </c>
      <c r="F21" s="2205">
        <v>1033</v>
      </c>
      <c r="G21" s="2209">
        <v>0.1</v>
      </c>
      <c r="H21" s="2211">
        <f t="shared" si="0"/>
        <v>79064.100000000006</v>
      </c>
      <c r="I21" s="2211">
        <f>H21/30.3908</f>
        <v>2601.5800834463066</v>
      </c>
      <c r="J21" s="2211"/>
    </row>
    <row r="22" spans="1:14" ht="18.75" hidden="1" customHeight="1">
      <c r="A22" s="2225">
        <v>40554</v>
      </c>
      <c r="B22" s="2226">
        <v>4453</v>
      </c>
      <c r="C22" s="2206">
        <v>4604</v>
      </c>
      <c r="D22" s="2206">
        <v>65545</v>
      </c>
      <c r="E22" s="2227">
        <f>B22+C22+D22</f>
        <v>74602</v>
      </c>
      <c r="F22" s="2205">
        <v>1200</v>
      </c>
      <c r="G22" s="2209">
        <v>0.2</v>
      </c>
      <c r="H22" s="2211">
        <f t="shared" si="0"/>
        <v>75802.2</v>
      </c>
      <c r="I22" s="2211">
        <f>H22/29.4799</f>
        <v>2571.3180845253883</v>
      </c>
      <c r="J22" s="2211">
        <v>4.2705464788732392</v>
      </c>
    </row>
    <row r="23" spans="1:14" ht="24" hidden="1" customHeight="1">
      <c r="A23" s="2225">
        <v>40585</v>
      </c>
      <c r="B23" s="2226">
        <v>4676</v>
      </c>
      <c r="C23" s="2206">
        <v>4583</v>
      </c>
      <c r="D23" s="2206">
        <v>65321</v>
      </c>
      <c r="E23" s="2227">
        <f t="shared" ref="E23:E33" si="1">B23+C23+D23</f>
        <v>74580</v>
      </c>
      <c r="F23" s="2205">
        <v>1199</v>
      </c>
      <c r="G23" s="2209">
        <v>0.1</v>
      </c>
      <c r="H23" s="2211">
        <f t="shared" si="0"/>
        <v>75779.100000000006</v>
      </c>
      <c r="I23" s="2211">
        <f>H23/29.2492</f>
        <v>2590.8093212805825</v>
      </c>
      <c r="J23" s="2211">
        <v>4.2692450704225351</v>
      </c>
    </row>
    <row r="24" spans="1:14" ht="24" hidden="1" customHeight="1">
      <c r="A24" s="2225">
        <v>40613</v>
      </c>
      <c r="B24" s="2219">
        <v>4586</v>
      </c>
      <c r="C24" s="2217">
        <v>4475</v>
      </c>
      <c r="D24" s="2206">
        <v>67264</v>
      </c>
      <c r="E24" s="2227">
        <f t="shared" si="1"/>
        <v>76325</v>
      </c>
      <c r="F24" s="2217">
        <v>1172</v>
      </c>
      <c r="G24" s="2209">
        <v>0.1</v>
      </c>
      <c r="H24" s="2228">
        <f t="shared" si="0"/>
        <v>77497.100000000006</v>
      </c>
      <c r="I24" s="2211">
        <f>H24/28.3805</f>
        <v>2730.646042176847</v>
      </c>
      <c r="J24" s="2211">
        <v>4.3660338028169017</v>
      </c>
    </row>
    <row r="25" spans="1:14" ht="24" hidden="1" customHeight="1">
      <c r="A25" s="2225">
        <v>40644</v>
      </c>
      <c r="B25" s="2226">
        <v>4758</v>
      </c>
      <c r="C25" s="2206">
        <v>4429</v>
      </c>
      <c r="D25" s="2206">
        <v>66475</v>
      </c>
      <c r="E25" s="2227">
        <f t="shared" si="1"/>
        <v>75662</v>
      </c>
      <c r="F25" s="2205">
        <v>1159</v>
      </c>
      <c r="G25" s="2209">
        <v>0.2</v>
      </c>
      <c r="H25" s="2211">
        <f t="shared" si="0"/>
        <v>76821.2</v>
      </c>
      <c r="I25" s="2211">
        <f>H25/27.3973</f>
        <v>2803.9697342438849</v>
      </c>
      <c r="J25" s="2211">
        <v>4.3279549295774649</v>
      </c>
    </row>
    <row r="26" spans="1:14" ht="24" hidden="1" customHeight="1">
      <c r="A26" s="2225">
        <v>40674</v>
      </c>
      <c r="B26" s="2226">
        <v>4890</v>
      </c>
      <c r="C26" s="2206">
        <v>4466</v>
      </c>
      <c r="D26" s="2206">
        <v>67861</v>
      </c>
      <c r="E26" s="2227">
        <f t="shared" si="1"/>
        <v>77217</v>
      </c>
      <c r="F26" s="2205">
        <v>1236</v>
      </c>
      <c r="G26" s="2209">
        <v>0.1</v>
      </c>
      <c r="H26" s="2211">
        <f t="shared" si="0"/>
        <v>78453.100000000006</v>
      </c>
      <c r="I26" s="2211">
        <f>H26/28.0719</f>
        <v>2794.7199868908056</v>
      </c>
      <c r="J26" s="2211">
        <v>4.4198929577464794</v>
      </c>
    </row>
    <row r="27" spans="1:14" ht="24" hidden="1" customHeight="1">
      <c r="A27" s="2225">
        <v>40695</v>
      </c>
      <c r="B27" s="2226">
        <v>4861</v>
      </c>
      <c r="C27" s="2206">
        <v>4541</v>
      </c>
      <c r="D27" s="2206">
        <v>70852</v>
      </c>
      <c r="E27" s="2227">
        <f t="shared" si="1"/>
        <v>80254</v>
      </c>
      <c r="F27" s="2205">
        <v>1253</v>
      </c>
      <c r="G27" s="2209">
        <v>0.1</v>
      </c>
      <c r="H27" s="2211">
        <f t="shared" si="0"/>
        <v>81507.100000000006</v>
      </c>
      <c r="I27" s="2211">
        <f>H27/28.4684</f>
        <v>2863.0727403015276</v>
      </c>
      <c r="J27" s="2211">
        <v>4.5919492957746479</v>
      </c>
    </row>
    <row r="28" spans="1:14" ht="24" hidden="1" customHeight="1">
      <c r="A28" s="2225">
        <v>40725</v>
      </c>
      <c r="B28" s="2226">
        <v>5075</v>
      </c>
      <c r="C28" s="2206">
        <v>4442</v>
      </c>
      <c r="D28" s="2206">
        <v>69531</v>
      </c>
      <c r="E28" s="2227">
        <f t="shared" si="1"/>
        <v>79048</v>
      </c>
      <c r="F28" s="2205">
        <v>1268</v>
      </c>
      <c r="G28" s="2209">
        <v>0.1</v>
      </c>
      <c r="H28" s="2211">
        <f t="shared" si="0"/>
        <v>80316.100000000006</v>
      </c>
      <c r="I28" s="2211">
        <f>H28/27.781</f>
        <v>2891.0442388682918</v>
      </c>
      <c r="J28" s="2211">
        <v>4.5248507042253525</v>
      </c>
    </row>
    <row r="29" spans="1:14" ht="0.75" hidden="1" customHeight="1">
      <c r="A29" s="2225">
        <v>40756</v>
      </c>
      <c r="B29" s="2226">
        <v>5668</v>
      </c>
      <c r="C29" s="2206">
        <v>4497</v>
      </c>
      <c r="D29" s="2206">
        <v>69331</v>
      </c>
      <c r="E29" s="2227">
        <f t="shared" si="1"/>
        <v>79496</v>
      </c>
      <c r="F29" s="2205">
        <v>1282</v>
      </c>
      <c r="G29" s="2209">
        <v>0.2</v>
      </c>
      <c r="H29" s="2211">
        <f t="shared" si="0"/>
        <v>80778.2</v>
      </c>
      <c r="I29" s="2211">
        <f>H29/27.919</f>
        <v>2893.3056341559509</v>
      </c>
      <c r="J29" s="2211">
        <v>4.5508845070422534</v>
      </c>
    </row>
    <row r="30" spans="1:14" ht="24" hidden="1" customHeight="1">
      <c r="A30" s="2225">
        <v>40787</v>
      </c>
      <c r="B30" s="2229">
        <v>5942</v>
      </c>
      <c r="C30" s="2206">
        <v>4544</v>
      </c>
      <c r="D30" s="2206">
        <v>68208</v>
      </c>
      <c r="E30" s="2227">
        <f t="shared" si="1"/>
        <v>78694</v>
      </c>
      <c r="F30" s="2205">
        <v>1366</v>
      </c>
      <c r="G30" s="2209">
        <v>0.1</v>
      </c>
      <c r="H30" s="2211">
        <f t="shared" si="0"/>
        <v>80060.100000000006</v>
      </c>
      <c r="I30" s="2210">
        <f>H30/29.0268</f>
        <v>2758.1441977758486</v>
      </c>
      <c r="J30" s="2211">
        <v>4.5104281690140846</v>
      </c>
    </row>
    <row r="31" spans="1:14" ht="24" hidden="1" customHeight="1">
      <c r="A31" s="2225">
        <v>40817</v>
      </c>
      <c r="B31" s="2229">
        <v>6206</v>
      </c>
      <c r="C31" s="2206">
        <v>4588</v>
      </c>
      <c r="D31" s="2206">
        <v>70437</v>
      </c>
      <c r="E31" s="2227">
        <f t="shared" si="1"/>
        <v>81231</v>
      </c>
      <c r="F31" s="2205">
        <v>1375</v>
      </c>
      <c r="G31" s="2209">
        <v>0.1</v>
      </c>
      <c r="H31" s="2211">
        <f t="shared" si="0"/>
        <v>82606.100000000006</v>
      </c>
      <c r="I31" s="2210">
        <f>H31/28.7684</f>
        <v>2871.4179446893122</v>
      </c>
      <c r="J31" s="2211">
        <v>4.6538647887323945</v>
      </c>
      <c r="M31" s="2230"/>
    </row>
    <row r="32" spans="1:14" ht="24" hidden="1" customHeight="1">
      <c r="A32" s="2225">
        <v>40848</v>
      </c>
      <c r="B32" s="2229">
        <v>6299</v>
      </c>
      <c r="C32" s="2206">
        <v>4548</v>
      </c>
      <c r="D32" s="2206">
        <v>66783</v>
      </c>
      <c r="E32" s="2227">
        <f t="shared" si="1"/>
        <v>77630</v>
      </c>
      <c r="F32" s="2205">
        <v>1369</v>
      </c>
      <c r="G32" s="2209">
        <v>0.2</v>
      </c>
      <c r="H32" s="2211">
        <f t="shared" si="0"/>
        <v>78999.199999999997</v>
      </c>
      <c r="I32" s="2210">
        <f>H32/29.2762</f>
        <v>2698.4103128138213</v>
      </c>
      <c r="J32" s="2211">
        <v>4.4506591549295775</v>
      </c>
      <c r="M32" s="2230"/>
      <c r="N32" s="2230"/>
    </row>
    <row r="33" spans="1:14" ht="24" hidden="1" customHeight="1">
      <c r="A33" s="2225">
        <v>40878</v>
      </c>
      <c r="B33" s="2229">
        <v>5748</v>
      </c>
      <c r="C33" s="2206">
        <v>4484</v>
      </c>
      <c r="D33" s="2206">
        <v>69822</v>
      </c>
      <c r="E33" s="2227">
        <f t="shared" si="1"/>
        <v>80054</v>
      </c>
      <c r="F33" s="2205">
        <v>1420</v>
      </c>
      <c r="G33" s="2209">
        <v>0.2</v>
      </c>
      <c r="H33" s="2211">
        <f t="shared" si="0"/>
        <v>81474.2</v>
      </c>
      <c r="I33" s="2210">
        <f>H33/29.3262</f>
        <v>2778.205154435283</v>
      </c>
      <c r="J33" s="2211">
        <v>4.590095774647887</v>
      </c>
    </row>
    <row r="34" spans="1:14" ht="24" hidden="1" customHeight="1">
      <c r="A34" s="2225">
        <v>40909</v>
      </c>
      <c r="B34" s="2229">
        <v>6382</v>
      </c>
      <c r="C34" s="2206">
        <v>4503</v>
      </c>
      <c r="D34" s="2206">
        <v>69112</v>
      </c>
      <c r="E34" s="2227">
        <v>79997</v>
      </c>
      <c r="F34" s="2205">
        <v>1425</v>
      </c>
      <c r="G34" s="2209">
        <v>0.2</v>
      </c>
      <c r="H34" s="2211">
        <f t="shared" si="0"/>
        <v>81422.2</v>
      </c>
      <c r="I34" s="2210">
        <f>H34/29.1257</f>
        <v>2795.5448281071358</v>
      </c>
      <c r="J34" s="2211">
        <v>4.3</v>
      </c>
    </row>
    <row r="35" spans="1:14" ht="24" hidden="1" customHeight="1">
      <c r="A35" s="2225">
        <v>40940</v>
      </c>
      <c r="B35" s="2229">
        <v>6458</v>
      </c>
      <c r="C35" s="2206">
        <v>4467</v>
      </c>
      <c r="D35" s="2206">
        <v>68981</v>
      </c>
      <c r="E35" s="2227">
        <v>79906</v>
      </c>
      <c r="F35" s="2205">
        <v>1443</v>
      </c>
      <c r="G35" s="2209">
        <v>0.2</v>
      </c>
      <c r="H35" s="2211">
        <f t="shared" si="0"/>
        <v>81349.2</v>
      </c>
      <c r="I35" s="2210">
        <f>H35/28.7562</f>
        <v>2828.9273269764431</v>
      </c>
      <c r="J35" s="2211">
        <v>4.3</v>
      </c>
    </row>
    <row r="36" spans="1:14" ht="24" hidden="1" customHeight="1">
      <c r="A36" s="2225">
        <v>40969</v>
      </c>
      <c r="B36" s="2229">
        <v>6040</v>
      </c>
      <c r="C36" s="2206">
        <v>4459</v>
      </c>
      <c r="D36" s="2206">
        <v>68870</v>
      </c>
      <c r="E36" s="2227">
        <v>79369</v>
      </c>
      <c r="F36" s="2205">
        <v>1452</v>
      </c>
      <c r="G36" s="2209">
        <v>0.1</v>
      </c>
      <c r="H36" s="2211">
        <f t="shared" si="0"/>
        <v>80821.100000000006</v>
      </c>
      <c r="I36" s="2210">
        <v>2798.2</v>
      </c>
      <c r="J36" s="2211">
        <v>4.3</v>
      </c>
    </row>
    <row r="37" spans="1:14" ht="24" hidden="1" customHeight="1">
      <c r="A37" s="2225">
        <v>41000</v>
      </c>
      <c r="B37" s="2229">
        <v>6079</v>
      </c>
      <c r="C37" s="2206">
        <v>4495</v>
      </c>
      <c r="D37" s="2206">
        <v>68421</v>
      </c>
      <c r="E37" s="2231">
        <v>78995</v>
      </c>
      <c r="F37" s="2205">
        <v>1462</v>
      </c>
      <c r="G37" s="2209">
        <v>0.1</v>
      </c>
      <c r="H37" s="2211">
        <v>80457.100000000006</v>
      </c>
      <c r="I37" s="2210">
        <v>2771.4</v>
      </c>
      <c r="J37" s="2211">
        <v>4.3</v>
      </c>
    </row>
    <row r="38" spans="1:14" ht="24" hidden="1" customHeight="1">
      <c r="A38" s="2225">
        <v>41030</v>
      </c>
      <c r="B38" s="2229">
        <v>5875</v>
      </c>
      <c r="C38" s="2206">
        <v>4503</v>
      </c>
      <c r="D38" s="2206">
        <v>67703</v>
      </c>
      <c r="E38" s="2231">
        <v>78081</v>
      </c>
      <c r="F38" s="2205">
        <v>1463</v>
      </c>
      <c r="G38" s="2209">
        <v>0.2</v>
      </c>
      <c r="H38" s="2211">
        <f t="shared" ref="H38:H58" si="2">E38+F38+G38</f>
        <v>79544.2</v>
      </c>
      <c r="I38" s="2210">
        <v>2667.5</v>
      </c>
      <c r="J38" s="2211">
        <v>4.2</v>
      </c>
    </row>
    <row r="39" spans="1:14" ht="1.5" hidden="1" customHeight="1">
      <c r="A39" s="2225">
        <v>41061</v>
      </c>
      <c r="B39" s="2229">
        <v>6118</v>
      </c>
      <c r="C39" s="2206">
        <v>4676</v>
      </c>
      <c r="D39" s="2206">
        <v>74295</v>
      </c>
      <c r="E39" s="2231">
        <v>85089</v>
      </c>
      <c r="F39" s="2205">
        <v>1582</v>
      </c>
      <c r="G39" s="2209">
        <v>0.1</v>
      </c>
      <c r="H39" s="2211">
        <f t="shared" si="2"/>
        <v>86671.1</v>
      </c>
      <c r="I39" s="2210">
        <v>2798</v>
      </c>
      <c r="J39" s="2211">
        <v>4.5999999999999996</v>
      </c>
    </row>
    <row r="40" spans="1:14" ht="24" hidden="1" customHeight="1">
      <c r="A40" s="2225">
        <v>41091</v>
      </c>
      <c r="B40" s="2229">
        <v>6305</v>
      </c>
      <c r="C40" s="2206">
        <v>4654</v>
      </c>
      <c r="D40" s="2206">
        <v>75348</v>
      </c>
      <c r="E40" s="2231">
        <v>86307</v>
      </c>
      <c r="F40" s="2205">
        <v>1568</v>
      </c>
      <c r="G40" s="2209">
        <v>0.2</v>
      </c>
      <c r="H40" s="2211">
        <f t="shared" si="2"/>
        <v>87875.199999999997</v>
      </c>
      <c r="I40" s="2210">
        <v>2845.4</v>
      </c>
      <c r="J40" s="2211">
        <v>4.7</v>
      </c>
      <c r="N40" s="2232"/>
    </row>
    <row r="41" spans="1:14" ht="24" hidden="1" customHeight="1">
      <c r="A41" s="2225">
        <v>41122</v>
      </c>
      <c r="B41" s="2229">
        <v>6361</v>
      </c>
      <c r="C41" s="2206">
        <v>4631</v>
      </c>
      <c r="D41" s="2206">
        <v>75754</v>
      </c>
      <c r="E41" s="2231">
        <v>86746</v>
      </c>
      <c r="F41" s="2205">
        <v>1561</v>
      </c>
      <c r="G41" s="2209">
        <v>0.2</v>
      </c>
      <c r="H41" s="2211">
        <f t="shared" si="2"/>
        <v>88307.199999999997</v>
      </c>
      <c r="I41" s="2210">
        <v>2897.9</v>
      </c>
      <c r="J41" s="2211">
        <v>4.7</v>
      </c>
      <c r="N41" s="2232"/>
    </row>
    <row r="42" spans="1:14" ht="24" hidden="1" customHeight="1">
      <c r="A42" s="2225" t="s">
        <v>3219</v>
      </c>
      <c r="B42" s="2229">
        <v>6817</v>
      </c>
      <c r="C42" s="2206">
        <v>4685</v>
      </c>
      <c r="D42" s="2206">
        <v>76297</v>
      </c>
      <c r="E42" s="2231">
        <v>87799</v>
      </c>
      <c r="F42" s="2205">
        <v>1580</v>
      </c>
      <c r="G42" s="2209">
        <v>0.2</v>
      </c>
      <c r="H42" s="2211">
        <f t="shared" si="2"/>
        <v>89379.199999999997</v>
      </c>
      <c r="I42" s="2210">
        <v>2935.9</v>
      </c>
      <c r="J42" s="2211">
        <v>4.7</v>
      </c>
      <c r="M42" s="2232"/>
    </row>
    <row r="43" spans="1:14" ht="24" hidden="1" customHeight="1">
      <c r="A43" s="2225">
        <v>41183</v>
      </c>
      <c r="B43" s="2229">
        <v>6689</v>
      </c>
      <c r="C43" s="2206">
        <v>4761</v>
      </c>
      <c r="D43" s="2206">
        <v>76522</v>
      </c>
      <c r="E43" s="2231">
        <v>87972</v>
      </c>
      <c r="F43" s="2205">
        <v>1606</v>
      </c>
      <c r="G43" s="2209">
        <v>0.1</v>
      </c>
      <c r="H43" s="2211">
        <f t="shared" si="2"/>
        <v>89578.1</v>
      </c>
      <c r="I43" s="2210">
        <v>2891.8</v>
      </c>
      <c r="J43" s="2211">
        <v>4.7</v>
      </c>
      <c r="M43" s="2232"/>
    </row>
    <row r="44" spans="1:14" ht="24" hidden="1" customHeight="1">
      <c r="A44" s="2225">
        <v>41214</v>
      </c>
      <c r="B44" s="2229">
        <v>6694</v>
      </c>
      <c r="C44" s="2206">
        <v>4714</v>
      </c>
      <c r="D44" s="2206">
        <v>78955</v>
      </c>
      <c r="E44" s="2231">
        <v>90363</v>
      </c>
      <c r="F44" s="2205">
        <v>1588</v>
      </c>
      <c r="G44" s="2209">
        <v>0.2</v>
      </c>
      <c r="H44" s="2211">
        <f t="shared" si="2"/>
        <v>91951.2</v>
      </c>
      <c r="I44" s="2210">
        <v>2990.7</v>
      </c>
      <c r="J44" s="2211">
        <v>4.9000000000000004</v>
      </c>
      <c r="M44" s="2232"/>
    </row>
    <row r="45" spans="1:14" ht="24" hidden="1" customHeight="1">
      <c r="A45" s="2225" t="s">
        <v>3220</v>
      </c>
      <c r="B45" s="2229">
        <v>6399</v>
      </c>
      <c r="C45" s="2206">
        <v>4688</v>
      </c>
      <c r="D45" s="2206">
        <v>80322</v>
      </c>
      <c r="E45" s="2231">
        <v>91409</v>
      </c>
      <c r="F45" s="2205">
        <v>1579</v>
      </c>
      <c r="G45" s="2209">
        <v>0.2</v>
      </c>
      <c r="H45" s="2211">
        <f t="shared" si="2"/>
        <v>92988.2</v>
      </c>
      <c r="I45" s="2210">
        <v>3046.3</v>
      </c>
      <c r="J45" s="2211">
        <v>4.9000000000000004</v>
      </c>
      <c r="M45" s="2232"/>
    </row>
    <row r="46" spans="1:14" ht="24" hidden="1" customHeight="1">
      <c r="A46" s="2225" t="s">
        <v>3221</v>
      </c>
      <c r="B46" s="2229">
        <v>6410</v>
      </c>
      <c r="C46" s="2206">
        <v>4681</v>
      </c>
      <c r="D46" s="2206">
        <v>82858</v>
      </c>
      <c r="E46" s="2231">
        <v>93949</v>
      </c>
      <c r="F46" s="2205">
        <v>1577</v>
      </c>
      <c r="G46" s="2209">
        <v>0.1</v>
      </c>
      <c r="H46" s="2211">
        <f t="shared" si="2"/>
        <v>95526.1</v>
      </c>
      <c r="I46" s="2210">
        <v>3142.2</v>
      </c>
      <c r="J46" s="2211">
        <v>5.0999999999999996</v>
      </c>
      <c r="M46" s="2232"/>
    </row>
    <row r="47" spans="1:14" ht="24" hidden="1" customHeight="1">
      <c r="A47" s="2233" t="s">
        <v>3222</v>
      </c>
      <c r="B47" s="2229">
        <v>6195</v>
      </c>
      <c r="C47" s="2206">
        <v>4664</v>
      </c>
      <c r="D47" s="2206">
        <v>82523</v>
      </c>
      <c r="E47" s="2227">
        <v>93382</v>
      </c>
      <c r="F47" s="2217">
        <v>1571</v>
      </c>
      <c r="G47" s="2209">
        <v>0.1</v>
      </c>
      <c r="H47" s="2211">
        <f t="shared" si="2"/>
        <v>94953.1</v>
      </c>
      <c r="I47" s="2211">
        <v>3081</v>
      </c>
      <c r="J47" s="2211">
        <v>4.7300945240793553</v>
      </c>
      <c r="K47" s="2232"/>
      <c r="M47" s="2232"/>
    </row>
    <row r="48" spans="1:14" ht="24" hidden="1" customHeight="1">
      <c r="A48" s="2234" t="s">
        <v>3223</v>
      </c>
      <c r="B48" s="2235">
        <v>5542</v>
      </c>
      <c r="C48" s="2236">
        <v>4651</v>
      </c>
      <c r="D48" s="2236">
        <v>93693</v>
      </c>
      <c r="E48" s="2237">
        <v>103886</v>
      </c>
      <c r="F48" s="2238">
        <v>1568</v>
      </c>
      <c r="G48" s="2239">
        <v>0.1</v>
      </c>
      <c r="H48" s="2211">
        <f t="shared" si="2"/>
        <v>105454.1</v>
      </c>
      <c r="I48" s="2240">
        <v>3391.5</v>
      </c>
      <c r="J48" s="2211">
        <v>5.253202485771574</v>
      </c>
      <c r="K48" s="2232"/>
      <c r="M48" s="2232"/>
    </row>
    <row r="49" spans="1:13" ht="24" hidden="1" customHeight="1">
      <c r="A49" s="2234" t="s">
        <v>3224</v>
      </c>
      <c r="B49" s="2235">
        <v>4699</v>
      </c>
      <c r="C49" s="2236">
        <v>4662</v>
      </c>
      <c r="D49" s="2236">
        <v>94063</v>
      </c>
      <c r="E49" s="2241">
        <v>103424</v>
      </c>
      <c r="F49" s="2238">
        <v>1616</v>
      </c>
      <c r="G49" s="2239">
        <v>0.1</v>
      </c>
      <c r="H49" s="2211">
        <f t="shared" si="2"/>
        <v>105040.1</v>
      </c>
      <c r="I49" s="2242">
        <v>3386.9</v>
      </c>
      <c r="J49" s="2210">
        <v>5.2325790502758514</v>
      </c>
      <c r="K49" s="2232"/>
      <c r="M49" s="2232"/>
    </row>
    <row r="50" spans="1:13" ht="24" customHeight="1" thickTop="1">
      <c r="A50" s="2234" t="s">
        <v>3225</v>
      </c>
      <c r="B50" s="2235">
        <v>5165</v>
      </c>
      <c r="C50" s="2236">
        <v>4662</v>
      </c>
      <c r="D50" s="2236">
        <v>90668</v>
      </c>
      <c r="E50" s="2241">
        <v>100495</v>
      </c>
      <c r="F50" s="2238">
        <v>1619</v>
      </c>
      <c r="G50" s="2239">
        <v>0.1</v>
      </c>
      <c r="H50" s="2211">
        <f t="shared" si="2"/>
        <v>102114.1</v>
      </c>
      <c r="I50" s="2242">
        <v>3316.3</v>
      </c>
      <c r="J50" s="2210">
        <v>5.0868201800814479</v>
      </c>
      <c r="K50" s="2232"/>
      <c r="M50" s="2232"/>
    </row>
    <row r="51" spans="1:13" ht="24" customHeight="1">
      <c r="A51" s="2234" t="s">
        <v>3226</v>
      </c>
      <c r="B51" s="2235">
        <v>5407</v>
      </c>
      <c r="C51" s="2236">
        <v>4667</v>
      </c>
      <c r="D51" s="2236">
        <v>89022</v>
      </c>
      <c r="E51" s="2241">
        <v>99096</v>
      </c>
      <c r="F51" s="2238">
        <v>1620</v>
      </c>
      <c r="G51" s="2239">
        <v>0.1</v>
      </c>
      <c r="H51" s="2211">
        <f t="shared" si="2"/>
        <v>100716.1</v>
      </c>
      <c r="I51" s="2242">
        <v>3271.5</v>
      </c>
      <c r="J51" s="2211">
        <v>5.0171787239871986</v>
      </c>
      <c r="K51" s="2232"/>
      <c r="M51" s="2232"/>
    </row>
    <row r="52" spans="1:13" ht="24" customHeight="1">
      <c r="A52" s="2234" t="s">
        <v>3227</v>
      </c>
      <c r="B52" s="2235">
        <v>5140</v>
      </c>
      <c r="C52" s="2236">
        <v>4667</v>
      </c>
      <c r="D52" s="2236">
        <v>90922</v>
      </c>
      <c r="E52" s="2241">
        <v>100729</v>
      </c>
      <c r="F52" s="2238">
        <v>1717</v>
      </c>
      <c r="G52" s="2239">
        <v>0.1</v>
      </c>
      <c r="H52" s="2211">
        <f t="shared" si="2"/>
        <v>102446.1</v>
      </c>
      <c r="I52" s="2242">
        <f>H52/30.4674</f>
        <v>3362.4825223025268</v>
      </c>
      <c r="J52" s="2211">
        <v>5.1033587805272926</v>
      </c>
      <c r="K52" s="2232"/>
      <c r="M52" s="2232"/>
    </row>
    <row r="53" spans="1:13" ht="24" customHeight="1">
      <c r="A53" s="2234" t="s">
        <v>3228</v>
      </c>
      <c r="B53" s="2235">
        <v>5043</v>
      </c>
      <c r="C53" s="2236">
        <v>4671</v>
      </c>
      <c r="D53" s="2236">
        <v>90302</v>
      </c>
      <c r="E53" s="2241">
        <v>100016</v>
      </c>
      <c r="F53" s="2238">
        <v>1698</v>
      </c>
      <c r="G53" s="2239">
        <v>0.1</v>
      </c>
      <c r="H53" s="2211">
        <f t="shared" si="2"/>
        <v>101714.1</v>
      </c>
      <c r="I53" s="2242">
        <f>H53/30.0499</f>
        <v>3384.8398829946191</v>
      </c>
      <c r="J53" s="2211">
        <v>5.0668941554478995</v>
      </c>
      <c r="K53" s="2232"/>
      <c r="M53" s="2232"/>
    </row>
    <row r="54" spans="1:13" ht="24" customHeight="1">
      <c r="A54" s="2234" t="s">
        <v>3229</v>
      </c>
      <c r="B54" s="2235">
        <v>4757</v>
      </c>
      <c r="C54" s="2236">
        <v>4650</v>
      </c>
      <c r="D54" s="2236">
        <v>89619</v>
      </c>
      <c r="E54" s="2241">
        <v>99026</v>
      </c>
      <c r="F54" s="2238">
        <v>1761</v>
      </c>
      <c r="G54" s="2239">
        <v>0.1</v>
      </c>
      <c r="H54" s="2211">
        <f t="shared" si="2"/>
        <v>100787.1</v>
      </c>
      <c r="I54" s="2242">
        <f>H54/30.2987</f>
        <v>3326.4496496549359</v>
      </c>
      <c r="J54" s="2211">
        <v>5.020715593359653</v>
      </c>
      <c r="K54" s="2232"/>
      <c r="M54" s="2232"/>
    </row>
    <row r="55" spans="1:13" ht="24" customHeight="1">
      <c r="A55" s="2234" t="s">
        <v>3230</v>
      </c>
      <c r="B55" s="2235">
        <v>4536</v>
      </c>
      <c r="C55" s="2236">
        <v>4630</v>
      </c>
      <c r="D55" s="2236">
        <v>94092</v>
      </c>
      <c r="E55" s="2241">
        <v>103258</v>
      </c>
      <c r="F55" s="2238">
        <v>1751</v>
      </c>
      <c r="G55" s="2239">
        <v>0.1</v>
      </c>
      <c r="H55" s="2211">
        <f t="shared" si="2"/>
        <v>105009.1</v>
      </c>
      <c r="I55" s="2242">
        <f>H55/30.0792</f>
        <v>3491.0868640123408</v>
      </c>
      <c r="J55" s="2211">
        <v>5.2310347833667512</v>
      </c>
      <c r="K55" s="2232"/>
      <c r="M55" s="2232"/>
    </row>
    <row r="56" spans="1:13" ht="24" customHeight="1">
      <c r="A56" s="2234" t="s">
        <v>3231</v>
      </c>
      <c r="B56" s="2235">
        <v>4776</v>
      </c>
      <c r="C56" s="2236">
        <v>4648</v>
      </c>
      <c r="D56" s="2236">
        <v>93308</v>
      </c>
      <c r="E56" s="2241">
        <v>102732</v>
      </c>
      <c r="F56" s="2238">
        <v>1751</v>
      </c>
      <c r="G56" s="2239">
        <v>0.1</v>
      </c>
      <c r="H56" s="2211">
        <f t="shared" si="2"/>
        <v>104483.1</v>
      </c>
      <c r="I56" s="2242">
        <v>3459.3</v>
      </c>
      <c r="J56" s="2211">
        <v>5.2048320609736356</v>
      </c>
      <c r="K56" s="2232"/>
      <c r="M56" s="2232"/>
    </row>
    <row r="57" spans="1:13" ht="24" customHeight="1">
      <c r="A57" s="2234" t="s">
        <v>3232</v>
      </c>
      <c r="B57" s="2235">
        <v>5036</v>
      </c>
      <c r="C57" s="2236">
        <v>4637</v>
      </c>
      <c r="D57" s="2236">
        <v>98772</v>
      </c>
      <c r="E57" s="2241">
        <v>108445</v>
      </c>
      <c r="F57" s="2238">
        <v>1761</v>
      </c>
      <c r="G57" s="2239">
        <v>0.1</v>
      </c>
      <c r="H57" s="2211">
        <f t="shared" si="2"/>
        <v>110206.1</v>
      </c>
      <c r="I57" s="2242">
        <v>3662.5</v>
      </c>
      <c r="J57" s="2211">
        <v>5.4897243981717878</v>
      </c>
      <c r="K57" s="2232"/>
      <c r="M57" s="2232"/>
    </row>
    <row r="58" spans="1:13" ht="24" customHeight="1">
      <c r="A58" s="2234" t="s">
        <v>3233</v>
      </c>
      <c r="B58" s="2235">
        <v>4900</v>
      </c>
      <c r="C58" s="2236">
        <v>4648</v>
      </c>
      <c r="D58" s="2236">
        <v>100713</v>
      </c>
      <c r="E58" s="2241">
        <v>110261</v>
      </c>
      <c r="F58" s="2238">
        <v>1757</v>
      </c>
      <c r="G58" s="2239">
        <v>0.1</v>
      </c>
      <c r="H58" s="2211">
        <f t="shared" si="2"/>
        <v>112018.1</v>
      </c>
      <c r="I58" s="2242">
        <v>3722.9</v>
      </c>
      <c r="J58" s="2211">
        <v>5.6</v>
      </c>
      <c r="K58" s="2232"/>
      <c r="M58" s="2232"/>
    </row>
    <row r="59" spans="1:13" ht="24" customHeight="1">
      <c r="A59" s="2234" t="s">
        <v>3234</v>
      </c>
      <c r="B59" s="2235">
        <v>4867</v>
      </c>
      <c r="C59" s="2236">
        <v>4648</v>
      </c>
      <c r="D59" s="2236">
        <v>105183</v>
      </c>
      <c r="E59" s="2241">
        <v>114698</v>
      </c>
      <c r="F59" s="2238">
        <v>1782</v>
      </c>
      <c r="G59" s="2239">
        <v>0.1</v>
      </c>
      <c r="H59" s="2211">
        <f>E59+F59+G59</f>
        <v>116480.1</v>
      </c>
      <c r="I59" s="2242">
        <v>3885.8</v>
      </c>
      <c r="J59" s="2211">
        <v>5.8</v>
      </c>
      <c r="K59" s="2232"/>
      <c r="M59" s="2232"/>
    </row>
    <row r="60" spans="1:13" ht="24" customHeight="1">
      <c r="A60" s="2234" t="s">
        <v>3235</v>
      </c>
      <c r="B60" s="2235">
        <v>4773</v>
      </c>
      <c r="C60" s="2236">
        <v>4666</v>
      </c>
      <c r="D60" s="2236">
        <v>107597</v>
      </c>
      <c r="E60" s="2241">
        <v>117036</v>
      </c>
      <c r="F60" s="2238">
        <v>1788</v>
      </c>
      <c r="G60" s="2239">
        <v>0</v>
      </c>
      <c r="H60" s="2211">
        <f>E60+F60+G60</f>
        <v>118824</v>
      </c>
      <c r="I60" s="2242">
        <v>3927.7</v>
      </c>
      <c r="J60" s="2211">
        <v>5.9</v>
      </c>
      <c r="K60" s="2232"/>
      <c r="M60" s="2232"/>
    </row>
    <row r="61" spans="1:13" ht="24" customHeight="1">
      <c r="A61" s="2234" t="s">
        <v>3236</v>
      </c>
      <c r="B61" s="2235">
        <v>5001</v>
      </c>
      <c r="C61" s="2236">
        <v>4669</v>
      </c>
      <c r="D61" s="2236">
        <v>109961</v>
      </c>
      <c r="E61" s="2241">
        <v>119631</v>
      </c>
      <c r="F61" s="2238">
        <v>1793</v>
      </c>
      <c r="G61" s="2239">
        <v>0.1</v>
      </c>
      <c r="H61" s="2211">
        <v>121424.1</v>
      </c>
      <c r="I61" s="2242">
        <v>4015.5</v>
      </c>
      <c r="J61" s="2211">
        <v>6</v>
      </c>
      <c r="K61" s="2232"/>
      <c r="M61" s="2232"/>
    </row>
    <row r="62" spans="1:13" ht="24" customHeight="1" thickBot="1">
      <c r="A62" s="2243" t="s">
        <v>3237</v>
      </c>
      <c r="B62" s="2244">
        <v>4960</v>
      </c>
      <c r="C62" s="2245">
        <v>4668</v>
      </c>
      <c r="D62" s="2245">
        <v>111415</v>
      </c>
      <c r="E62" s="2246">
        <v>121043</v>
      </c>
      <c r="F62" s="2244">
        <v>1789</v>
      </c>
      <c r="G62" s="2247">
        <v>0.1</v>
      </c>
      <c r="H62" s="2248">
        <v>122832.1</v>
      </c>
      <c r="I62" s="2249">
        <v>4033.5</v>
      </c>
      <c r="J62" s="2248">
        <v>6.1</v>
      </c>
      <c r="K62" s="2232"/>
      <c r="M62" s="2232"/>
    </row>
    <row r="63" spans="1:13" s="457" customFormat="1" ht="20.25" customHeight="1" thickTop="1">
      <c r="A63" s="2250" t="s">
        <v>3238</v>
      </c>
      <c r="B63" s="2251"/>
      <c r="C63" s="2251"/>
      <c r="D63" s="2251"/>
      <c r="E63" s="2252"/>
      <c r="F63" s="2251"/>
      <c r="G63" s="2251"/>
      <c r="H63" s="2251"/>
      <c r="I63" s="2251"/>
      <c r="J63" s="2251"/>
    </row>
    <row r="64" spans="1:13" ht="15.75" customHeight="1">
      <c r="A64" s="2253" t="s">
        <v>3239</v>
      </c>
      <c r="B64" s="2253"/>
      <c r="D64" s="2252"/>
      <c r="E64" s="2252"/>
      <c r="F64" s="2252"/>
      <c r="G64" s="2254"/>
      <c r="H64" s="2251"/>
      <c r="I64" s="2251"/>
      <c r="J64" s="2251"/>
    </row>
    <row r="65" spans="1:10" ht="15.75" customHeight="1">
      <c r="A65" s="2253" t="s">
        <v>3240</v>
      </c>
      <c r="B65" s="2253"/>
      <c r="D65" s="2252"/>
      <c r="E65" s="2252"/>
      <c r="F65" s="2252"/>
      <c r="G65" s="2254"/>
      <c r="H65" s="2251"/>
      <c r="I65" s="2251"/>
      <c r="J65" s="2251"/>
    </row>
    <row r="66" spans="1:10" ht="18" customHeight="1">
      <c r="A66" s="2255" t="s">
        <v>180</v>
      </c>
    </row>
    <row r="68" spans="1:10">
      <c r="B68" s="2256"/>
      <c r="C68" s="2256"/>
      <c r="E68" s="2256"/>
      <c r="F68" s="2256"/>
    </row>
    <row r="69" spans="1:10">
      <c r="B69" s="2256"/>
      <c r="C69" s="2256"/>
    </row>
    <row r="74" spans="1:10">
      <c r="B74" s="2256"/>
      <c r="C74" s="2256"/>
      <c r="E74" s="2256"/>
      <c r="F74" s="2256"/>
    </row>
    <row r="75" spans="1:10">
      <c r="B75" s="2256"/>
      <c r="C75" s="2256"/>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6"/>
  <sheetViews>
    <sheetView zoomScale="110" zoomScaleNormal="110" workbookViewId="0">
      <selection activeCell="I11" sqref="I11"/>
    </sheetView>
  </sheetViews>
  <sheetFormatPr defaultRowHeight="15"/>
  <cols>
    <col min="1" max="1" width="16" style="2314" customWidth="1"/>
    <col min="2" max="2" width="12.7109375" style="2262" customWidth="1"/>
    <col min="3" max="3" width="11.85546875" style="2262" customWidth="1"/>
    <col min="4" max="4" width="10.42578125" style="2262" customWidth="1"/>
    <col min="5" max="5" width="10.28515625" style="2262" customWidth="1"/>
    <col min="6" max="6" width="8.28515625" style="2262" customWidth="1"/>
    <col min="7" max="7" width="9.85546875" style="2262" customWidth="1"/>
    <col min="8" max="8" width="8.7109375" style="2262" customWidth="1"/>
    <col min="9" max="9" width="9.7109375" style="2262" customWidth="1"/>
    <col min="10" max="10" width="12.85546875" style="2262" customWidth="1"/>
    <col min="11" max="11" width="9.85546875" style="2262" customWidth="1"/>
    <col min="12" max="12" width="9.42578125" style="2262" customWidth="1"/>
    <col min="13" max="256" width="9.140625" style="2262"/>
    <col min="257" max="257" width="16.5703125" style="2262" customWidth="1"/>
    <col min="258" max="258" width="10.42578125" style="2262" customWidth="1"/>
    <col min="259" max="259" width="11.85546875" style="2262" customWidth="1"/>
    <col min="260" max="260" width="10.42578125" style="2262" customWidth="1"/>
    <col min="261" max="261" width="10.28515625" style="2262" customWidth="1"/>
    <col min="262" max="262" width="8.28515625" style="2262" customWidth="1"/>
    <col min="263" max="263" width="11" style="2262" customWidth="1"/>
    <col min="264" max="264" width="8.7109375" style="2262" customWidth="1"/>
    <col min="265" max="265" width="9.7109375" style="2262" customWidth="1"/>
    <col min="266" max="266" width="12.85546875" style="2262" customWidth="1"/>
    <col min="267" max="267" width="9.85546875" style="2262" customWidth="1"/>
    <col min="268" max="268" width="8.7109375" style="2262" customWidth="1"/>
    <col min="269" max="512" width="9.140625" style="2262"/>
    <col min="513" max="513" width="16.5703125" style="2262" customWidth="1"/>
    <col min="514" max="514" width="10.42578125" style="2262" customWidth="1"/>
    <col min="515" max="515" width="11.85546875" style="2262" customWidth="1"/>
    <col min="516" max="516" width="10.42578125" style="2262" customWidth="1"/>
    <col min="517" max="517" width="10.28515625" style="2262" customWidth="1"/>
    <col min="518" max="518" width="8.28515625" style="2262" customWidth="1"/>
    <col min="519" max="519" width="11" style="2262" customWidth="1"/>
    <col min="520" max="520" width="8.7109375" style="2262" customWidth="1"/>
    <col min="521" max="521" width="9.7109375" style="2262" customWidth="1"/>
    <col min="522" max="522" width="12.85546875" style="2262" customWidth="1"/>
    <col min="523" max="523" width="9.85546875" style="2262" customWidth="1"/>
    <col min="524" max="524" width="8.7109375" style="2262" customWidth="1"/>
    <col min="525" max="768" width="9.140625" style="2262"/>
    <col min="769" max="769" width="16.5703125" style="2262" customWidth="1"/>
    <col min="770" max="770" width="10.42578125" style="2262" customWidth="1"/>
    <col min="771" max="771" width="11.85546875" style="2262" customWidth="1"/>
    <col min="772" max="772" width="10.42578125" style="2262" customWidth="1"/>
    <col min="773" max="773" width="10.28515625" style="2262" customWidth="1"/>
    <col min="774" max="774" width="8.28515625" style="2262" customWidth="1"/>
    <col min="775" max="775" width="11" style="2262" customWidth="1"/>
    <col min="776" max="776" width="8.7109375" style="2262" customWidth="1"/>
    <col min="777" max="777" width="9.7109375" style="2262" customWidth="1"/>
    <col min="778" max="778" width="12.85546875" style="2262" customWidth="1"/>
    <col min="779" max="779" width="9.85546875" style="2262" customWidth="1"/>
    <col min="780" max="780" width="8.7109375" style="2262" customWidth="1"/>
    <col min="781" max="1024" width="9.140625" style="2262"/>
    <col min="1025" max="1025" width="16.5703125" style="2262" customWidth="1"/>
    <col min="1026" max="1026" width="10.42578125" style="2262" customWidth="1"/>
    <col min="1027" max="1027" width="11.85546875" style="2262" customWidth="1"/>
    <col min="1028" max="1028" width="10.42578125" style="2262" customWidth="1"/>
    <col min="1029" max="1029" width="10.28515625" style="2262" customWidth="1"/>
    <col min="1030" max="1030" width="8.28515625" style="2262" customWidth="1"/>
    <col min="1031" max="1031" width="11" style="2262" customWidth="1"/>
    <col min="1032" max="1032" width="8.7109375" style="2262" customWidth="1"/>
    <col min="1033" max="1033" width="9.7109375" style="2262" customWidth="1"/>
    <col min="1034" max="1034" width="12.85546875" style="2262" customWidth="1"/>
    <col min="1035" max="1035" width="9.85546875" style="2262" customWidth="1"/>
    <col min="1036" max="1036" width="8.7109375" style="2262" customWidth="1"/>
    <col min="1037" max="1280" width="9.140625" style="2262"/>
    <col min="1281" max="1281" width="16.5703125" style="2262" customWidth="1"/>
    <col min="1282" max="1282" width="10.42578125" style="2262" customWidth="1"/>
    <col min="1283" max="1283" width="11.85546875" style="2262" customWidth="1"/>
    <col min="1284" max="1284" width="10.42578125" style="2262" customWidth="1"/>
    <col min="1285" max="1285" width="10.28515625" style="2262" customWidth="1"/>
    <col min="1286" max="1286" width="8.28515625" style="2262" customWidth="1"/>
    <col min="1287" max="1287" width="11" style="2262" customWidth="1"/>
    <col min="1288" max="1288" width="8.7109375" style="2262" customWidth="1"/>
    <col min="1289" max="1289" width="9.7109375" style="2262" customWidth="1"/>
    <col min="1290" max="1290" width="12.85546875" style="2262" customWidth="1"/>
    <col min="1291" max="1291" width="9.85546875" style="2262" customWidth="1"/>
    <col min="1292" max="1292" width="8.7109375" style="2262" customWidth="1"/>
    <col min="1293" max="1536" width="9.140625" style="2262"/>
    <col min="1537" max="1537" width="16.5703125" style="2262" customWidth="1"/>
    <col min="1538" max="1538" width="10.42578125" style="2262" customWidth="1"/>
    <col min="1539" max="1539" width="11.85546875" style="2262" customWidth="1"/>
    <col min="1540" max="1540" width="10.42578125" style="2262" customWidth="1"/>
    <col min="1541" max="1541" width="10.28515625" style="2262" customWidth="1"/>
    <col min="1542" max="1542" width="8.28515625" style="2262" customWidth="1"/>
    <col min="1543" max="1543" width="11" style="2262" customWidth="1"/>
    <col min="1544" max="1544" width="8.7109375" style="2262" customWidth="1"/>
    <col min="1545" max="1545" width="9.7109375" style="2262" customWidth="1"/>
    <col min="1546" max="1546" width="12.85546875" style="2262" customWidth="1"/>
    <col min="1547" max="1547" width="9.85546875" style="2262" customWidth="1"/>
    <col min="1548" max="1548" width="8.7109375" style="2262" customWidth="1"/>
    <col min="1549" max="1792" width="9.140625" style="2262"/>
    <col min="1793" max="1793" width="16.5703125" style="2262" customWidth="1"/>
    <col min="1794" max="1794" width="10.42578125" style="2262" customWidth="1"/>
    <col min="1795" max="1795" width="11.85546875" style="2262" customWidth="1"/>
    <col min="1796" max="1796" width="10.42578125" style="2262" customWidth="1"/>
    <col min="1797" max="1797" width="10.28515625" style="2262" customWidth="1"/>
    <col min="1798" max="1798" width="8.28515625" style="2262" customWidth="1"/>
    <col min="1799" max="1799" width="11" style="2262" customWidth="1"/>
    <col min="1800" max="1800" width="8.7109375" style="2262" customWidth="1"/>
    <col min="1801" max="1801" width="9.7109375" style="2262" customWidth="1"/>
    <col min="1802" max="1802" width="12.85546875" style="2262" customWidth="1"/>
    <col min="1803" max="1803" width="9.85546875" style="2262" customWidth="1"/>
    <col min="1804" max="1804" width="8.7109375" style="2262" customWidth="1"/>
    <col min="1805" max="2048" width="9.140625" style="2262"/>
    <col min="2049" max="2049" width="16.5703125" style="2262" customWidth="1"/>
    <col min="2050" max="2050" width="10.42578125" style="2262" customWidth="1"/>
    <col min="2051" max="2051" width="11.85546875" style="2262" customWidth="1"/>
    <col min="2052" max="2052" width="10.42578125" style="2262" customWidth="1"/>
    <col min="2053" max="2053" width="10.28515625" style="2262" customWidth="1"/>
    <col min="2054" max="2054" width="8.28515625" style="2262" customWidth="1"/>
    <col min="2055" max="2055" width="11" style="2262" customWidth="1"/>
    <col min="2056" max="2056" width="8.7109375" style="2262" customWidth="1"/>
    <col min="2057" max="2057" width="9.7109375" style="2262" customWidth="1"/>
    <col min="2058" max="2058" width="12.85546875" style="2262" customWidth="1"/>
    <col min="2059" max="2059" width="9.85546875" style="2262" customWidth="1"/>
    <col min="2060" max="2060" width="8.7109375" style="2262" customWidth="1"/>
    <col min="2061" max="2304" width="9.140625" style="2262"/>
    <col min="2305" max="2305" width="16.5703125" style="2262" customWidth="1"/>
    <col min="2306" max="2306" width="10.42578125" style="2262" customWidth="1"/>
    <col min="2307" max="2307" width="11.85546875" style="2262" customWidth="1"/>
    <col min="2308" max="2308" width="10.42578125" style="2262" customWidth="1"/>
    <col min="2309" max="2309" width="10.28515625" style="2262" customWidth="1"/>
    <col min="2310" max="2310" width="8.28515625" style="2262" customWidth="1"/>
    <col min="2311" max="2311" width="11" style="2262" customWidth="1"/>
    <col min="2312" max="2312" width="8.7109375" style="2262" customWidth="1"/>
    <col min="2313" max="2313" width="9.7109375" style="2262" customWidth="1"/>
    <col min="2314" max="2314" width="12.85546875" style="2262" customWidth="1"/>
    <col min="2315" max="2315" width="9.85546875" style="2262" customWidth="1"/>
    <col min="2316" max="2316" width="8.7109375" style="2262" customWidth="1"/>
    <col min="2317" max="2560" width="9.140625" style="2262"/>
    <col min="2561" max="2561" width="16.5703125" style="2262" customWidth="1"/>
    <col min="2562" max="2562" width="10.42578125" style="2262" customWidth="1"/>
    <col min="2563" max="2563" width="11.85546875" style="2262" customWidth="1"/>
    <col min="2564" max="2564" width="10.42578125" style="2262" customWidth="1"/>
    <col min="2565" max="2565" width="10.28515625" style="2262" customWidth="1"/>
    <col min="2566" max="2566" width="8.28515625" style="2262" customWidth="1"/>
    <col min="2567" max="2567" width="11" style="2262" customWidth="1"/>
    <col min="2568" max="2568" width="8.7109375" style="2262" customWidth="1"/>
    <col min="2569" max="2569" width="9.7109375" style="2262" customWidth="1"/>
    <col min="2570" max="2570" width="12.85546875" style="2262" customWidth="1"/>
    <col min="2571" max="2571" width="9.85546875" style="2262" customWidth="1"/>
    <col min="2572" max="2572" width="8.7109375" style="2262" customWidth="1"/>
    <col min="2573" max="2816" width="9.140625" style="2262"/>
    <col min="2817" max="2817" width="16.5703125" style="2262" customWidth="1"/>
    <col min="2818" max="2818" width="10.42578125" style="2262" customWidth="1"/>
    <col min="2819" max="2819" width="11.85546875" style="2262" customWidth="1"/>
    <col min="2820" max="2820" width="10.42578125" style="2262" customWidth="1"/>
    <col min="2821" max="2821" width="10.28515625" style="2262" customWidth="1"/>
    <col min="2822" max="2822" width="8.28515625" style="2262" customWidth="1"/>
    <col min="2823" max="2823" width="11" style="2262" customWidth="1"/>
    <col min="2824" max="2824" width="8.7109375" style="2262" customWidth="1"/>
    <col min="2825" max="2825" width="9.7109375" style="2262" customWidth="1"/>
    <col min="2826" max="2826" width="12.85546875" style="2262" customWidth="1"/>
    <col min="2827" max="2827" width="9.85546875" style="2262" customWidth="1"/>
    <col min="2828" max="2828" width="8.7109375" style="2262" customWidth="1"/>
    <col min="2829" max="3072" width="9.140625" style="2262"/>
    <col min="3073" max="3073" width="16.5703125" style="2262" customWidth="1"/>
    <col min="3074" max="3074" width="10.42578125" style="2262" customWidth="1"/>
    <col min="3075" max="3075" width="11.85546875" style="2262" customWidth="1"/>
    <col min="3076" max="3076" width="10.42578125" style="2262" customWidth="1"/>
    <col min="3077" max="3077" width="10.28515625" style="2262" customWidth="1"/>
    <col min="3078" max="3078" width="8.28515625" style="2262" customWidth="1"/>
    <col min="3079" max="3079" width="11" style="2262" customWidth="1"/>
    <col min="3080" max="3080" width="8.7109375" style="2262" customWidth="1"/>
    <col min="3081" max="3081" width="9.7109375" style="2262" customWidth="1"/>
    <col min="3082" max="3082" width="12.85546875" style="2262" customWidth="1"/>
    <col min="3083" max="3083" width="9.85546875" style="2262" customWidth="1"/>
    <col min="3084" max="3084" width="8.7109375" style="2262" customWidth="1"/>
    <col min="3085" max="3328" width="9.140625" style="2262"/>
    <col min="3329" max="3329" width="16.5703125" style="2262" customWidth="1"/>
    <col min="3330" max="3330" width="10.42578125" style="2262" customWidth="1"/>
    <col min="3331" max="3331" width="11.85546875" style="2262" customWidth="1"/>
    <col min="3332" max="3332" width="10.42578125" style="2262" customWidth="1"/>
    <col min="3333" max="3333" width="10.28515625" style="2262" customWidth="1"/>
    <col min="3334" max="3334" width="8.28515625" style="2262" customWidth="1"/>
    <col min="3335" max="3335" width="11" style="2262" customWidth="1"/>
    <col min="3336" max="3336" width="8.7109375" style="2262" customWidth="1"/>
    <col min="3337" max="3337" width="9.7109375" style="2262" customWidth="1"/>
    <col min="3338" max="3338" width="12.85546875" style="2262" customWidth="1"/>
    <col min="3339" max="3339" width="9.85546875" style="2262" customWidth="1"/>
    <col min="3340" max="3340" width="8.7109375" style="2262" customWidth="1"/>
    <col min="3341" max="3584" width="9.140625" style="2262"/>
    <col min="3585" max="3585" width="16.5703125" style="2262" customWidth="1"/>
    <col min="3586" max="3586" width="10.42578125" style="2262" customWidth="1"/>
    <col min="3587" max="3587" width="11.85546875" style="2262" customWidth="1"/>
    <col min="3588" max="3588" width="10.42578125" style="2262" customWidth="1"/>
    <col min="3589" max="3589" width="10.28515625" style="2262" customWidth="1"/>
    <col min="3590" max="3590" width="8.28515625" style="2262" customWidth="1"/>
    <col min="3591" max="3591" width="11" style="2262" customWidth="1"/>
    <col min="3592" max="3592" width="8.7109375" style="2262" customWidth="1"/>
    <col min="3593" max="3593" width="9.7109375" style="2262" customWidth="1"/>
    <col min="3594" max="3594" width="12.85546875" style="2262" customWidth="1"/>
    <col min="3595" max="3595" width="9.85546875" style="2262" customWidth="1"/>
    <col min="3596" max="3596" width="8.7109375" style="2262" customWidth="1"/>
    <col min="3597" max="3840" width="9.140625" style="2262"/>
    <col min="3841" max="3841" width="16.5703125" style="2262" customWidth="1"/>
    <col min="3842" max="3842" width="10.42578125" style="2262" customWidth="1"/>
    <col min="3843" max="3843" width="11.85546875" style="2262" customWidth="1"/>
    <col min="3844" max="3844" width="10.42578125" style="2262" customWidth="1"/>
    <col min="3845" max="3845" width="10.28515625" style="2262" customWidth="1"/>
    <col min="3846" max="3846" width="8.28515625" style="2262" customWidth="1"/>
    <col min="3847" max="3847" width="11" style="2262" customWidth="1"/>
    <col min="3848" max="3848" width="8.7109375" style="2262" customWidth="1"/>
    <col min="3849" max="3849" width="9.7109375" style="2262" customWidth="1"/>
    <col min="3850" max="3850" width="12.85546875" style="2262" customWidth="1"/>
    <col min="3851" max="3851" width="9.85546875" style="2262" customWidth="1"/>
    <col min="3852" max="3852" width="8.7109375" style="2262" customWidth="1"/>
    <col min="3853" max="4096" width="9.140625" style="2262"/>
    <col min="4097" max="4097" width="16.5703125" style="2262" customWidth="1"/>
    <col min="4098" max="4098" width="10.42578125" style="2262" customWidth="1"/>
    <col min="4099" max="4099" width="11.85546875" style="2262" customWidth="1"/>
    <col min="4100" max="4100" width="10.42578125" style="2262" customWidth="1"/>
    <col min="4101" max="4101" width="10.28515625" style="2262" customWidth="1"/>
    <col min="4102" max="4102" width="8.28515625" style="2262" customWidth="1"/>
    <col min="4103" max="4103" width="11" style="2262" customWidth="1"/>
    <col min="4104" max="4104" width="8.7109375" style="2262" customWidth="1"/>
    <col min="4105" max="4105" width="9.7109375" style="2262" customWidth="1"/>
    <col min="4106" max="4106" width="12.85546875" style="2262" customWidth="1"/>
    <col min="4107" max="4107" width="9.85546875" style="2262" customWidth="1"/>
    <col min="4108" max="4108" width="8.7109375" style="2262" customWidth="1"/>
    <col min="4109" max="4352" width="9.140625" style="2262"/>
    <col min="4353" max="4353" width="16.5703125" style="2262" customWidth="1"/>
    <col min="4354" max="4354" width="10.42578125" style="2262" customWidth="1"/>
    <col min="4355" max="4355" width="11.85546875" style="2262" customWidth="1"/>
    <col min="4356" max="4356" width="10.42578125" style="2262" customWidth="1"/>
    <col min="4357" max="4357" width="10.28515625" style="2262" customWidth="1"/>
    <col min="4358" max="4358" width="8.28515625" style="2262" customWidth="1"/>
    <col min="4359" max="4359" width="11" style="2262" customWidth="1"/>
    <col min="4360" max="4360" width="8.7109375" style="2262" customWidth="1"/>
    <col min="4361" max="4361" width="9.7109375" style="2262" customWidth="1"/>
    <col min="4362" max="4362" width="12.85546875" style="2262" customWidth="1"/>
    <col min="4363" max="4363" width="9.85546875" style="2262" customWidth="1"/>
    <col min="4364" max="4364" width="8.7109375" style="2262" customWidth="1"/>
    <col min="4365" max="4608" width="9.140625" style="2262"/>
    <col min="4609" max="4609" width="16.5703125" style="2262" customWidth="1"/>
    <col min="4610" max="4610" width="10.42578125" style="2262" customWidth="1"/>
    <col min="4611" max="4611" width="11.85546875" style="2262" customWidth="1"/>
    <col min="4612" max="4612" width="10.42578125" style="2262" customWidth="1"/>
    <col min="4613" max="4613" width="10.28515625" style="2262" customWidth="1"/>
    <col min="4614" max="4614" width="8.28515625" style="2262" customWidth="1"/>
    <col min="4615" max="4615" width="11" style="2262" customWidth="1"/>
    <col min="4616" max="4616" width="8.7109375" style="2262" customWidth="1"/>
    <col min="4617" max="4617" width="9.7109375" style="2262" customWidth="1"/>
    <col min="4618" max="4618" width="12.85546875" style="2262" customWidth="1"/>
    <col min="4619" max="4619" width="9.85546875" style="2262" customWidth="1"/>
    <col min="4620" max="4620" width="8.7109375" style="2262" customWidth="1"/>
    <col min="4621" max="4864" width="9.140625" style="2262"/>
    <col min="4865" max="4865" width="16.5703125" style="2262" customWidth="1"/>
    <col min="4866" max="4866" width="10.42578125" style="2262" customWidth="1"/>
    <col min="4867" max="4867" width="11.85546875" style="2262" customWidth="1"/>
    <col min="4868" max="4868" width="10.42578125" style="2262" customWidth="1"/>
    <col min="4869" max="4869" width="10.28515625" style="2262" customWidth="1"/>
    <col min="4870" max="4870" width="8.28515625" style="2262" customWidth="1"/>
    <col min="4871" max="4871" width="11" style="2262" customWidth="1"/>
    <col min="4872" max="4872" width="8.7109375" style="2262" customWidth="1"/>
    <col min="4873" max="4873" width="9.7109375" style="2262" customWidth="1"/>
    <col min="4874" max="4874" width="12.85546875" style="2262" customWidth="1"/>
    <col min="4875" max="4875" width="9.85546875" style="2262" customWidth="1"/>
    <col min="4876" max="4876" width="8.7109375" style="2262" customWidth="1"/>
    <col min="4877" max="5120" width="9.140625" style="2262"/>
    <col min="5121" max="5121" width="16.5703125" style="2262" customWidth="1"/>
    <col min="5122" max="5122" width="10.42578125" style="2262" customWidth="1"/>
    <col min="5123" max="5123" width="11.85546875" style="2262" customWidth="1"/>
    <col min="5124" max="5124" width="10.42578125" style="2262" customWidth="1"/>
    <col min="5125" max="5125" width="10.28515625" style="2262" customWidth="1"/>
    <col min="5126" max="5126" width="8.28515625" style="2262" customWidth="1"/>
    <col min="5127" max="5127" width="11" style="2262" customWidth="1"/>
    <col min="5128" max="5128" width="8.7109375" style="2262" customWidth="1"/>
    <col min="5129" max="5129" width="9.7109375" style="2262" customWidth="1"/>
    <col min="5130" max="5130" width="12.85546875" style="2262" customWidth="1"/>
    <col min="5131" max="5131" width="9.85546875" style="2262" customWidth="1"/>
    <col min="5132" max="5132" width="8.7109375" style="2262" customWidth="1"/>
    <col min="5133" max="5376" width="9.140625" style="2262"/>
    <col min="5377" max="5377" width="16.5703125" style="2262" customWidth="1"/>
    <col min="5378" max="5378" width="10.42578125" style="2262" customWidth="1"/>
    <col min="5379" max="5379" width="11.85546875" style="2262" customWidth="1"/>
    <col min="5380" max="5380" width="10.42578125" style="2262" customWidth="1"/>
    <col min="5381" max="5381" width="10.28515625" style="2262" customWidth="1"/>
    <col min="5382" max="5382" width="8.28515625" style="2262" customWidth="1"/>
    <col min="5383" max="5383" width="11" style="2262" customWidth="1"/>
    <col min="5384" max="5384" width="8.7109375" style="2262" customWidth="1"/>
    <col min="5385" max="5385" width="9.7109375" style="2262" customWidth="1"/>
    <col min="5386" max="5386" width="12.85546875" style="2262" customWidth="1"/>
    <col min="5387" max="5387" width="9.85546875" style="2262" customWidth="1"/>
    <col min="5388" max="5388" width="8.7109375" style="2262" customWidth="1"/>
    <col min="5389" max="5632" width="9.140625" style="2262"/>
    <col min="5633" max="5633" width="16.5703125" style="2262" customWidth="1"/>
    <col min="5634" max="5634" width="10.42578125" style="2262" customWidth="1"/>
    <col min="5635" max="5635" width="11.85546875" style="2262" customWidth="1"/>
    <col min="5636" max="5636" width="10.42578125" style="2262" customWidth="1"/>
    <col min="5637" max="5637" width="10.28515625" style="2262" customWidth="1"/>
    <col min="5638" max="5638" width="8.28515625" style="2262" customWidth="1"/>
    <col min="5639" max="5639" width="11" style="2262" customWidth="1"/>
    <col min="5640" max="5640" width="8.7109375" style="2262" customWidth="1"/>
    <col min="5641" max="5641" width="9.7109375" style="2262" customWidth="1"/>
    <col min="5642" max="5642" width="12.85546875" style="2262" customWidth="1"/>
    <col min="5643" max="5643" width="9.85546875" style="2262" customWidth="1"/>
    <col min="5644" max="5644" width="8.7109375" style="2262" customWidth="1"/>
    <col min="5645" max="5888" width="9.140625" style="2262"/>
    <col min="5889" max="5889" width="16.5703125" style="2262" customWidth="1"/>
    <col min="5890" max="5890" width="10.42578125" style="2262" customWidth="1"/>
    <col min="5891" max="5891" width="11.85546875" style="2262" customWidth="1"/>
    <col min="5892" max="5892" width="10.42578125" style="2262" customWidth="1"/>
    <col min="5893" max="5893" width="10.28515625" style="2262" customWidth="1"/>
    <col min="5894" max="5894" width="8.28515625" style="2262" customWidth="1"/>
    <col min="5895" max="5895" width="11" style="2262" customWidth="1"/>
    <col min="5896" max="5896" width="8.7109375" style="2262" customWidth="1"/>
    <col min="5897" max="5897" width="9.7109375" style="2262" customWidth="1"/>
    <col min="5898" max="5898" width="12.85546875" style="2262" customWidth="1"/>
    <col min="5899" max="5899" width="9.85546875" style="2262" customWidth="1"/>
    <col min="5900" max="5900" width="8.7109375" style="2262" customWidth="1"/>
    <col min="5901" max="6144" width="9.140625" style="2262"/>
    <col min="6145" max="6145" width="16.5703125" style="2262" customWidth="1"/>
    <col min="6146" max="6146" width="10.42578125" style="2262" customWidth="1"/>
    <col min="6147" max="6147" width="11.85546875" style="2262" customWidth="1"/>
    <col min="6148" max="6148" width="10.42578125" style="2262" customWidth="1"/>
    <col min="6149" max="6149" width="10.28515625" style="2262" customWidth="1"/>
    <col min="6150" max="6150" width="8.28515625" style="2262" customWidth="1"/>
    <col min="6151" max="6151" width="11" style="2262" customWidth="1"/>
    <col min="6152" max="6152" width="8.7109375" style="2262" customWidth="1"/>
    <col min="6153" max="6153" width="9.7109375" style="2262" customWidth="1"/>
    <col min="6154" max="6154" width="12.85546875" style="2262" customWidth="1"/>
    <col min="6155" max="6155" width="9.85546875" style="2262" customWidth="1"/>
    <col min="6156" max="6156" width="8.7109375" style="2262" customWidth="1"/>
    <col min="6157" max="6400" width="9.140625" style="2262"/>
    <col min="6401" max="6401" width="16.5703125" style="2262" customWidth="1"/>
    <col min="6402" max="6402" width="10.42578125" style="2262" customWidth="1"/>
    <col min="6403" max="6403" width="11.85546875" style="2262" customWidth="1"/>
    <col min="6404" max="6404" width="10.42578125" style="2262" customWidth="1"/>
    <col min="6405" max="6405" width="10.28515625" style="2262" customWidth="1"/>
    <col min="6406" max="6406" width="8.28515625" style="2262" customWidth="1"/>
    <col min="6407" max="6407" width="11" style="2262" customWidth="1"/>
    <col min="6408" max="6408" width="8.7109375" style="2262" customWidth="1"/>
    <col min="6409" max="6409" width="9.7109375" style="2262" customWidth="1"/>
    <col min="6410" max="6410" width="12.85546875" style="2262" customWidth="1"/>
    <col min="6411" max="6411" width="9.85546875" style="2262" customWidth="1"/>
    <col min="6412" max="6412" width="8.7109375" style="2262" customWidth="1"/>
    <col min="6413" max="6656" width="9.140625" style="2262"/>
    <col min="6657" max="6657" width="16.5703125" style="2262" customWidth="1"/>
    <col min="6658" max="6658" width="10.42578125" style="2262" customWidth="1"/>
    <col min="6659" max="6659" width="11.85546875" style="2262" customWidth="1"/>
    <col min="6660" max="6660" width="10.42578125" style="2262" customWidth="1"/>
    <col min="6661" max="6661" width="10.28515625" style="2262" customWidth="1"/>
    <col min="6662" max="6662" width="8.28515625" style="2262" customWidth="1"/>
    <col min="6663" max="6663" width="11" style="2262" customWidth="1"/>
    <col min="6664" max="6664" width="8.7109375" style="2262" customWidth="1"/>
    <col min="6665" max="6665" width="9.7109375" style="2262" customWidth="1"/>
    <col min="6666" max="6666" width="12.85546875" style="2262" customWidth="1"/>
    <col min="6667" max="6667" width="9.85546875" style="2262" customWidth="1"/>
    <col min="6668" max="6668" width="8.7109375" style="2262" customWidth="1"/>
    <col min="6669" max="6912" width="9.140625" style="2262"/>
    <col min="6913" max="6913" width="16.5703125" style="2262" customWidth="1"/>
    <col min="6914" max="6914" width="10.42578125" style="2262" customWidth="1"/>
    <col min="6915" max="6915" width="11.85546875" style="2262" customWidth="1"/>
    <col min="6916" max="6916" width="10.42578125" style="2262" customWidth="1"/>
    <col min="6917" max="6917" width="10.28515625" style="2262" customWidth="1"/>
    <col min="6918" max="6918" width="8.28515625" style="2262" customWidth="1"/>
    <col min="6919" max="6919" width="11" style="2262" customWidth="1"/>
    <col min="6920" max="6920" width="8.7109375" style="2262" customWidth="1"/>
    <col min="6921" max="6921" width="9.7109375" style="2262" customWidth="1"/>
    <col min="6922" max="6922" width="12.85546875" style="2262" customWidth="1"/>
    <col min="6923" max="6923" width="9.85546875" style="2262" customWidth="1"/>
    <col min="6924" max="6924" width="8.7109375" style="2262" customWidth="1"/>
    <col min="6925" max="7168" width="9.140625" style="2262"/>
    <col min="7169" max="7169" width="16.5703125" style="2262" customWidth="1"/>
    <col min="7170" max="7170" width="10.42578125" style="2262" customWidth="1"/>
    <col min="7171" max="7171" width="11.85546875" style="2262" customWidth="1"/>
    <col min="7172" max="7172" width="10.42578125" style="2262" customWidth="1"/>
    <col min="7173" max="7173" width="10.28515625" style="2262" customWidth="1"/>
    <col min="7174" max="7174" width="8.28515625" style="2262" customWidth="1"/>
    <col min="7175" max="7175" width="11" style="2262" customWidth="1"/>
    <col min="7176" max="7176" width="8.7109375" style="2262" customWidth="1"/>
    <col min="7177" max="7177" width="9.7109375" style="2262" customWidth="1"/>
    <col min="7178" max="7178" width="12.85546875" style="2262" customWidth="1"/>
    <col min="7179" max="7179" width="9.85546875" style="2262" customWidth="1"/>
    <col min="7180" max="7180" width="8.7109375" style="2262" customWidth="1"/>
    <col min="7181" max="7424" width="9.140625" style="2262"/>
    <col min="7425" max="7425" width="16.5703125" style="2262" customWidth="1"/>
    <col min="7426" max="7426" width="10.42578125" style="2262" customWidth="1"/>
    <col min="7427" max="7427" width="11.85546875" style="2262" customWidth="1"/>
    <col min="7428" max="7428" width="10.42578125" style="2262" customWidth="1"/>
    <col min="7429" max="7429" width="10.28515625" style="2262" customWidth="1"/>
    <col min="7430" max="7430" width="8.28515625" style="2262" customWidth="1"/>
    <col min="7431" max="7431" width="11" style="2262" customWidth="1"/>
    <col min="7432" max="7432" width="8.7109375" style="2262" customWidth="1"/>
    <col min="7433" max="7433" width="9.7109375" style="2262" customWidth="1"/>
    <col min="7434" max="7434" width="12.85546875" style="2262" customWidth="1"/>
    <col min="7435" max="7435" width="9.85546875" style="2262" customWidth="1"/>
    <col min="7436" max="7436" width="8.7109375" style="2262" customWidth="1"/>
    <col min="7437" max="7680" width="9.140625" style="2262"/>
    <col min="7681" max="7681" width="16.5703125" style="2262" customWidth="1"/>
    <col min="7682" max="7682" width="10.42578125" style="2262" customWidth="1"/>
    <col min="7683" max="7683" width="11.85546875" style="2262" customWidth="1"/>
    <col min="7684" max="7684" width="10.42578125" style="2262" customWidth="1"/>
    <col min="7685" max="7685" width="10.28515625" style="2262" customWidth="1"/>
    <col min="7686" max="7686" width="8.28515625" style="2262" customWidth="1"/>
    <col min="7687" max="7687" width="11" style="2262" customWidth="1"/>
    <col min="7688" max="7688" width="8.7109375" style="2262" customWidth="1"/>
    <col min="7689" max="7689" width="9.7109375" style="2262" customWidth="1"/>
    <col min="7690" max="7690" width="12.85546875" style="2262" customWidth="1"/>
    <col min="7691" max="7691" width="9.85546875" style="2262" customWidth="1"/>
    <col min="7692" max="7692" width="8.7109375" style="2262" customWidth="1"/>
    <col min="7693" max="7936" width="9.140625" style="2262"/>
    <col min="7937" max="7937" width="16.5703125" style="2262" customWidth="1"/>
    <col min="7938" max="7938" width="10.42578125" style="2262" customWidth="1"/>
    <col min="7939" max="7939" width="11.85546875" style="2262" customWidth="1"/>
    <col min="7940" max="7940" width="10.42578125" style="2262" customWidth="1"/>
    <col min="7941" max="7941" width="10.28515625" style="2262" customWidth="1"/>
    <col min="7942" max="7942" width="8.28515625" style="2262" customWidth="1"/>
    <col min="7943" max="7943" width="11" style="2262" customWidth="1"/>
    <col min="7944" max="7944" width="8.7109375" style="2262" customWidth="1"/>
    <col min="7945" max="7945" width="9.7109375" style="2262" customWidth="1"/>
    <col min="7946" max="7946" width="12.85546875" style="2262" customWidth="1"/>
    <col min="7947" max="7947" width="9.85546875" style="2262" customWidth="1"/>
    <col min="7948" max="7948" width="8.7109375" style="2262" customWidth="1"/>
    <col min="7949" max="8192" width="9.140625" style="2262"/>
    <col min="8193" max="8193" width="16.5703125" style="2262" customWidth="1"/>
    <col min="8194" max="8194" width="10.42578125" style="2262" customWidth="1"/>
    <col min="8195" max="8195" width="11.85546875" style="2262" customWidth="1"/>
    <col min="8196" max="8196" width="10.42578125" style="2262" customWidth="1"/>
    <col min="8197" max="8197" width="10.28515625" style="2262" customWidth="1"/>
    <col min="8198" max="8198" width="8.28515625" style="2262" customWidth="1"/>
    <col min="8199" max="8199" width="11" style="2262" customWidth="1"/>
    <col min="8200" max="8200" width="8.7109375" style="2262" customWidth="1"/>
    <col min="8201" max="8201" width="9.7109375" style="2262" customWidth="1"/>
    <col min="8202" max="8202" width="12.85546875" style="2262" customWidth="1"/>
    <col min="8203" max="8203" width="9.85546875" style="2262" customWidth="1"/>
    <col min="8204" max="8204" width="8.7109375" style="2262" customWidth="1"/>
    <col min="8205" max="8448" width="9.140625" style="2262"/>
    <col min="8449" max="8449" width="16.5703125" style="2262" customWidth="1"/>
    <col min="8450" max="8450" width="10.42578125" style="2262" customWidth="1"/>
    <col min="8451" max="8451" width="11.85546875" style="2262" customWidth="1"/>
    <col min="8452" max="8452" width="10.42578125" style="2262" customWidth="1"/>
    <col min="8453" max="8453" width="10.28515625" style="2262" customWidth="1"/>
    <col min="8454" max="8454" width="8.28515625" style="2262" customWidth="1"/>
    <col min="8455" max="8455" width="11" style="2262" customWidth="1"/>
    <col min="8456" max="8456" width="8.7109375" style="2262" customWidth="1"/>
    <col min="8457" max="8457" width="9.7109375" style="2262" customWidth="1"/>
    <col min="8458" max="8458" width="12.85546875" style="2262" customWidth="1"/>
    <col min="8459" max="8459" width="9.85546875" style="2262" customWidth="1"/>
    <col min="8460" max="8460" width="8.7109375" style="2262" customWidth="1"/>
    <col min="8461" max="8704" width="9.140625" style="2262"/>
    <col min="8705" max="8705" width="16.5703125" style="2262" customWidth="1"/>
    <col min="8706" max="8706" width="10.42578125" style="2262" customWidth="1"/>
    <col min="8707" max="8707" width="11.85546875" style="2262" customWidth="1"/>
    <col min="8708" max="8708" width="10.42578125" style="2262" customWidth="1"/>
    <col min="8709" max="8709" width="10.28515625" style="2262" customWidth="1"/>
    <col min="8710" max="8710" width="8.28515625" style="2262" customWidth="1"/>
    <col min="8711" max="8711" width="11" style="2262" customWidth="1"/>
    <col min="8712" max="8712" width="8.7109375" style="2262" customWidth="1"/>
    <col min="8713" max="8713" width="9.7109375" style="2262" customWidth="1"/>
    <col min="8714" max="8714" width="12.85546875" style="2262" customWidth="1"/>
    <col min="8715" max="8715" width="9.85546875" style="2262" customWidth="1"/>
    <col min="8716" max="8716" width="8.7109375" style="2262" customWidth="1"/>
    <col min="8717" max="8960" width="9.140625" style="2262"/>
    <col min="8961" max="8961" width="16.5703125" style="2262" customWidth="1"/>
    <col min="8962" max="8962" width="10.42578125" style="2262" customWidth="1"/>
    <col min="8963" max="8963" width="11.85546875" style="2262" customWidth="1"/>
    <col min="8964" max="8964" width="10.42578125" style="2262" customWidth="1"/>
    <col min="8965" max="8965" width="10.28515625" style="2262" customWidth="1"/>
    <col min="8966" max="8966" width="8.28515625" style="2262" customWidth="1"/>
    <col min="8967" max="8967" width="11" style="2262" customWidth="1"/>
    <col min="8968" max="8968" width="8.7109375" style="2262" customWidth="1"/>
    <col min="8969" max="8969" width="9.7109375" style="2262" customWidth="1"/>
    <col min="8970" max="8970" width="12.85546875" style="2262" customWidth="1"/>
    <col min="8971" max="8971" width="9.85546875" style="2262" customWidth="1"/>
    <col min="8972" max="8972" width="8.7109375" style="2262" customWidth="1"/>
    <col min="8973" max="9216" width="9.140625" style="2262"/>
    <col min="9217" max="9217" width="16.5703125" style="2262" customWidth="1"/>
    <col min="9218" max="9218" width="10.42578125" style="2262" customWidth="1"/>
    <col min="9219" max="9219" width="11.85546875" style="2262" customWidth="1"/>
    <col min="9220" max="9220" width="10.42578125" style="2262" customWidth="1"/>
    <col min="9221" max="9221" width="10.28515625" style="2262" customWidth="1"/>
    <col min="9222" max="9222" width="8.28515625" style="2262" customWidth="1"/>
    <col min="9223" max="9223" width="11" style="2262" customWidth="1"/>
    <col min="9224" max="9224" width="8.7109375" style="2262" customWidth="1"/>
    <col min="9225" max="9225" width="9.7109375" style="2262" customWidth="1"/>
    <col min="9226" max="9226" width="12.85546875" style="2262" customWidth="1"/>
    <col min="9227" max="9227" width="9.85546875" style="2262" customWidth="1"/>
    <col min="9228" max="9228" width="8.7109375" style="2262" customWidth="1"/>
    <col min="9229" max="9472" width="9.140625" style="2262"/>
    <col min="9473" max="9473" width="16.5703125" style="2262" customWidth="1"/>
    <col min="9474" max="9474" width="10.42578125" style="2262" customWidth="1"/>
    <col min="9475" max="9475" width="11.85546875" style="2262" customWidth="1"/>
    <col min="9476" max="9476" width="10.42578125" style="2262" customWidth="1"/>
    <col min="9477" max="9477" width="10.28515625" style="2262" customWidth="1"/>
    <col min="9478" max="9478" width="8.28515625" style="2262" customWidth="1"/>
    <col min="9479" max="9479" width="11" style="2262" customWidth="1"/>
    <col min="9480" max="9480" width="8.7109375" style="2262" customWidth="1"/>
    <col min="9481" max="9481" width="9.7109375" style="2262" customWidth="1"/>
    <col min="9482" max="9482" width="12.85546875" style="2262" customWidth="1"/>
    <col min="9483" max="9483" width="9.85546875" style="2262" customWidth="1"/>
    <col min="9484" max="9484" width="8.7109375" style="2262" customWidth="1"/>
    <col min="9485" max="9728" width="9.140625" style="2262"/>
    <col min="9729" max="9729" width="16.5703125" style="2262" customWidth="1"/>
    <col min="9730" max="9730" width="10.42578125" style="2262" customWidth="1"/>
    <col min="9731" max="9731" width="11.85546875" style="2262" customWidth="1"/>
    <col min="9732" max="9732" width="10.42578125" style="2262" customWidth="1"/>
    <col min="9733" max="9733" width="10.28515625" style="2262" customWidth="1"/>
    <col min="9734" max="9734" width="8.28515625" style="2262" customWidth="1"/>
    <col min="9735" max="9735" width="11" style="2262" customWidth="1"/>
    <col min="9736" max="9736" width="8.7109375" style="2262" customWidth="1"/>
    <col min="9737" max="9737" width="9.7109375" style="2262" customWidth="1"/>
    <col min="9738" max="9738" width="12.85546875" style="2262" customWidth="1"/>
    <col min="9739" max="9739" width="9.85546875" style="2262" customWidth="1"/>
    <col min="9740" max="9740" width="8.7109375" style="2262" customWidth="1"/>
    <col min="9741" max="9984" width="9.140625" style="2262"/>
    <col min="9985" max="9985" width="16.5703125" style="2262" customWidth="1"/>
    <col min="9986" max="9986" width="10.42578125" style="2262" customWidth="1"/>
    <col min="9987" max="9987" width="11.85546875" style="2262" customWidth="1"/>
    <col min="9988" max="9988" width="10.42578125" style="2262" customWidth="1"/>
    <col min="9989" max="9989" width="10.28515625" style="2262" customWidth="1"/>
    <col min="9990" max="9990" width="8.28515625" style="2262" customWidth="1"/>
    <col min="9991" max="9991" width="11" style="2262" customWidth="1"/>
    <col min="9992" max="9992" width="8.7109375" style="2262" customWidth="1"/>
    <col min="9993" max="9993" width="9.7109375" style="2262" customWidth="1"/>
    <col min="9994" max="9994" width="12.85546875" style="2262" customWidth="1"/>
    <col min="9995" max="9995" width="9.85546875" style="2262" customWidth="1"/>
    <col min="9996" max="9996" width="8.7109375" style="2262" customWidth="1"/>
    <col min="9997" max="10240" width="9.140625" style="2262"/>
    <col min="10241" max="10241" width="16.5703125" style="2262" customWidth="1"/>
    <col min="10242" max="10242" width="10.42578125" style="2262" customWidth="1"/>
    <col min="10243" max="10243" width="11.85546875" style="2262" customWidth="1"/>
    <col min="10244" max="10244" width="10.42578125" style="2262" customWidth="1"/>
    <col min="10245" max="10245" width="10.28515625" style="2262" customWidth="1"/>
    <col min="10246" max="10246" width="8.28515625" style="2262" customWidth="1"/>
    <col min="10247" max="10247" width="11" style="2262" customWidth="1"/>
    <col min="10248" max="10248" width="8.7109375" style="2262" customWidth="1"/>
    <col min="10249" max="10249" width="9.7109375" style="2262" customWidth="1"/>
    <col min="10250" max="10250" width="12.85546875" style="2262" customWidth="1"/>
    <col min="10251" max="10251" width="9.85546875" style="2262" customWidth="1"/>
    <col min="10252" max="10252" width="8.7109375" style="2262" customWidth="1"/>
    <col min="10253" max="10496" width="9.140625" style="2262"/>
    <col min="10497" max="10497" width="16.5703125" style="2262" customWidth="1"/>
    <col min="10498" max="10498" width="10.42578125" style="2262" customWidth="1"/>
    <col min="10499" max="10499" width="11.85546875" style="2262" customWidth="1"/>
    <col min="10500" max="10500" width="10.42578125" style="2262" customWidth="1"/>
    <col min="10501" max="10501" width="10.28515625" style="2262" customWidth="1"/>
    <col min="10502" max="10502" width="8.28515625" style="2262" customWidth="1"/>
    <col min="10503" max="10503" width="11" style="2262" customWidth="1"/>
    <col min="10504" max="10504" width="8.7109375" style="2262" customWidth="1"/>
    <col min="10505" max="10505" width="9.7109375" style="2262" customWidth="1"/>
    <col min="10506" max="10506" width="12.85546875" style="2262" customWidth="1"/>
    <col min="10507" max="10507" width="9.85546875" style="2262" customWidth="1"/>
    <col min="10508" max="10508" width="8.7109375" style="2262" customWidth="1"/>
    <col min="10509" max="10752" width="9.140625" style="2262"/>
    <col min="10753" max="10753" width="16.5703125" style="2262" customWidth="1"/>
    <col min="10754" max="10754" width="10.42578125" style="2262" customWidth="1"/>
    <col min="10755" max="10755" width="11.85546875" style="2262" customWidth="1"/>
    <col min="10756" max="10756" width="10.42578125" style="2262" customWidth="1"/>
    <col min="10757" max="10757" width="10.28515625" style="2262" customWidth="1"/>
    <col min="10758" max="10758" width="8.28515625" style="2262" customWidth="1"/>
    <col min="10759" max="10759" width="11" style="2262" customWidth="1"/>
    <col min="10760" max="10760" width="8.7109375" style="2262" customWidth="1"/>
    <col min="10761" max="10761" width="9.7109375" style="2262" customWidth="1"/>
    <col min="10762" max="10762" width="12.85546875" style="2262" customWidth="1"/>
    <col min="10763" max="10763" width="9.85546875" style="2262" customWidth="1"/>
    <col min="10764" max="10764" width="8.7109375" style="2262" customWidth="1"/>
    <col min="10765" max="11008" width="9.140625" style="2262"/>
    <col min="11009" max="11009" width="16.5703125" style="2262" customWidth="1"/>
    <col min="11010" max="11010" width="10.42578125" style="2262" customWidth="1"/>
    <col min="11011" max="11011" width="11.85546875" style="2262" customWidth="1"/>
    <col min="11012" max="11012" width="10.42578125" style="2262" customWidth="1"/>
    <col min="11013" max="11013" width="10.28515625" style="2262" customWidth="1"/>
    <col min="11014" max="11014" width="8.28515625" style="2262" customWidth="1"/>
    <col min="11015" max="11015" width="11" style="2262" customWidth="1"/>
    <col min="11016" max="11016" width="8.7109375" style="2262" customWidth="1"/>
    <col min="11017" max="11017" width="9.7109375" style="2262" customWidth="1"/>
    <col min="11018" max="11018" width="12.85546875" style="2262" customWidth="1"/>
    <col min="11019" max="11019" width="9.85546875" style="2262" customWidth="1"/>
    <col min="11020" max="11020" width="8.7109375" style="2262" customWidth="1"/>
    <col min="11021" max="11264" width="9.140625" style="2262"/>
    <col min="11265" max="11265" width="16.5703125" style="2262" customWidth="1"/>
    <col min="11266" max="11266" width="10.42578125" style="2262" customWidth="1"/>
    <col min="11267" max="11267" width="11.85546875" style="2262" customWidth="1"/>
    <col min="11268" max="11268" width="10.42578125" style="2262" customWidth="1"/>
    <col min="11269" max="11269" width="10.28515625" style="2262" customWidth="1"/>
    <col min="11270" max="11270" width="8.28515625" style="2262" customWidth="1"/>
    <col min="11271" max="11271" width="11" style="2262" customWidth="1"/>
    <col min="11272" max="11272" width="8.7109375" style="2262" customWidth="1"/>
    <col min="11273" max="11273" width="9.7109375" style="2262" customWidth="1"/>
    <col min="11274" max="11274" width="12.85546875" style="2262" customWidth="1"/>
    <col min="11275" max="11275" width="9.85546875" style="2262" customWidth="1"/>
    <col min="11276" max="11276" width="8.7109375" style="2262" customWidth="1"/>
    <col min="11277" max="11520" width="9.140625" style="2262"/>
    <col min="11521" max="11521" width="16.5703125" style="2262" customWidth="1"/>
    <col min="11522" max="11522" width="10.42578125" style="2262" customWidth="1"/>
    <col min="11523" max="11523" width="11.85546875" style="2262" customWidth="1"/>
    <col min="11524" max="11524" width="10.42578125" style="2262" customWidth="1"/>
    <col min="11525" max="11525" width="10.28515625" style="2262" customWidth="1"/>
    <col min="11526" max="11526" width="8.28515625" style="2262" customWidth="1"/>
    <col min="11527" max="11527" width="11" style="2262" customWidth="1"/>
    <col min="11528" max="11528" width="8.7109375" style="2262" customWidth="1"/>
    <col min="11529" max="11529" width="9.7109375" style="2262" customWidth="1"/>
    <col min="11530" max="11530" width="12.85546875" style="2262" customWidth="1"/>
    <col min="11531" max="11531" width="9.85546875" style="2262" customWidth="1"/>
    <col min="11532" max="11532" width="8.7109375" style="2262" customWidth="1"/>
    <col min="11533" max="11776" width="9.140625" style="2262"/>
    <col min="11777" max="11777" width="16.5703125" style="2262" customWidth="1"/>
    <col min="11778" max="11778" width="10.42578125" style="2262" customWidth="1"/>
    <col min="11779" max="11779" width="11.85546875" style="2262" customWidth="1"/>
    <col min="11780" max="11780" width="10.42578125" style="2262" customWidth="1"/>
    <col min="11781" max="11781" width="10.28515625" style="2262" customWidth="1"/>
    <col min="11782" max="11782" width="8.28515625" style="2262" customWidth="1"/>
    <col min="11783" max="11783" width="11" style="2262" customWidth="1"/>
    <col min="11784" max="11784" width="8.7109375" style="2262" customWidth="1"/>
    <col min="11785" max="11785" width="9.7109375" style="2262" customWidth="1"/>
    <col min="11786" max="11786" width="12.85546875" style="2262" customWidth="1"/>
    <col min="11787" max="11787" width="9.85546875" style="2262" customWidth="1"/>
    <col min="11788" max="11788" width="8.7109375" style="2262" customWidth="1"/>
    <col min="11789" max="12032" width="9.140625" style="2262"/>
    <col min="12033" max="12033" width="16.5703125" style="2262" customWidth="1"/>
    <col min="12034" max="12034" width="10.42578125" style="2262" customWidth="1"/>
    <col min="12035" max="12035" width="11.85546875" style="2262" customWidth="1"/>
    <col min="12036" max="12036" width="10.42578125" style="2262" customWidth="1"/>
    <col min="12037" max="12037" width="10.28515625" style="2262" customWidth="1"/>
    <col min="12038" max="12038" width="8.28515625" style="2262" customWidth="1"/>
    <col min="12039" max="12039" width="11" style="2262" customWidth="1"/>
    <col min="12040" max="12040" width="8.7109375" style="2262" customWidth="1"/>
    <col min="12041" max="12041" width="9.7109375" style="2262" customWidth="1"/>
    <col min="12042" max="12042" width="12.85546875" style="2262" customWidth="1"/>
    <col min="12043" max="12043" width="9.85546875" style="2262" customWidth="1"/>
    <col min="12044" max="12044" width="8.7109375" style="2262" customWidth="1"/>
    <col min="12045" max="12288" width="9.140625" style="2262"/>
    <col min="12289" max="12289" width="16.5703125" style="2262" customWidth="1"/>
    <col min="12290" max="12290" width="10.42578125" style="2262" customWidth="1"/>
    <col min="12291" max="12291" width="11.85546875" style="2262" customWidth="1"/>
    <col min="12292" max="12292" width="10.42578125" style="2262" customWidth="1"/>
    <col min="12293" max="12293" width="10.28515625" style="2262" customWidth="1"/>
    <col min="12294" max="12294" width="8.28515625" style="2262" customWidth="1"/>
    <col min="12295" max="12295" width="11" style="2262" customWidth="1"/>
    <col min="12296" max="12296" width="8.7109375" style="2262" customWidth="1"/>
    <col min="12297" max="12297" width="9.7109375" style="2262" customWidth="1"/>
    <col min="12298" max="12298" width="12.85546875" style="2262" customWidth="1"/>
    <col min="12299" max="12299" width="9.85546875" style="2262" customWidth="1"/>
    <col min="12300" max="12300" width="8.7109375" style="2262" customWidth="1"/>
    <col min="12301" max="12544" width="9.140625" style="2262"/>
    <col min="12545" max="12545" width="16.5703125" style="2262" customWidth="1"/>
    <col min="12546" max="12546" width="10.42578125" style="2262" customWidth="1"/>
    <col min="12547" max="12547" width="11.85546875" style="2262" customWidth="1"/>
    <col min="12548" max="12548" width="10.42578125" style="2262" customWidth="1"/>
    <col min="12549" max="12549" width="10.28515625" style="2262" customWidth="1"/>
    <col min="12550" max="12550" width="8.28515625" style="2262" customWidth="1"/>
    <col min="12551" max="12551" width="11" style="2262" customWidth="1"/>
    <col min="12552" max="12552" width="8.7109375" style="2262" customWidth="1"/>
    <col min="12553" max="12553" width="9.7109375" style="2262" customWidth="1"/>
    <col min="12554" max="12554" width="12.85546875" style="2262" customWidth="1"/>
    <col min="12555" max="12555" width="9.85546875" style="2262" customWidth="1"/>
    <col min="12556" max="12556" width="8.7109375" style="2262" customWidth="1"/>
    <col min="12557" max="12800" width="9.140625" style="2262"/>
    <col min="12801" max="12801" width="16.5703125" style="2262" customWidth="1"/>
    <col min="12802" max="12802" width="10.42578125" style="2262" customWidth="1"/>
    <col min="12803" max="12803" width="11.85546875" style="2262" customWidth="1"/>
    <col min="12804" max="12804" width="10.42578125" style="2262" customWidth="1"/>
    <col min="12805" max="12805" width="10.28515625" style="2262" customWidth="1"/>
    <col min="12806" max="12806" width="8.28515625" style="2262" customWidth="1"/>
    <col min="12807" max="12807" width="11" style="2262" customWidth="1"/>
    <col min="12808" max="12808" width="8.7109375" style="2262" customWidth="1"/>
    <col min="12809" max="12809" width="9.7109375" style="2262" customWidth="1"/>
    <col min="12810" max="12810" width="12.85546875" style="2262" customWidth="1"/>
    <col min="12811" max="12811" width="9.85546875" style="2262" customWidth="1"/>
    <col min="12812" max="12812" width="8.7109375" style="2262" customWidth="1"/>
    <col min="12813" max="13056" width="9.140625" style="2262"/>
    <col min="13057" max="13057" width="16.5703125" style="2262" customWidth="1"/>
    <col min="13058" max="13058" width="10.42578125" style="2262" customWidth="1"/>
    <col min="13059" max="13059" width="11.85546875" style="2262" customWidth="1"/>
    <col min="13060" max="13060" width="10.42578125" style="2262" customWidth="1"/>
    <col min="13061" max="13061" width="10.28515625" style="2262" customWidth="1"/>
    <col min="13062" max="13062" width="8.28515625" style="2262" customWidth="1"/>
    <col min="13063" max="13063" width="11" style="2262" customWidth="1"/>
    <col min="13064" max="13064" width="8.7109375" style="2262" customWidth="1"/>
    <col min="13065" max="13065" width="9.7109375" style="2262" customWidth="1"/>
    <col min="13066" max="13066" width="12.85546875" style="2262" customWidth="1"/>
    <col min="13067" max="13067" width="9.85546875" style="2262" customWidth="1"/>
    <col min="13068" max="13068" width="8.7109375" style="2262" customWidth="1"/>
    <col min="13069" max="13312" width="9.140625" style="2262"/>
    <col min="13313" max="13313" width="16.5703125" style="2262" customWidth="1"/>
    <col min="13314" max="13314" width="10.42578125" style="2262" customWidth="1"/>
    <col min="13315" max="13315" width="11.85546875" style="2262" customWidth="1"/>
    <col min="13316" max="13316" width="10.42578125" style="2262" customWidth="1"/>
    <col min="13317" max="13317" width="10.28515625" style="2262" customWidth="1"/>
    <col min="13318" max="13318" width="8.28515625" style="2262" customWidth="1"/>
    <col min="13319" max="13319" width="11" style="2262" customWidth="1"/>
    <col min="13320" max="13320" width="8.7109375" style="2262" customWidth="1"/>
    <col min="13321" max="13321" width="9.7109375" style="2262" customWidth="1"/>
    <col min="13322" max="13322" width="12.85546875" style="2262" customWidth="1"/>
    <col min="13323" max="13323" width="9.85546875" style="2262" customWidth="1"/>
    <col min="13324" max="13324" width="8.7109375" style="2262" customWidth="1"/>
    <col min="13325" max="13568" width="9.140625" style="2262"/>
    <col min="13569" max="13569" width="16.5703125" style="2262" customWidth="1"/>
    <col min="13570" max="13570" width="10.42578125" style="2262" customWidth="1"/>
    <col min="13571" max="13571" width="11.85546875" style="2262" customWidth="1"/>
    <col min="13572" max="13572" width="10.42578125" style="2262" customWidth="1"/>
    <col min="13573" max="13573" width="10.28515625" style="2262" customWidth="1"/>
    <col min="13574" max="13574" width="8.28515625" style="2262" customWidth="1"/>
    <col min="13575" max="13575" width="11" style="2262" customWidth="1"/>
    <col min="13576" max="13576" width="8.7109375" style="2262" customWidth="1"/>
    <col min="13577" max="13577" width="9.7109375" style="2262" customWidth="1"/>
    <col min="13578" max="13578" width="12.85546875" style="2262" customWidth="1"/>
    <col min="13579" max="13579" width="9.85546875" style="2262" customWidth="1"/>
    <col min="13580" max="13580" width="8.7109375" style="2262" customWidth="1"/>
    <col min="13581" max="13824" width="9.140625" style="2262"/>
    <col min="13825" max="13825" width="16.5703125" style="2262" customWidth="1"/>
    <col min="13826" max="13826" width="10.42578125" style="2262" customWidth="1"/>
    <col min="13827" max="13827" width="11.85546875" style="2262" customWidth="1"/>
    <col min="13828" max="13828" width="10.42578125" style="2262" customWidth="1"/>
    <col min="13829" max="13829" width="10.28515625" style="2262" customWidth="1"/>
    <col min="13830" max="13830" width="8.28515625" style="2262" customWidth="1"/>
    <col min="13831" max="13831" width="11" style="2262" customWidth="1"/>
    <col min="13832" max="13832" width="8.7109375" style="2262" customWidth="1"/>
    <col min="13833" max="13833" width="9.7109375" style="2262" customWidth="1"/>
    <col min="13834" max="13834" width="12.85546875" style="2262" customWidth="1"/>
    <col min="13835" max="13835" width="9.85546875" style="2262" customWidth="1"/>
    <col min="13836" max="13836" width="8.7109375" style="2262" customWidth="1"/>
    <col min="13837" max="14080" width="9.140625" style="2262"/>
    <col min="14081" max="14081" width="16.5703125" style="2262" customWidth="1"/>
    <col min="14082" max="14082" width="10.42578125" style="2262" customWidth="1"/>
    <col min="14083" max="14083" width="11.85546875" style="2262" customWidth="1"/>
    <col min="14084" max="14084" width="10.42578125" style="2262" customWidth="1"/>
    <col min="14085" max="14085" width="10.28515625" style="2262" customWidth="1"/>
    <col min="14086" max="14086" width="8.28515625" style="2262" customWidth="1"/>
    <col min="14087" max="14087" width="11" style="2262" customWidth="1"/>
    <col min="14088" max="14088" width="8.7109375" style="2262" customWidth="1"/>
    <col min="14089" max="14089" width="9.7109375" style="2262" customWidth="1"/>
    <col min="14090" max="14090" width="12.85546875" style="2262" customWidth="1"/>
    <col min="14091" max="14091" width="9.85546875" style="2262" customWidth="1"/>
    <col min="14092" max="14092" width="8.7109375" style="2262" customWidth="1"/>
    <col min="14093" max="14336" width="9.140625" style="2262"/>
    <col min="14337" max="14337" width="16.5703125" style="2262" customWidth="1"/>
    <col min="14338" max="14338" width="10.42578125" style="2262" customWidth="1"/>
    <col min="14339" max="14339" width="11.85546875" style="2262" customWidth="1"/>
    <col min="14340" max="14340" width="10.42578125" style="2262" customWidth="1"/>
    <col min="14341" max="14341" width="10.28515625" style="2262" customWidth="1"/>
    <col min="14342" max="14342" width="8.28515625" style="2262" customWidth="1"/>
    <col min="14343" max="14343" width="11" style="2262" customWidth="1"/>
    <col min="14344" max="14344" width="8.7109375" style="2262" customWidth="1"/>
    <col min="14345" max="14345" width="9.7109375" style="2262" customWidth="1"/>
    <col min="14346" max="14346" width="12.85546875" style="2262" customWidth="1"/>
    <col min="14347" max="14347" width="9.85546875" style="2262" customWidth="1"/>
    <col min="14348" max="14348" width="8.7109375" style="2262" customWidth="1"/>
    <col min="14349" max="14592" width="9.140625" style="2262"/>
    <col min="14593" max="14593" width="16.5703125" style="2262" customWidth="1"/>
    <col min="14594" max="14594" width="10.42578125" style="2262" customWidth="1"/>
    <col min="14595" max="14595" width="11.85546875" style="2262" customWidth="1"/>
    <col min="14596" max="14596" width="10.42578125" style="2262" customWidth="1"/>
    <col min="14597" max="14597" width="10.28515625" style="2262" customWidth="1"/>
    <col min="14598" max="14598" width="8.28515625" style="2262" customWidth="1"/>
    <col min="14599" max="14599" width="11" style="2262" customWidth="1"/>
    <col min="14600" max="14600" width="8.7109375" style="2262" customWidth="1"/>
    <col min="14601" max="14601" width="9.7109375" style="2262" customWidth="1"/>
    <col min="14602" max="14602" width="12.85546875" style="2262" customWidth="1"/>
    <col min="14603" max="14603" width="9.85546875" style="2262" customWidth="1"/>
    <col min="14604" max="14604" width="8.7109375" style="2262" customWidth="1"/>
    <col min="14605" max="14848" width="9.140625" style="2262"/>
    <col min="14849" max="14849" width="16.5703125" style="2262" customWidth="1"/>
    <col min="14850" max="14850" width="10.42578125" style="2262" customWidth="1"/>
    <col min="14851" max="14851" width="11.85546875" style="2262" customWidth="1"/>
    <col min="14852" max="14852" width="10.42578125" style="2262" customWidth="1"/>
    <col min="14853" max="14853" width="10.28515625" style="2262" customWidth="1"/>
    <col min="14854" max="14854" width="8.28515625" style="2262" customWidth="1"/>
    <col min="14855" max="14855" width="11" style="2262" customWidth="1"/>
    <col min="14856" max="14856" width="8.7109375" style="2262" customWidth="1"/>
    <col min="14857" max="14857" width="9.7109375" style="2262" customWidth="1"/>
    <col min="14858" max="14858" width="12.85546875" style="2262" customWidth="1"/>
    <col min="14859" max="14859" width="9.85546875" style="2262" customWidth="1"/>
    <col min="14860" max="14860" width="8.7109375" style="2262" customWidth="1"/>
    <col min="14861" max="15104" width="9.140625" style="2262"/>
    <col min="15105" max="15105" width="16.5703125" style="2262" customWidth="1"/>
    <col min="15106" max="15106" width="10.42578125" style="2262" customWidth="1"/>
    <col min="15107" max="15107" width="11.85546875" style="2262" customWidth="1"/>
    <col min="15108" max="15108" width="10.42578125" style="2262" customWidth="1"/>
    <col min="15109" max="15109" width="10.28515625" style="2262" customWidth="1"/>
    <col min="15110" max="15110" width="8.28515625" style="2262" customWidth="1"/>
    <col min="15111" max="15111" width="11" style="2262" customWidth="1"/>
    <col min="15112" max="15112" width="8.7109375" style="2262" customWidth="1"/>
    <col min="15113" max="15113" width="9.7109375" style="2262" customWidth="1"/>
    <col min="15114" max="15114" width="12.85546875" style="2262" customWidth="1"/>
    <col min="15115" max="15115" width="9.85546875" style="2262" customWidth="1"/>
    <col min="15116" max="15116" width="8.7109375" style="2262" customWidth="1"/>
    <col min="15117" max="15360" width="9.140625" style="2262"/>
    <col min="15361" max="15361" width="16.5703125" style="2262" customWidth="1"/>
    <col min="15362" max="15362" width="10.42578125" style="2262" customWidth="1"/>
    <col min="15363" max="15363" width="11.85546875" style="2262" customWidth="1"/>
    <col min="15364" max="15364" width="10.42578125" style="2262" customWidth="1"/>
    <col min="15365" max="15365" width="10.28515625" style="2262" customWidth="1"/>
    <col min="15366" max="15366" width="8.28515625" style="2262" customWidth="1"/>
    <col min="15367" max="15367" width="11" style="2262" customWidth="1"/>
    <col min="15368" max="15368" width="8.7109375" style="2262" customWidth="1"/>
    <col min="15369" max="15369" width="9.7109375" style="2262" customWidth="1"/>
    <col min="15370" max="15370" width="12.85546875" style="2262" customWidth="1"/>
    <col min="15371" max="15371" width="9.85546875" style="2262" customWidth="1"/>
    <col min="15372" max="15372" width="8.7109375" style="2262" customWidth="1"/>
    <col min="15373" max="15616" width="9.140625" style="2262"/>
    <col min="15617" max="15617" width="16.5703125" style="2262" customWidth="1"/>
    <col min="15618" max="15618" width="10.42578125" style="2262" customWidth="1"/>
    <col min="15619" max="15619" width="11.85546875" style="2262" customWidth="1"/>
    <col min="15620" max="15620" width="10.42578125" style="2262" customWidth="1"/>
    <col min="15621" max="15621" width="10.28515625" style="2262" customWidth="1"/>
    <col min="15622" max="15622" width="8.28515625" style="2262" customWidth="1"/>
    <col min="15623" max="15623" width="11" style="2262" customWidth="1"/>
    <col min="15624" max="15624" width="8.7109375" style="2262" customWidth="1"/>
    <col min="15625" max="15625" width="9.7109375" style="2262" customWidth="1"/>
    <col min="15626" max="15626" width="12.85546875" style="2262" customWidth="1"/>
    <col min="15627" max="15627" width="9.85546875" style="2262" customWidth="1"/>
    <col min="15628" max="15628" width="8.7109375" style="2262" customWidth="1"/>
    <col min="15629" max="15872" width="9.140625" style="2262"/>
    <col min="15873" max="15873" width="16.5703125" style="2262" customWidth="1"/>
    <col min="15874" max="15874" width="10.42578125" style="2262" customWidth="1"/>
    <col min="15875" max="15875" width="11.85546875" style="2262" customWidth="1"/>
    <col min="15876" max="15876" width="10.42578125" style="2262" customWidth="1"/>
    <col min="15877" max="15877" width="10.28515625" style="2262" customWidth="1"/>
    <col min="15878" max="15878" width="8.28515625" style="2262" customWidth="1"/>
    <col min="15879" max="15879" width="11" style="2262" customWidth="1"/>
    <col min="15880" max="15880" width="8.7109375" style="2262" customWidth="1"/>
    <col min="15881" max="15881" width="9.7109375" style="2262" customWidth="1"/>
    <col min="15882" max="15882" width="12.85546875" style="2262" customWidth="1"/>
    <col min="15883" max="15883" width="9.85546875" style="2262" customWidth="1"/>
    <col min="15884" max="15884" width="8.7109375" style="2262" customWidth="1"/>
    <col min="15885" max="16128" width="9.140625" style="2262"/>
    <col min="16129" max="16129" width="16.5703125" style="2262" customWidth="1"/>
    <col min="16130" max="16130" width="10.42578125" style="2262" customWidth="1"/>
    <col min="16131" max="16131" width="11.85546875" style="2262" customWidth="1"/>
    <col min="16132" max="16132" width="10.42578125" style="2262" customWidth="1"/>
    <col min="16133" max="16133" width="10.28515625" style="2262" customWidth="1"/>
    <col min="16134" max="16134" width="8.28515625" style="2262" customWidth="1"/>
    <col min="16135" max="16135" width="11" style="2262" customWidth="1"/>
    <col min="16136" max="16136" width="8.7109375" style="2262" customWidth="1"/>
    <col min="16137" max="16137" width="9.7109375" style="2262" customWidth="1"/>
    <col min="16138" max="16138" width="12.85546875" style="2262" customWidth="1"/>
    <col min="16139" max="16139" width="9.85546875" style="2262" customWidth="1"/>
    <col min="16140" max="16140" width="8.7109375" style="2262" customWidth="1"/>
    <col min="16141" max="16384" width="9.140625" style="2262"/>
  </cols>
  <sheetData>
    <row r="1" spans="1:13" ht="18" customHeight="1">
      <c r="A1" s="2257" t="s">
        <v>3241</v>
      </c>
      <c r="B1" s="2258"/>
      <c r="C1" s="2258"/>
      <c r="D1" s="2258"/>
      <c r="E1" s="2259"/>
      <c r="F1" s="2259"/>
      <c r="G1" s="2260"/>
      <c r="H1" s="2261"/>
    </row>
    <row r="2" spans="1:13" ht="18" customHeight="1">
      <c r="A2" s="2257" t="s">
        <v>3242</v>
      </c>
      <c r="B2" s="2258"/>
      <c r="C2" s="2263"/>
      <c r="D2" s="2258"/>
      <c r="E2" s="2259"/>
      <c r="F2" s="2259"/>
      <c r="G2" s="2260"/>
      <c r="H2" s="2261"/>
    </row>
    <row r="3" spans="1:13" ht="3" customHeight="1" thickBot="1">
      <c r="A3" s="2264"/>
      <c r="B3" s="2265"/>
      <c r="C3" s="2265"/>
      <c r="D3" s="2265"/>
      <c r="E3" s="2265"/>
      <c r="G3" s="2261"/>
      <c r="H3" s="2261"/>
    </row>
    <row r="4" spans="1:13" s="1289" customFormat="1" ht="14.25" thickTop="1" thickBot="1">
      <c r="A4" s="2266"/>
      <c r="B4" s="2267" t="s">
        <v>3243</v>
      </c>
      <c r="C4" s="2268" t="s">
        <v>3244</v>
      </c>
      <c r="D4" s="2269" t="s">
        <v>3245</v>
      </c>
      <c r="E4" s="2269"/>
      <c r="F4" s="3414" t="s">
        <v>3246</v>
      </c>
      <c r="G4" s="3415"/>
      <c r="H4" s="2270"/>
    </row>
    <row r="5" spans="1:13" s="1289" customFormat="1" ht="12.75">
      <c r="A5" s="2271"/>
      <c r="B5" s="2272" t="s">
        <v>3247</v>
      </c>
      <c r="C5" s="2273" t="s">
        <v>3248</v>
      </c>
      <c r="D5" s="2273" t="s">
        <v>3249</v>
      </c>
      <c r="E5" s="2273" t="s">
        <v>2951</v>
      </c>
      <c r="F5" s="3416" t="s">
        <v>244</v>
      </c>
      <c r="G5" s="3417"/>
    </row>
    <row r="6" spans="1:13" s="1289" customFormat="1" ht="12" customHeight="1">
      <c r="A6" s="2271"/>
      <c r="B6" s="2272" t="s">
        <v>3250</v>
      </c>
      <c r="C6" s="2273" t="s">
        <v>3251</v>
      </c>
      <c r="D6" s="2273" t="s">
        <v>3252</v>
      </c>
      <c r="E6" s="2273" t="s">
        <v>3253</v>
      </c>
      <c r="F6" s="3416" t="s">
        <v>3254</v>
      </c>
      <c r="G6" s="3417"/>
    </row>
    <row r="7" spans="1:13" s="1289" customFormat="1" ht="16.5" customHeight="1">
      <c r="A7" s="2271"/>
      <c r="B7" s="2274"/>
      <c r="C7" s="2273" t="s">
        <v>3255</v>
      </c>
      <c r="D7" s="2273"/>
      <c r="E7" s="2273"/>
      <c r="F7" s="3416" t="s">
        <v>3256</v>
      </c>
      <c r="G7" s="3417"/>
    </row>
    <row r="8" spans="1:13" s="2278" customFormat="1" ht="15" customHeight="1" thickBot="1">
      <c r="A8" s="2275"/>
      <c r="B8" s="2276" t="s">
        <v>3208</v>
      </c>
      <c r="C8" s="2277" t="s">
        <v>3208</v>
      </c>
      <c r="D8" s="2277" t="s">
        <v>3208</v>
      </c>
      <c r="E8" s="2277" t="s">
        <v>74</v>
      </c>
      <c r="F8" s="3418" t="s">
        <v>3257</v>
      </c>
      <c r="G8" s="3419"/>
    </row>
    <row r="9" spans="1:13" ht="14.1" customHeight="1" thickTop="1">
      <c r="A9" s="2279">
        <v>41821</v>
      </c>
      <c r="B9" s="2280"/>
      <c r="C9" s="2281"/>
      <c r="D9" s="2281"/>
      <c r="E9" s="2281"/>
      <c r="F9" s="3420"/>
      <c r="G9" s="3421"/>
      <c r="H9" s="2261"/>
    </row>
    <row r="10" spans="1:13" ht="15.75" customHeight="1">
      <c r="A10" s="2282" t="s">
        <v>3258</v>
      </c>
      <c r="B10" s="2283">
        <v>13.02</v>
      </c>
      <c r="C10" s="2284">
        <v>3.86</v>
      </c>
      <c r="D10" s="2284">
        <v>26.01</v>
      </c>
      <c r="E10" s="2285">
        <v>789.92</v>
      </c>
      <c r="F10" s="3407" t="s">
        <v>3259</v>
      </c>
      <c r="G10" s="3404"/>
      <c r="H10" s="2261"/>
      <c r="J10" s="2286"/>
      <c r="K10" s="2287"/>
      <c r="L10" s="2288"/>
    </row>
    <row r="11" spans="1:13" ht="15.75" customHeight="1">
      <c r="A11" s="2282" t="s">
        <v>3260</v>
      </c>
      <c r="B11" s="2283">
        <v>14.12</v>
      </c>
      <c r="C11" s="2284">
        <v>3.01</v>
      </c>
      <c r="D11" s="2284">
        <v>25.29</v>
      </c>
      <c r="E11" s="2285">
        <v>768.56</v>
      </c>
      <c r="F11" s="3407" t="s">
        <v>3261</v>
      </c>
      <c r="G11" s="3404"/>
      <c r="H11" s="2261"/>
      <c r="J11" s="2286"/>
      <c r="K11" s="2287"/>
      <c r="L11" s="2288"/>
    </row>
    <row r="12" spans="1:13" ht="15.75" customHeight="1">
      <c r="A12" s="2282" t="s">
        <v>3262</v>
      </c>
      <c r="B12" s="2283">
        <v>9.26</v>
      </c>
      <c r="C12" s="2284">
        <v>2.1</v>
      </c>
      <c r="D12" s="2284">
        <v>16.54</v>
      </c>
      <c r="E12" s="2285">
        <v>503.15</v>
      </c>
      <c r="F12" s="3407" t="s">
        <v>3263</v>
      </c>
      <c r="G12" s="3404"/>
      <c r="H12" s="2261"/>
      <c r="J12" s="2286"/>
      <c r="K12" s="2287"/>
      <c r="L12" s="2288"/>
    </row>
    <row r="13" spans="1:13" ht="15.75" customHeight="1">
      <c r="A13" s="2282" t="s">
        <v>3264</v>
      </c>
      <c r="B13" s="2283">
        <v>13</v>
      </c>
      <c r="C13" s="2284">
        <v>4.54</v>
      </c>
      <c r="D13" s="2284">
        <v>24.88</v>
      </c>
      <c r="E13" s="2285">
        <v>759.09</v>
      </c>
      <c r="F13" s="3403" t="s">
        <v>3265</v>
      </c>
      <c r="G13" s="3404"/>
      <c r="H13" s="2261"/>
      <c r="J13" s="2286"/>
      <c r="K13" s="2287"/>
      <c r="L13" s="2288"/>
    </row>
    <row r="14" spans="1:13" ht="15.75" customHeight="1">
      <c r="A14" s="2282" t="s">
        <v>3266</v>
      </c>
      <c r="B14" s="2283">
        <v>10.5</v>
      </c>
      <c r="C14" s="2284">
        <v>1.63</v>
      </c>
      <c r="D14" s="2284">
        <v>32.22</v>
      </c>
      <c r="E14" s="2285">
        <v>984.64</v>
      </c>
      <c r="F14" s="3403" t="s">
        <v>3267</v>
      </c>
      <c r="G14" s="3404"/>
      <c r="H14" s="2261"/>
      <c r="J14" s="2286"/>
      <c r="K14" s="2287"/>
      <c r="L14" s="2288"/>
    </row>
    <row r="15" spans="1:13" ht="10.5" customHeight="1" thickBot="1">
      <c r="A15" s="2289"/>
      <c r="B15" s="2290"/>
      <c r="C15" s="2291"/>
      <c r="D15" s="2291"/>
      <c r="E15" s="2291"/>
      <c r="F15" s="3412"/>
      <c r="G15" s="3413"/>
      <c r="H15" s="2261"/>
      <c r="J15" s="2286"/>
      <c r="K15" s="2292"/>
      <c r="L15" s="2293"/>
      <c r="M15" s="2294"/>
    </row>
    <row r="16" spans="1:13" ht="14.1" hidden="1" customHeight="1">
      <c r="A16" s="2295">
        <v>37073</v>
      </c>
      <c r="B16" s="2283">
        <v>0</v>
      </c>
      <c r="C16" s="2284">
        <v>1.98</v>
      </c>
      <c r="D16" s="2284">
        <v>1.98</v>
      </c>
      <c r="E16" s="2284">
        <v>58.15</v>
      </c>
      <c r="F16" s="3410" t="s">
        <v>3268</v>
      </c>
      <c r="G16" s="3411"/>
      <c r="H16" s="2261"/>
    </row>
    <row r="17" spans="1:8" ht="14.1" hidden="1" customHeight="1">
      <c r="A17" s="2295">
        <v>37104</v>
      </c>
      <c r="B17" s="2283">
        <v>0</v>
      </c>
      <c r="C17" s="2284">
        <v>0</v>
      </c>
      <c r="D17" s="2284">
        <v>0</v>
      </c>
      <c r="E17" s="2284">
        <v>0</v>
      </c>
      <c r="F17" s="3410" t="s">
        <v>3269</v>
      </c>
      <c r="G17" s="3411"/>
      <c r="H17" s="2261"/>
    </row>
    <row r="18" spans="1:8" ht="14.1" hidden="1" customHeight="1">
      <c r="A18" s="2295">
        <v>37135</v>
      </c>
      <c r="B18" s="2283">
        <v>0</v>
      </c>
      <c r="C18" s="2284">
        <v>1.56</v>
      </c>
      <c r="D18" s="2284">
        <v>1.56</v>
      </c>
      <c r="E18" s="2284">
        <v>46.53</v>
      </c>
      <c r="F18" s="3410" t="s">
        <v>3270</v>
      </c>
      <c r="G18" s="3411"/>
      <c r="H18" s="2261"/>
    </row>
    <row r="19" spans="1:8" ht="14.1" hidden="1" customHeight="1">
      <c r="A19" s="2295">
        <v>37165</v>
      </c>
      <c r="B19" s="2283">
        <v>0.1</v>
      </c>
      <c r="C19" s="2284">
        <v>0.46</v>
      </c>
      <c r="D19" s="2284">
        <v>0.56000000000000005</v>
      </c>
      <c r="E19" s="2284">
        <v>16.829999999999998</v>
      </c>
      <c r="F19" s="3410" t="s">
        <v>3271</v>
      </c>
      <c r="G19" s="3411"/>
      <c r="H19" s="2261"/>
    </row>
    <row r="20" spans="1:8" ht="14.1" hidden="1" customHeight="1">
      <c r="A20" s="2295">
        <v>37196</v>
      </c>
      <c r="B20" s="2283">
        <v>0</v>
      </c>
      <c r="C20" s="2284">
        <v>0</v>
      </c>
      <c r="D20" s="2284" t="s">
        <v>3272</v>
      </c>
      <c r="E20" s="2284">
        <v>5.18</v>
      </c>
      <c r="F20" s="3410" t="s">
        <v>3273</v>
      </c>
      <c r="G20" s="3411"/>
      <c r="H20" s="2261"/>
    </row>
    <row r="21" spans="1:8" ht="14.1" hidden="1" customHeight="1">
      <c r="A21" s="2295">
        <v>37226</v>
      </c>
      <c r="B21" s="2283">
        <v>0.3</v>
      </c>
      <c r="C21" s="2284">
        <v>0.06</v>
      </c>
      <c r="D21" s="2284" t="s">
        <v>3274</v>
      </c>
      <c r="E21" s="2284">
        <v>19.14</v>
      </c>
      <c r="F21" s="3410" t="s">
        <v>3275</v>
      </c>
      <c r="G21" s="3411"/>
      <c r="H21" s="2261"/>
    </row>
    <row r="22" spans="1:8" ht="14.1" hidden="1" customHeight="1">
      <c r="A22" s="2295">
        <v>37530</v>
      </c>
      <c r="B22" s="2283">
        <v>3.89</v>
      </c>
      <c r="C22" s="2284">
        <v>0</v>
      </c>
      <c r="D22" s="2284" t="s">
        <v>3276</v>
      </c>
      <c r="E22" s="2284">
        <v>115.74</v>
      </c>
      <c r="F22" s="3410" t="s">
        <v>3277</v>
      </c>
      <c r="G22" s="3411"/>
      <c r="H22" s="2261"/>
    </row>
    <row r="23" spans="1:8" ht="14.1" hidden="1" customHeight="1">
      <c r="A23" s="2295">
        <v>37895</v>
      </c>
      <c r="B23" s="2283">
        <v>1.75</v>
      </c>
      <c r="C23" s="2284">
        <v>1.99</v>
      </c>
      <c r="D23" s="2284" t="s">
        <v>3278</v>
      </c>
      <c r="E23" s="2284">
        <v>106.74</v>
      </c>
      <c r="F23" s="3410" t="s">
        <v>3279</v>
      </c>
      <c r="G23" s="3411"/>
      <c r="H23" s="2261"/>
    </row>
    <row r="24" spans="1:8" ht="14.1" hidden="1" customHeight="1">
      <c r="A24" s="2295">
        <v>38534</v>
      </c>
      <c r="B24" s="2283">
        <v>2.0299999999999998</v>
      </c>
      <c r="C24" s="2284">
        <v>1</v>
      </c>
      <c r="D24" s="2284" t="s">
        <v>3280</v>
      </c>
      <c r="E24" s="2284">
        <v>100.76</v>
      </c>
      <c r="F24" s="3410" t="s">
        <v>3281</v>
      </c>
      <c r="G24" s="3411"/>
      <c r="H24" s="2261"/>
    </row>
    <row r="25" spans="1:8" ht="14.1" hidden="1" customHeight="1">
      <c r="A25" s="2296">
        <v>38596</v>
      </c>
      <c r="B25" s="2283">
        <v>5.1100000000000003</v>
      </c>
      <c r="C25" s="2284">
        <v>0.66</v>
      </c>
      <c r="D25" s="2284" t="s">
        <v>3282</v>
      </c>
      <c r="E25" s="2284">
        <v>210.7</v>
      </c>
      <c r="F25" s="3410" t="s">
        <v>3283</v>
      </c>
      <c r="G25" s="3411"/>
      <c r="H25" s="2261"/>
    </row>
    <row r="26" spans="1:8" ht="14.1" hidden="1" customHeight="1">
      <c r="A26" s="2295">
        <v>38657</v>
      </c>
      <c r="B26" s="2283">
        <v>0.4</v>
      </c>
      <c r="C26" s="2284">
        <v>1.36</v>
      </c>
      <c r="D26" s="2284" t="s">
        <v>3284</v>
      </c>
      <c r="E26" s="2284">
        <v>68.89</v>
      </c>
      <c r="F26" s="3410" t="s">
        <v>3285</v>
      </c>
      <c r="G26" s="3411"/>
      <c r="H26" s="2261"/>
    </row>
    <row r="27" spans="1:8" ht="14.1" hidden="1" customHeight="1">
      <c r="A27" s="2295">
        <v>38687</v>
      </c>
      <c r="B27" s="2283">
        <v>5.91</v>
      </c>
      <c r="C27" s="2284">
        <v>0.7</v>
      </c>
      <c r="D27" s="2284" t="s">
        <v>3286</v>
      </c>
      <c r="E27" s="2284">
        <v>540.69000000000005</v>
      </c>
      <c r="F27" s="3410" t="s">
        <v>3287</v>
      </c>
      <c r="G27" s="3411"/>
      <c r="H27" s="2261"/>
    </row>
    <row r="28" spans="1:8" ht="14.1" hidden="1" customHeight="1">
      <c r="A28" s="2295">
        <v>38718</v>
      </c>
      <c r="B28" s="2283">
        <v>1.66</v>
      </c>
      <c r="C28" s="2284">
        <v>1.57</v>
      </c>
      <c r="D28" s="2284" t="s">
        <v>3288</v>
      </c>
      <c r="E28" s="2284">
        <v>148.76</v>
      </c>
      <c r="F28" s="3410" t="s">
        <v>3289</v>
      </c>
      <c r="G28" s="3411"/>
      <c r="H28" s="2261"/>
    </row>
    <row r="29" spans="1:8" ht="14.1" hidden="1" customHeight="1">
      <c r="A29" s="2295">
        <v>38749</v>
      </c>
      <c r="B29" s="2283">
        <v>0.17</v>
      </c>
      <c r="C29" s="2284">
        <v>0.26</v>
      </c>
      <c r="D29" s="2284" t="s">
        <v>3290</v>
      </c>
      <c r="E29" s="2284">
        <v>53.89</v>
      </c>
      <c r="F29" s="3410" t="s">
        <v>3291</v>
      </c>
      <c r="G29" s="3411"/>
      <c r="H29" s="2261"/>
    </row>
    <row r="30" spans="1:8" ht="14.1" hidden="1" customHeight="1">
      <c r="A30" s="2295">
        <v>38777</v>
      </c>
      <c r="B30" s="2283">
        <v>0.36</v>
      </c>
      <c r="C30" s="2284">
        <v>0.67</v>
      </c>
      <c r="D30" s="2284" t="s">
        <v>3292</v>
      </c>
      <c r="E30" s="2284">
        <v>414.24</v>
      </c>
      <c r="F30" s="3410" t="s">
        <v>3293</v>
      </c>
      <c r="G30" s="3411"/>
      <c r="H30" s="2261"/>
    </row>
    <row r="31" spans="1:8" ht="14.1" hidden="1" customHeight="1">
      <c r="A31" s="2295">
        <v>38808</v>
      </c>
      <c r="B31" s="2283">
        <v>0.74</v>
      </c>
      <c r="C31" s="2284">
        <v>0.25</v>
      </c>
      <c r="D31" s="2284" t="s">
        <v>3294</v>
      </c>
      <c r="E31" s="2284">
        <v>116.01</v>
      </c>
      <c r="F31" s="3410" t="s">
        <v>3295</v>
      </c>
      <c r="G31" s="3411"/>
      <c r="H31" s="2261"/>
    </row>
    <row r="32" spans="1:8" ht="14.1" hidden="1" customHeight="1">
      <c r="A32" s="2295">
        <v>38838</v>
      </c>
      <c r="B32" s="2283">
        <v>0.23</v>
      </c>
      <c r="C32" s="2284">
        <v>0.94</v>
      </c>
      <c r="D32" s="2284" t="s">
        <v>3296</v>
      </c>
      <c r="E32" s="2284">
        <v>50.61</v>
      </c>
      <c r="F32" s="3407">
        <v>30.922499999999999</v>
      </c>
      <c r="G32" s="3404"/>
      <c r="H32" s="2261"/>
    </row>
    <row r="33" spans="1:8" ht="14.1" hidden="1" customHeight="1">
      <c r="A33" s="2295">
        <v>38869</v>
      </c>
      <c r="B33" s="2283">
        <v>0.49</v>
      </c>
      <c r="C33" s="2284">
        <v>0.76</v>
      </c>
      <c r="D33" s="2284" t="s">
        <v>3297</v>
      </c>
      <c r="E33" s="2284">
        <v>52.15</v>
      </c>
      <c r="F33" s="3407" t="s">
        <v>3298</v>
      </c>
      <c r="G33" s="3404"/>
      <c r="H33" s="2261"/>
    </row>
    <row r="34" spans="1:8" ht="14.1" hidden="1" customHeight="1">
      <c r="A34" s="2295">
        <v>38899</v>
      </c>
      <c r="B34" s="2283">
        <v>0.44</v>
      </c>
      <c r="C34" s="2284">
        <v>4.05</v>
      </c>
      <c r="D34" s="2284" t="s">
        <v>3299</v>
      </c>
      <c r="E34" s="2284">
        <v>155.75</v>
      </c>
      <c r="F34" s="3407" t="s">
        <v>3300</v>
      </c>
      <c r="G34" s="3404"/>
      <c r="H34" s="2261"/>
    </row>
    <row r="35" spans="1:8" ht="14.1" hidden="1" customHeight="1">
      <c r="A35" s="2295">
        <v>38930</v>
      </c>
      <c r="B35" s="2283">
        <v>1.01</v>
      </c>
      <c r="C35" s="2284">
        <v>2.2000000000000002</v>
      </c>
      <c r="D35" s="2284" t="s">
        <v>3301</v>
      </c>
      <c r="E35" s="2284">
        <v>115.01</v>
      </c>
      <c r="F35" s="3407" t="s">
        <v>3302</v>
      </c>
      <c r="G35" s="3404"/>
      <c r="H35" s="2261"/>
    </row>
    <row r="36" spans="1:8" ht="14.1" hidden="1" customHeight="1">
      <c r="A36" s="2295">
        <v>38961</v>
      </c>
      <c r="B36" s="2283">
        <v>1.93</v>
      </c>
      <c r="C36" s="2284">
        <v>2.31</v>
      </c>
      <c r="D36" s="2284" t="s">
        <v>3303</v>
      </c>
      <c r="E36" s="2284">
        <v>456.78</v>
      </c>
      <c r="F36" s="3407" t="s">
        <v>3304</v>
      </c>
      <c r="G36" s="3404"/>
      <c r="H36" s="2261"/>
    </row>
    <row r="37" spans="1:8" ht="14.1" hidden="1" customHeight="1">
      <c r="A37" s="2295">
        <v>38991</v>
      </c>
      <c r="B37" s="2283">
        <v>0.4</v>
      </c>
      <c r="C37" s="2284">
        <v>0.75</v>
      </c>
      <c r="D37" s="2284" t="s">
        <v>3305</v>
      </c>
      <c r="E37" s="2284">
        <v>49.98</v>
      </c>
      <c r="F37" s="3407" t="s">
        <v>3306</v>
      </c>
      <c r="G37" s="3404"/>
      <c r="H37" s="2261"/>
    </row>
    <row r="38" spans="1:8" ht="14.1" hidden="1" customHeight="1">
      <c r="A38" s="2295">
        <v>39022</v>
      </c>
      <c r="B38" s="2283">
        <v>0.56000000000000005</v>
      </c>
      <c r="C38" s="2284">
        <v>1.94</v>
      </c>
      <c r="D38" s="2284" t="s">
        <v>3307</v>
      </c>
      <c r="E38" s="2284">
        <v>112.75</v>
      </c>
      <c r="F38" s="3407" t="s">
        <v>3308</v>
      </c>
      <c r="G38" s="3404"/>
      <c r="H38" s="2261"/>
    </row>
    <row r="39" spans="1:8" ht="14.1" hidden="1" customHeight="1">
      <c r="A39" s="2295">
        <v>39052</v>
      </c>
      <c r="B39" s="2283">
        <v>0.5</v>
      </c>
      <c r="C39" s="2284">
        <v>1.61</v>
      </c>
      <c r="D39" s="2284" t="s">
        <v>3309</v>
      </c>
      <c r="E39" s="2284">
        <v>83.33</v>
      </c>
      <c r="F39" s="3407" t="s">
        <v>3310</v>
      </c>
      <c r="G39" s="3404"/>
      <c r="H39" s="2261"/>
    </row>
    <row r="40" spans="1:8" ht="14.1" hidden="1" customHeight="1">
      <c r="A40" s="2295">
        <v>39083</v>
      </c>
      <c r="B40" s="2283">
        <v>0.25</v>
      </c>
      <c r="C40" s="2284">
        <v>0.81</v>
      </c>
      <c r="D40" s="2284" t="s">
        <v>3311</v>
      </c>
      <c r="E40" s="2284">
        <v>46.62</v>
      </c>
      <c r="F40" s="3407" t="s">
        <v>3312</v>
      </c>
      <c r="G40" s="3404"/>
      <c r="H40" s="2261"/>
    </row>
    <row r="41" spans="1:8" ht="14.1" hidden="1" customHeight="1">
      <c r="A41" s="2295">
        <v>39114</v>
      </c>
      <c r="B41" s="2283">
        <v>16.86</v>
      </c>
      <c r="C41" s="2284">
        <v>2.95</v>
      </c>
      <c r="D41" s="2284" t="s">
        <v>3313</v>
      </c>
      <c r="E41" s="2284">
        <v>666.46</v>
      </c>
      <c r="F41" s="3407" t="s">
        <v>3314</v>
      </c>
      <c r="G41" s="3404"/>
      <c r="H41" s="2261"/>
    </row>
    <row r="42" spans="1:8" ht="14.1" hidden="1" customHeight="1">
      <c r="A42" s="2295">
        <v>39142</v>
      </c>
      <c r="B42" s="2283">
        <v>4.4000000000000004</v>
      </c>
      <c r="C42" s="2284">
        <v>1.45</v>
      </c>
      <c r="D42" s="2284" t="s">
        <v>3315</v>
      </c>
      <c r="E42" s="2284">
        <v>226.42</v>
      </c>
      <c r="F42" s="3407" t="s">
        <v>3316</v>
      </c>
      <c r="G42" s="3404"/>
      <c r="H42" s="2261"/>
    </row>
    <row r="43" spans="1:8" ht="14.1" hidden="1" customHeight="1">
      <c r="A43" s="2295">
        <v>39173</v>
      </c>
      <c r="B43" s="2283">
        <v>5.85</v>
      </c>
      <c r="C43" s="2284">
        <v>0.64</v>
      </c>
      <c r="D43" s="2284" t="s">
        <v>3317</v>
      </c>
      <c r="E43" s="2284">
        <v>244.12</v>
      </c>
      <c r="F43" s="3407" t="s">
        <v>3318</v>
      </c>
      <c r="G43" s="3404"/>
      <c r="H43" s="2261"/>
    </row>
    <row r="44" spans="1:8" ht="14.1" hidden="1" customHeight="1">
      <c r="A44" s="2295">
        <v>39203</v>
      </c>
      <c r="B44" s="2283">
        <v>8.9600000000000009</v>
      </c>
      <c r="C44" s="2284">
        <v>1.31</v>
      </c>
      <c r="D44" s="2284" t="s">
        <v>3319</v>
      </c>
      <c r="E44" s="2284">
        <v>342.3</v>
      </c>
      <c r="F44" s="3407" t="s">
        <v>3320</v>
      </c>
      <c r="G44" s="3404"/>
      <c r="H44" s="2261"/>
    </row>
    <row r="45" spans="1:8" ht="14.1" hidden="1" customHeight="1">
      <c r="A45" s="2295">
        <v>39234</v>
      </c>
      <c r="B45" s="2283">
        <v>4.5599999999999996</v>
      </c>
      <c r="C45" s="2284">
        <v>1.66</v>
      </c>
      <c r="D45" s="2284" t="s">
        <v>3321</v>
      </c>
      <c r="E45" s="2284">
        <v>209.69</v>
      </c>
      <c r="F45" s="3407" t="s">
        <v>3322</v>
      </c>
      <c r="G45" s="3404"/>
      <c r="H45" s="2261"/>
    </row>
    <row r="46" spans="1:8" ht="14.1" hidden="1" customHeight="1">
      <c r="A46" s="2295">
        <v>39264</v>
      </c>
      <c r="B46" s="2283">
        <v>7.6</v>
      </c>
      <c r="C46" s="2284">
        <v>1.08</v>
      </c>
      <c r="D46" s="2284" t="s">
        <v>3323</v>
      </c>
      <c r="E46" s="2284">
        <v>288.64999999999998</v>
      </c>
      <c r="F46" s="3407" t="s">
        <v>3324</v>
      </c>
      <c r="G46" s="3404"/>
      <c r="H46" s="2261"/>
    </row>
    <row r="47" spans="1:8" ht="14.1" hidden="1" customHeight="1">
      <c r="A47" s="2295">
        <v>39295</v>
      </c>
      <c r="B47" s="2283">
        <v>2.38</v>
      </c>
      <c r="C47" s="2284">
        <v>0.96</v>
      </c>
      <c r="D47" s="2284" t="s">
        <v>3325</v>
      </c>
      <c r="E47" s="2284">
        <v>124.61</v>
      </c>
      <c r="F47" s="3407" t="s">
        <v>3326</v>
      </c>
      <c r="G47" s="3404"/>
      <c r="H47" s="2261"/>
    </row>
    <row r="48" spans="1:8" ht="14.1" hidden="1" customHeight="1">
      <c r="A48" s="2295">
        <v>39326</v>
      </c>
      <c r="B48" s="2283">
        <v>8.48</v>
      </c>
      <c r="C48" s="2284">
        <v>1.53</v>
      </c>
      <c r="D48" s="2284" t="s">
        <v>3327</v>
      </c>
      <c r="E48" s="2284">
        <v>335.52</v>
      </c>
      <c r="F48" s="3407" t="s">
        <v>3328</v>
      </c>
      <c r="G48" s="3404"/>
      <c r="H48" s="2261"/>
    </row>
    <row r="49" spans="1:8" ht="14.1" hidden="1" customHeight="1">
      <c r="A49" s="2295">
        <v>39387</v>
      </c>
      <c r="B49" s="2283">
        <v>3.45</v>
      </c>
      <c r="C49" s="2284">
        <v>5.52</v>
      </c>
      <c r="D49" s="2284" t="s">
        <v>3329</v>
      </c>
      <c r="E49" s="2284">
        <v>290.58</v>
      </c>
      <c r="F49" s="3407" t="s">
        <v>3330</v>
      </c>
      <c r="G49" s="3404"/>
      <c r="H49" s="2261"/>
    </row>
    <row r="50" spans="1:8" ht="14.1" hidden="1" customHeight="1">
      <c r="A50" s="2295">
        <v>39417</v>
      </c>
      <c r="B50" s="2283">
        <v>3.96</v>
      </c>
      <c r="C50" s="2284">
        <v>3.16</v>
      </c>
      <c r="D50" s="2284" t="s">
        <v>3331</v>
      </c>
      <c r="E50" s="2284">
        <v>264.17</v>
      </c>
      <c r="F50" s="3407" t="s">
        <v>3332</v>
      </c>
      <c r="G50" s="3404"/>
      <c r="H50" s="2261"/>
    </row>
    <row r="51" spans="1:8" ht="14.1" hidden="1" customHeight="1">
      <c r="A51" s="2295">
        <v>39448</v>
      </c>
      <c r="B51" s="2283">
        <v>5.99</v>
      </c>
      <c r="C51" s="2284">
        <v>2.34</v>
      </c>
      <c r="D51" s="2284" t="s">
        <v>3333</v>
      </c>
      <c r="E51" s="2284">
        <v>274.18</v>
      </c>
      <c r="F51" s="3407" t="s">
        <v>3334</v>
      </c>
      <c r="G51" s="3404"/>
      <c r="H51" s="2261"/>
    </row>
    <row r="52" spans="1:8" ht="14.1" hidden="1" customHeight="1">
      <c r="A52" s="2295">
        <v>39479</v>
      </c>
      <c r="B52" s="2283">
        <v>8.43</v>
      </c>
      <c r="C52" s="2284">
        <v>13.15</v>
      </c>
      <c r="D52" s="2284" t="s">
        <v>3335</v>
      </c>
      <c r="E52" s="2284">
        <v>665.18</v>
      </c>
      <c r="F52" s="3407" t="s">
        <v>3336</v>
      </c>
      <c r="G52" s="3404"/>
      <c r="H52" s="2261"/>
    </row>
    <row r="53" spans="1:8" ht="14.1" hidden="1" customHeight="1">
      <c r="A53" s="2295">
        <v>39508</v>
      </c>
      <c r="B53" s="2283">
        <v>3.91</v>
      </c>
      <c r="C53" s="2284">
        <v>18.399999999999999</v>
      </c>
      <c r="D53" s="2284" t="s">
        <v>3337</v>
      </c>
      <c r="E53" s="2284">
        <v>621.45000000000005</v>
      </c>
      <c r="F53" s="3407" t="s">
        <v>3338</v>
      </c>
      <c r="G53" s="3404"/>
      <c r="H53" s="2261"/>
    </row>
    <row r="54" spans="1:8" ht="14.1" hidden="1" customHeight="1">
      <c r="A54" s="2295">
        <v>39539</v>
      </c>
      <c r="B54" s="2283">
        <v>4.55</v>
      </c>
      <c r="C54" s="2284">
        <v>6.63</v>
      </c>
      <c r="D54" s="2284" t="s">
        <v>3339</v>
      </c>
      <c r="E54" s="2284">
        <v>354.72</v>
      </c>
      <c r="F54" s="3407" t="s">
        <v>3340</v>
      </c>
      <c r="G54" s="3404"/>
      <c r="H54" s="2261"/>
    </row>
    <row r="55" spans="1:8" ht="14.1" hidden="1" customHeight="1">
      <c r="A55" s="2295">
        <v>39569</v>
      </c>
      <c r="B55" s="2283">
        <v>11.79</v>
      </c>
      <c r="C55" s="2284">
        <v>7.15</v>
      </c>
      <c r="D55" s="2284" t="s">
        <v>3341</v>
      </c>
      <c r="E55" s="2284">
        <v>567.78</v>
      </c>
      <c r="F55" s="3407" t="s">
        <v>3342</v>
      </c>
      <c r="G55" s="3404"/>
      <c r="H55" s="2261"/>
    </row>
    <row r="56" spans="1:8" ht="14.1" hidden="1" customHeight="1">
      <c r="A56" s="2295">
        <v>39600</v>
      </c>
      <c r="B56" s="2283">
        <v>4.1100000000000003</v>
      </c>
      <c r="C56" s="2284">
        <v>16.68</v>
      </c>
      <c r="D56" s="2284" t="s">
        <v>3343</v>
      </c>
      <c r="E56" s="2284">
        <v>579.89</v>
      </c>
      <c r="F56" s="3407" t="s">
        <v>3344</v>
      </c>
      <c r="G56" s="3404"/>
      <c r="H56" s="2261"/>
    </row>
    <row r="57" spans="1:8" ht="14.1" hidden="1" customHeight="1">
      <c r="A57" s="2295">
        <v>39630</v>
      </c>
      <c r="B57" s="2283">
        <v>5.43</v>
      </c>
      <c r="C57" s="2284">
        <v>13.57</v>
      </c>
      <c r="D57" s="2284" t="s">
        <v>3345</v>
      </c>
      <c r="E57" s="2284">
        <v>537.29</v>
      </c>
      <c r="F57" s="3408" t="s">
        <v>3346</v>
      </c>
      <c r="G57" s="3409"/>
      <c r="H57" s="2261"/>
    </row>
    <row r="58" spans="1:8" ht="14.1" hidden="1" customHeight="1">
      <c r="A58" s="2295">
        <v>39661</v>
      </c>
      <c r="B58" s="2283">
        <v>1.95</v>
      </c>
      <c r="C58" s="2284">
        <v>1.71</v>
      </c>
      <c r="D58" s="2284" t="s">
        <v>3347</v>
      </c>
      <c r="E58" s="2284">
        <v>165.77</v>
      </c>
      <c r="F58" s="3407" t="s">
        <v>3348</v>
      </c>
      <c r="G58" s="3404"/>
      <c r="H58" s="2261"/>
    </row>
    <row r="59" spans="1:8" ht="14.1" hidden="1" customHeight="1">
      <c r="A59" s="2295">
        <v>39722</v>
      </c>
      <c r="B59" s="2283">
        <v>1.3</v>
      </c>
      <c r="C59" s="2284">
        <v>12.87</v>
      </c>
      <c r="D59" s="2284" t="s">
        <v>3349</v>
      </c>
      <c r="E59" s="2284">
        <v>464.44</v>
      </c>
      <c r="F59" s="3407" t="s">
        <v>3350</v>
      </c>
      <c r="G59" s="3404"/>
      <c r="H59" s="2261"/>
    </row>
    <row r="60" spans="1:8" ht="14.1" hidden="1" customHeight="1">
      <c r="A60" s="2295">
        <v>39753</v>
      </c>
      <c r="B60" s="2283">
        <v>2.66</v>
      </c>
      <c r="C60" s="2284">
        <v>6.73</v>
      </c>
      <c r="D60" s="2284" t="s">
        <v>3351</v>
      </c>
      <c r="E60" s="2284">
        <v>326.2</v>
      </c>
      <c r="F60" s="3407" t="s">
        <v>3352</v>
      </c>
      <c r="G60" s="3404"/>
      <c r="H60" s="2261"/>
    </row>
    <row r="61" spans="1:8" ht="14.1" hidden="1" customHeight="1">
      <c r="A61" s="2295">
        <v>39783</v>
      </c>
      <c r="B61" s="2283">
        <v>4.08</v>
      </c>
      <c r="C61" s="2284">
        <v>11.7</v>
      </c>
      <c r="D61" s="2284" t="s">
        <v>3353</v>
      </c>
      <c r="E61" s="2284">
        <v>558.11</v>
      </c>
      <c r="F61" s="3407" t="s">
        <v>3354</v>
      </c>
      <c r="G61" s="3404"/>
      <c r="H61" s="2261"/>
    </row>
    <row r="62" spans="1:8" ht="14.1" hidden="1" customHeight="1">
      <c r="A62" s="2295">
        <v>39814</v>
      </c>
      <c r="B62" s="2283">
        <v>3.52</v>
      </c>
      <c r="C62" s="2284">
        <v>3.45</v>
      </c>
      <c r="D62" s="2284" t="s">
        <v>3355</v>
      </c>
      <c r="E62" s="2284">
        <v>261.17</v>
      </c>
      <c r="F62" s="3407" t="s">
        <v>3356</v>
      </c>
      <c r="G62" s="3404"/>
      <c r="H62" s="2261"/>
    </row>
    <row r="63" spans="1:8" ht="14.1" hidden="1" customHeight="1">
      <c r="A63" s="2295">
        <v>39845</v>
      </c>
      <c r="B63" s="2283">
        <v>6.68</v>
      </c>
      <c r="C63" s="2284">
        <v>3.28</v>
      </c>
      <c r="D63" s="2284" t="s">
        <v>3357</v>
      </c>
      <c r="E63" s="2284">
        <v>437.05</v>
      </c>
      <c r="F63" s="3408" t="s">
        <v>3358</v>
      </c>
      <c r="G63" s="3409"/>
      <c r="H63" s="2261"/>
    </row>
    <row r="64" spans="1:8" ht="14.1" hidden="1" customHeight="1">
      <c r="A64" s="2295">
        <v>39873</v>
      </c>
      <c r="B64" s="2283">
        <v>4.8099999999999996</v>
      </c>
      <c r="C64" s="2284">
        <v>7.3</v>
      </c>
      <c r="D64" s="2284" t="s">
        <v>3359</v>
      </c>
      <c r="E64" s="2284">
        <v>488.8</v>
      </c>
      <c r="F64" s="3408" t="s">
        <v>3360</v>
      </c>
      <c r="G64" s="3409"/>
      <c r="H64" s="2261"/>
    </row>
    <row r="65" spans="1:8" ht="14.1" hidden="1" customHeight="1">
      <c r="A65" s="2295">
        <v>39904</v>
      </c>
      <c r="B65" s="2283">
        <v>4.34</v>
      </c>
      <c r="C65" s="2284">
        <v>7.63</v>
      </c>
      <c r="D65" s="2284" t="s">
        <v>3361</v>
      </c>
      <c r="E65" s="2284">
        <v>429.09</v>
      </c>
      <c r="F65" s="3408" t="s">
        <v>3362</v>
      </c>
      <c r="G65" s="3409"/>
      <c r="H65" s="2261"/>
    </row>
    <row r="66" spans="1:8" ht="14.1" hidden="1" customHeight="1">
      <c r="A66" s="2295">
        <v>39934</v>
      </c>
      <c r="B66" s="2283">
        <v>2.41</v>
      </c>
      <c r="C66" s="2284">
        <v>5.57</v>
      </c>
      <c r="D66" s="2284" t="s">
        <v>3363</v>
      </c>
      <c r="E66" s="2284">
        <v>304.04000000000002</v>
      </c>
      <c r="F66" s="3407" t="s">
        <v>3364</v>
      </c>
      <c r="G66" s="3404"/>
      <c r="H66" s="2261"/>
    </row>
    <row r="67" spans="1:8" ht="14.1" hidden="1" customHeight="1">
      <c r="A67" s="2295">
        <v>39965</v>
      </c>
      <c r="B67" s="2283">
        <v>3.08</v>
      </c>
      <c r="C67" s="2284">
        <v>6.08</v>
      </c>
      <c r="D67" s="2284" t="s">
        <v>3365</v>
      </c>
      <c r="E67" s="2284">
        <v>374.1</v>
      </c>
      <c r="F67" s="3407" t="s">
        <v>3366</v>
      </c>
      <c r="G67" s="3404"/>
      <c r="H67" s="2261"/>
    </row>
    <row r="68" spans="1:8" ht="14.1" hidden="1" customHeight="1">
      <c r="A68" s="2295">
        <v>39995</v>
      </c>
      <c r="B68" s="2283">
        <v>3.62</v>
      </c>
      <c r="C68" s="2284">
        <v>3.56</v>
      </c>
      <c r="D68" s="2284" t="s">
        <v>3367</v>
      </c>
      <c r="E68" s="2284">
        <v>289.12</v>
      </c>
      <c r="F68" s="3407" t="s">
        <v>3368</v>
      </c>
      <c r="G68" s="3404"/>
      <c r="H68" s="2261"/>
    </row>
    <row r="69" spans="1:8" ht="14.1" hidden="1" customHeight="1">
      <c r="A69" s="2295">
        <v>40026</v>
      </c>
      <c r="B69" s="2283">
        <v>6.85</v>
      </c>
      <c r="C69" s="2284">
        <v>1.93</v>
      </c>
      <c r="D69" s="2284" t="s">
        <v>3369</v>
      </c>
      <c r="E69" s="2284">
        <v>582.69000000000005</v>
      </c>
      <c r="F69" s="3407" t="s">
        <v>3370</v>
      </c>
      <c r="G69" s="3404"/>
      <c r="H69" s="2261"/>
    </row>
    <row r="70" spans="1:8" ht="14.1" hidden="1" customHeight="1">
      <c r="A70" s="2295">
        <v>40057</v>
      </c>
      <c r="B70" s="2283">
        <v>22.08</v>
      </c>
      <c r="C70" s="2284">
        <v>1.18</v>
      </c>
      <c r="D70" s="2284" t="s">
        <v>3371</v>
      </c>
      <c r="E70" s="2285">
        <v>1111.92</v>
      </c>
      <c r="F70" s="3407" t="s">
        <v>3372</v>
      </c>
      <c r="G70" s="3404"/>
      <c r="H70" s="2261"/>
    </row>
    <row r="71" spans="1:8" ht="14.1" hidden="1" customHeight="1">
      <c r="A71" s="2295">
        <v>40087</v>
      </c>
      <c r="B71" s="2283">
        <v>24.84</v>
      </c>
      <c r="C71" s="2284">
        <v>6.38</v>
      </c>
      <c r="D71" s="2284" t="s">
        <v>3373</v>
      </c>
      <c r="E71" s="2285">
        <v>1261</v>
      </c>
      <c r="F71" s="3407" t="s">
        <v>3374</v>
      </c>
      <c r="G71" s="3404"/>
      <c r="H71" s="2261"/>
    </row>
    <row r="72" spans="1:8" ht="14.1" hidden="1" customHeight="1">
      <c r="A72" s="2295">
        <v>40118</v>
      </c>
      <c r="B72" s="2283">
        <v>21.1</v>
      </c>
      <c r="C72" s="2284">
        <v>3.05</v>
      </c>
      <c r="D72" s="2284" t="s">
        <v>3375</v>
      </c>
      <c r="E72" s="2285">
        <v>1456.85</v>
      </c>
      <c r="F72" s="3407" t="s">
        <v>3376</v>
      </c>
      <c r="G72" s="3404"/>
      <c r="H72" s="2261"/>
    </row>
    <row r="73" spans="1:8" ht="14.1" hidden="1" customHeight="1">
      <c r="A73" s="2295">
        <v>40148</v>
      </c>
      <c r="B73" s="2283">
        <v>11.45</v>
      </c>
      <c r="C73" s="2284">
        <v>4</v>
      </c>
      <c r="D73" s="2284" t="s">
        <v>3377</v>
      </c>
      <c r="E73" s="2285">
        <v>1080.6500000000001</v>
      </c>
      <c r="F73" s="3407" t="s">
        <v>3378</v>
      </c>
      <c r="G73" s="3404"/>
      <c r="H73" s="2261"/>
    </row>
    <row r="74" spans="1:8" ht="14.1" hidden="1" customHeight="1">
      <c r="A74" s="2295">
        <v>40179</v>
      </c>
      <c r="B74" s="2283">
        <v>27.21</v>
      </c>
      <c r="C74" s="2284">
        <v>3.38</v>
      </c>
      <c r="D74" s="2284" t="s">
        <v>3379</v>
      </c>
      <c r="E74" s="2285">
        <v>1222.32</v>
      </c>
      <c r="F74" s="3407" t="s">
        <v>3380</v>
      </c>
      <c r="G74" s="3404"/>
      <c r="H74" s="2261"/>
    </row>
    <row r="75" spans="1:8" ht="14.1" hidden="1" customHeight="1">
      <c r="A75" s="2295">
        <v>40210</v>
      </c>
      <c r="B75" s="2283">
        <v>19.239999999999998</v>
      </c>
      <c r="C75" s="2284">
        <v>3.63</v>
      </c>
      <c r="D75" s="2284" t="s">
        <v>3381</v>
      </c>
      <c r="E75" s="2285">
        <v>951.84</v>
      </c>
      <c r="F75" s="3407" t="s">
        <v>3382</v>
      </c>
      <c r="G75" s="3404"/>
      <c r="H75" s="2261"/>
    </row>
    <row r="76" spans="1:8" ht="14.1" hidden="1" customHeight="1">
      <c r="A76" s="2295">
        <v>40238</v>
      </c>
      <c r="B76" s="2283">
        <v>23.2</v>
      </c>
      <c r="C76" s="2284">
        <v>12.02</v>
      </c>
      <c r="D76" s="2284" t="s">
        <v>3383</v>
      </c>
      <c r="E76" s="2285">
        <v>1425.47</v>
      </c>
      <c r="F76" s="3407" t="s">
        <v>3384</v>
      </c>
      <c r="G76" s="3404"/>
      <c r="H76" s="2261"/>
    </row>
    <row r="77" spans="1:8" ht="14.1" hidden="1" customHeight="1">
      <c r="A77" s="2295">
        <v>40269</v>
      </c>
      <c r="B77" s="2283">
        <v>16.72</v>
      </c>
      <c r="C77" s="2284">
        <v>8</v>
      </c>
      <c r="D77" s="2284" t="s">
        <v>3385</v>
      </c>
      <c r="E77" s="2285">
        <v>947.83</v>
      </c>
      <c r="F77" s="3407" t="s">
        <v>3386</v>
      </c>
      <c r="G77" s="3404"/>
      <c r="H77" s="2261"/>
    </row>
    <row r="78" spans="1:8" ht="14.1" hidden="1" customHeight="1">
      <c r="A78" s="2295">
        <v>40299</v>
      </c>
      <c r="B78" s="2283">
        <v>18.41</v>
      </c>
      <c r="C78" s="2284">
        <v>12.21</v>
      </c>
      <c r="D78" s="2284" t="s">
        <v>3387</v>
      </c>
      <c r="E78" s="2285">
        <v>1336.56</v>
      </c>
      <c r="F78" s="3407" t="s">
        <v>3388</v>
      </c>
      <c r="G78" s="3404"/>
      <c r="H78" s="2261"/>
    </row>
    <row r="79" spans="1:8" ht="14.1" hidden="1" customHeight="1">
      <c r="A79" s="2295">
        <v>40330</v>
      </c>
      <c r="B79" s="2283">
        <v>21.85</v>
      </c>
      <c r="C79" s="2284">
        <v>9.68</v>
      </c>
      <c r="D79" s="2284" t="s">
        <v>3389</v>
      </c>
      <c r="E79" s="2285">
        <v>1227.8</v>
      </c>
      <c r="F79" s="3407" t="s">
        <v>3390</v>
      </c>
      <c r="G79" s="3404"/>
      <c r="H79" s="2261"/>
    </row>
    <row r="80" spans="1:8" ht="14.1" hidden="1" customHeight="1">
      <c r="A80" s="2295">
        <v>40360</v>
      </c>
      <c r="B80" s="2283">
        <v>16.600000000000001</v>
      </c>
      <c r="C80" s="2284">
        <v>28.12</v>
      </c>
      <c r="D80" s="2284" t="s">
        <v>3391</v>
      </c>
      <c r="E80" s="2285">
        <v>1714.26</v>
      </c>
      <c r="F80" s="3407" t="s">
        <v>3392</v>
      </c>
      <c r="G80" s="3404"/>
      <c r="H80" s="2261"/>
    </row>
    <row r="81" spans="1:8" ht="14.1" hidden="1" customHeight="1">
      <c r="A81" s="2295">
        <v>40391</v>
      </c>
      <c r="B81" s="2283">
        <v>13.24</v>
      </c>
      <c r="C81" s="2284">
        <v>11.83</v>
      </c>
      <c r="D81" s="2284" t="s">
        <v>3393</v>
      </c>
      <c r="E81" s="2285">
        <v>939.88</v>
      </c>
      <c r="F81" s="3407" t="s">
        <v>3394</v>
      </c>
      <c r="G81" s="3404"/>
      <c r="H81" s="2261"/>
    </row>
    <row r="82" spans="1:8" ht="14.1" hidden="1" customHeight="1">
      <c r="A82" s="2295">
        <v>40422</v>
      </c>
      <c r="B82" s="2283">
        <v>20.89</v>
      </c>
      <c r="C82" s="2284">
        <v>6.03</v>
      </c>
      <c r="D82" s="2284" t="s">
        <v>3395</v>
      </c>
      <c r="E82" s="2285">
        <v>1097.56</v>
      </c>
      <c r="F82" s="3407" t="s">
        <v>3396</v>
      </c>
      <c r="G82" s="3404"/>
      <c r="H82" s="2261"/>
    </row>
    <row r="83" spans="1:8" ht="14.1" hidden="1" customHeight="1">
      <c r="A83" s="2295">
        <v>40452</v>
      </c>
      <c r="B83" s="2283">
        <v>18.71</v>
      </c>
      <c r="C83" s="2284">
        <v>5.26</v>
      </c>
      <c r="D83" s="2284" t="s">
        <v>3397</v>
      </c>
      <c r="E83" s="2285">
        <v>1046.9100000000001</v>
      </c>
      <c r="F83" s="3403" t="s">
        <v>3398</v>
      </c>
      <c r="G83" s="3404"/>
      <c r="H83" s="2261"/>
    </row>
    <row r="84" spans="1:8" ht="14.1" hidden="1" customHeight="1">
      <c r="A84" s="2295">
        <v>40483</v>
      </c>
      <c r="B84" s="2283">
        <v>29.44</v>
      </c>
      <c r="C84" s="2284">
        <v>5.84</v>
      </c>
      <c r="D84" s="2284" t="s">
        <v>3399</v>
      </c>
      <c r="E84" s="2285">
        <v>1280.3800000000001</v>
      </c>
      <c r="F84" s="3403" t="s">
        <v>3400</v>
      </c>
      <c r="G84" s="3404"/>
      <c r="H84" s="2261"/>
    </row>
    <row r="85" spans="1:8" ht="14.1" hidden="1" customHeight="1">
      <c r="A85" s="2295">
        <v>40513</v>
      </c>
      <c r="B85" s="2283">
        <v>35.69</v>
      </c>
      <c r="C85" s="2284">
        <v>5.16</v>
      </c>
      <c r="D85" s="2284" t="s">
        <v>3401</v>
      </c>
      <c r="E85" s="2285">
        <v>1728.3</v>
      </c>
      <c r="F85" s="3403" t="s">
        <v>3402</v>
      </c>
      <c r="G85" s="3404"/>
      <c r="H85" s="2261"/>
    </row>
    <row r="86" spans="1:8" ht="14.1" hidden="1" customHeight="1">
      <c r="A86" s="2295">
        <v>40544</v>
      </c>
      <c r="B86" s="2283">
        <v>23.73</v>
      </c>
      <c r="C86" s="2284">
        <v>7.69</v>
      </c>
      <c r="D86" s="2284" t="s">
        <v>3403</v>
      </c>
      <c r="E86" s="2285">
        <v>1204.47</v>
      </c>
      <c r="F86" s="3403" t="s">
        <v>3404</v>
      </c>
      <c r="G86" s="3404"/>
      <c r="H86" s="2261"/>
    </row>
    <row r="87" spans="1:8" ht="14.1" hidden="1" customHeight="1">
      <c r="A87" s="2295">
        <v>40575</v>
      </c>
      <c r="B87" s="2283">
        <v>24.14</v>
      </c>
      <c r="C87" s="2284">
        <v>6.37</v>
      </c>
      <c r="D87" s="2284" t="s">
        <v>3405</v>
      </c>
      <c r="E87" s="2285">
        <v>1096.3599999999999</v>
      </c>
      <c r="F87" s="3403" t="s">
        <v>3406</v>
      </c>
      <c r="G87" s="3404"/>
      <c r="H87" s="2261"/>
    </row>
    <row r="88" spans="1:8" ht="14.1" hidden="1" customHeight="1">
      <c r="A88" s="2295">
        <v>40603</v>
      </c>
      <c r="B88" s="2283">
        <v>24.19</v>
      </c>
      <c r="C88" s="2284">
        <v>13.15</v>
      </c>
      <c r="D88" s="2284" t="s">
        <v>3407</v>
      </c>
      <c r="E88" s="2285">
        <v>1310.5</v>
      </c>
      <c r="F88" s="3407" t="s">
        <v>3408</v>
      </c>
      <c r="G88" s="3404"/>
      <c r="H88" s="2261"/>
    </row>
    <row r="89" spans="1:8" ht="14.1" hidden="1" customHeight="1">
      <c r="A89" s="2295">
        <v>40634</v>
      </c>
      <c r="B89" s="2283">
        <v>21.19</v>
      </c>
      <c r="C89" s="2284">
        <v>6.92</v>
      </c>
      <c r="D89" s="2284" t="s">
        <v>3409</v>
      </c>
      <c r="E89" s="2285">
        <v>929.43</v>
      </c>
      <c r="F89" s="3403" t="s">
        <v>3410</v>
      </c>
      <c r="G89" s="3404"/>
      <c r="H89" s="2261"/>
    </row>
    <row r="90" spans="1:8" ht="14.1" hidden="1" customHeight="1">
      <c r="A90" s="2295">
        <v>40664</v>
      </c>
      <c r="B90" s="2283">
        <v>23.22</v>
      </c>
      <c r="C90" s="2284">
        <v>7.6</v>
      </c>
      <c r="D90" s="2284" t="s">
        <v>3411</v>
      </c>
      <c r="E90" s="2285">
        <v>1014.25</v>
      </c>
      <c r="F90" s="3403" t="s">
        <v>3412</v>
      </c>
      <c r="G90" s="3404"/>
      <c r="H90" s="2261"/>
    </row>
    <row r="91" spans="1:8" ht="14.1" hidden="1" customHeight="1">
      <c r="A91" s="2295">
        <v>40695</v>
      </c>
      <c r="B91" s="2283">
        <v>30.73</v>
      </c>
      <c r="C91" s="2284">
        <v>6.97</v>
      </c>
      <c r="D91" s="2284" t="s">
        <v>3413</v>
      </c>
      <c r="E91" s="2285">
        <v>1273.55</v>
      </c>
      <c r="F91" s="3403" t="s">
        <v>3414</v>
      </c>
      <c r="G91" s="3404"/>
      <c r="H91" s="2261"/>
    </row>
    <row r="92" spans="1:8" ht="14.1" hidden="1" customHeight="1">
      <c r="A92" s="2295">
        <v>40756</v>
      </c>
      <c r="B92" s="2283">
        <v>26.96</v>
      </c>
      <c r="C92" s="2284">
        <v>16.64</v>
      </c>
      <c r="D92" s="2284" t="s">
        <v>3415</v>
      </c>
      <c r="E92" s="2285">
        <v>1478.06</v>
      </c>
      <c r="F92" s="3403" t="s">
        <v>3416</v>
      </c>
      <c r="G92" s="3404"/>
      <c r="H92" s="2261"/>
    </row>
    <row r="93" spans="1:8" ht="14.1" hidden="1" customHeight="1">
      <c r="A93" s="2295">
        <v>40787</v>
      </c>
      <c r="B93" s="2283">
        <v>41.07</v>
      </c>
      <c r="C93" s="2284">
        <v>20.440000000000001</v>
      </c>
      <c r="D93" s="2284" t="s">
        <v>3417</v>
      </c>
      <c r="E93" s="2285">
        <v>1888.03</v>
      </c>
      <c r="F93" s="3403" t="s">
        <v>3418</v>
      </c>
      <c r="G93" s="3404"/>
      <c r="H93" s="2261"/>
    </row>
    <row r="94" spans="1:8" ht="14.1" hidden="1" customHeight="1">
      <c r="A94" s="2295">
        <v>40817</v>
      </c>
      <c r="B94" s="2283">
        <v>40.25</v>
      </c>
      <c r="C94" s="2284">
        <v>11.88</v>
      </c>
      <c r="D94" s="2284" t="s">
        <v>3419</v>
      </c>
      <c r="E94" s="2285">
        <v>1679.33</v>
      </c>
      <c r="F94" s="3403" t="s">
        <v>3420</v>
      </c>
      <c r="G94" s="3404"/>
      <c r="H94" s="2261"/>
    </row>
    <row r="95" spans="1:8" ht="14.1" hidden="1" customHeight="1">
      <c r="A95" s="2295">
        <v>40848</v>
      </c>
      <c r="B95" s="2283">
        <v>26.19</v>
      </c>
      <c r="C95" s="2284">
        <v>13.3</v>
      </c>
      <c r="D95" s="2284" t="s">
        <v>3421</v>
      </c>
      <c r="E95" s="2285">
        <v>1310.44</v>
      </c>
      <c r="F95" s="3403" t="s">
        <v>3422</v>
      </c>
      <c r="G95" s="3404"/>
      <c r="H95" s="2261"/>
    </row>
    <row r="96" spans="1:8" ht="14.1" hidden="1" customHeight="1">
      <c r="A96" s="2295">
        <v>40878</v>
      </c>
      <c r="B96" s="2283">
        <v>28.96</v>
      </c>
      <c r="C96" s="2284">
        <v>10.96</v>
      </c>
      <c r="D96" s="2284" t="s">
        <v>3423</v>
      </c>
      <c r="E96" s="2285">
        <v>1374.71</v>
      </c>
      <c r="F96" s="3403" t="s">
        <v>3424</v>
      </c>
      <c r="G96" s="3404"/>
      <c r="H96" s="2261"/>
    </row>
    <row r="97" spans="1:10" ht="14.1" hidden="1" customHeight="1">
      <c r="A97" s="2295">
        <v>40909</v>
      </c>
      <c r="B97" s="2283">
        <v>43.62</v>
      </c>
      <c r="C97" s="2284">
        <v>11.42</v>
      </c>
      <c r="D97" s="2284" t="s">
        <v>3425</v>
      </c>
      <c r="E97" s="2285">
        <v>1757.35</v>
      </c>
      <c r="F97" s="3403" t="s">
        <v>3426</v>
      </c>
      <c r="G97" s="3404"/>
      <c r="H97" s="2261"/>
    </row>
    <row r="98" spans="1:10" ht="14.1" hidden="1" customHeight="1">
      <c r="A98" s="2295">
        <v>40940</v>
      </c>
      <c r="B98" s="2283">
        <v>34.33</v>
      </c>
      <c r="C98" s="2284">
        <v>13.84</v>
      </c>
      <c r="D98" s="2284" t="s">
        <v>3427</v>
      </c>
      <c r="E98" s="2285">
        <v>1529.15</v>
      </c>
      <c r="F98" s="3403" t="s">
        <v>3428</v>
      </c>
      <c r="G98" s="3404"/>
      <c r="H98" s="2261"/>
    </row>
    <row r="99" spans="1:10" ht="14.1" hidden="1" customHeight="1">
      <c r="A99" s="2295">
        <v>40969</v>
      </c>
      <c r="B99" s="2283">
        <v>36.18</v>
      </c>
      <c r="C99" s="2284">
        <v>10.08</v>
      </c>
      <c r="D99" s="2284">
        <v>51.65</v>
      </c>
      <c r="E99" s="2285">
        <v>1511.19</v>
      </c>
      <c r="F99" s="3403" t="s">
        <v>3429</v>
      </c>
      <c r="G99" s="3404"/>
      <c r="H99" s="2261"/>
    </row>
    <row r="100" spans="1:10" ht="18.75" hidden="1" customHeight="1">
      <c r="A100" s="2295">
        <v>41000</v>
      </c>
      <c r="B100" s="2283">
        <v>43.08</v>
      </c>
      <c r="C100" s="2284">
        <v>11.34</v>
      </c>
      <c r="D100" s="2284">
        <v>58.45</v>
      </c>
      <c r="E100" s="2285">
        <v>1713.55</v>
      </c>
      <c r="F100" s="3403" t="s">
        <v>3430</v>
      </c>
      <c r="G100" s="3404"/>
      <c r="H100" s="2261"/>
    </row>
    <row r="101" spans="1:10" ht="16.5" hidden="1" customHeight="1">
      <c r="A101" s="2295">
        <v>41030</v>
      </c>
      <c r="B101" s="2283">
        <v>25.34</v>
      </c>
      <c r="C101" s="2284">
        <v>8.5500000000000007</v>
      </c>
      <c r="D101" s="2284">
        <v>37.869999999999997</v>
      </c>
      <c r="E101" s="2285">
        <v>1124.6199999999999</v>
      </c>
      <c r="F101" s="3403" t="s">
        <v>3431</v>
      </c>
      <c r="G101" s="3404"/>
      <c r="H101" s="2261"/>
    </row>
    <row r="102" spans="1:10" ht="16.5" hidden="1" customHeight="1">
      <c r="A102" s="2295">
        <v>41061</v>
      </c>
      <c r="B102" s="2283">
        <v>134.1</v>
      </c>
      <c r="C102" s="2284">
        <v>10.27</v>
      </c>
      <c r="D102" s="2284">
        <v>161.47999999999999</v>
      </c>
      <c r="E102" s="2285">
        <v>4958.6400000000003</v>
      </c>
      <c r="F102" s="3403" t="s">
        <v>3432</v>
      </c>
      <c r="G102" s="3404"/>
      <c r="H102" s="2261"/>
    </row>
    <row r="103" spans="1:10" ht="16.5" hidden="1" customHeight="1">
      <c r="A103" s="2295">
        <v>41091</v>
      </c>
      <c r="B103" s="2283">
        <v>67.73</v>
      </c>
      <c r="C103" s="2284">
        <v>10.91</v>
      </c>
      <c r="D103" s="2284">
        <v>92.16</v>
      </c>
      <c r="E103" s="2285">
        <v>2888.91</v>
      </c>
      <c r="F103" s="3403" t="s">
        <v>3433</v>
      </c>
      <c r="G103" s="3404"/>
      <c r="H103" s="2261"/>
    </row>
    <row r="104" spans="1:10" ht="16.5" hidden="1" customHeight="1">
      <c r="A104" s="2295">
        <v>41122</v>
      </c>
      <c r="B104" s="2283">
        <v>69.150000000000006</v>
      </c>
      <c r="C104" s="2284">
        <v>5.58</v>
      </c>
      <c r="D104" s="2284">
        <v>73.48</v>
      </c>
      <c r="E104" s="2285">
        <v>3172.96</v>
      </c>
      <c r="F104" s="3403" t="s">
        <v>3434</v>
      </c>
      <c r="G104" s="3404"/>
      <c r="H104" s="2261"/>
    </row>
    <row r="105" spans="1:10" ht="16.5" hidden="1" customHeight="1">
      <c r="A105" s="2295">
        <v>41153</v>
      </c>
      <c r="B105" s="2283">
        <v>37.659999999999997</v>
      </c>
      <c r="C105" s="2284">
        <v>16.37</v>
      </c>
      <c r="D105" s="2284">
        <v>95.18</v>
      </c>
      <c r="E105" s="2285">
        <v>2899.88</v>
      </c>
      <c r="F105" s="3403" t="s">
        <v>3435</v>
      </c>
      <c r="G105" s="3404"/>
      <c r="H105" s="2261"/>
    </row>
    <row r="106" spans="1:10" ht="16.5" hidden="1" customHeight="1">
      <c r="A106" s="2295">
        <v>41183</v>
      </c>
      <c r="B106" s="2283">
        <v>51.55</v>
      </c>
      <c r="C106" s="2284">
        <v>13.34</v>
      </c>
      <c r="D106" s="2284">
        <v>79.239999999999995</v>
      </c>
      <c r="E106" s="2285">
        <v>2457.33</v>
      </c>
      <c r="F106" s="3403" t="s">
        <v>3436</v>
      </c>
      <c r="G106" s="3404"/>
      <c r="H106" s="2261"/>
    </row>
    <row r="107" spans="1:10" ht="16.5" hidden="1" customHeight="1">
      <c r="A107" s="2295">
        <v>41214</v>
      </c>
      <c r="B107" s="2283">
        <v>47.28</v>
      </c>
      <c r="C107" s="2284">
        <v>8.08</v>
      </c>
      <c r="D107" s="2284">
        <v>68.89</v>
      </c>
      <c r="E107" s="2285">
        <v>2150.52</v>
      </c>
      <c r="F107" s="3403" t="s">
        <v>3437</v>
      </c>
      <c r="G107" s="3404"/>
      <c r="H107" s="2261"/>
    </row>
    <row r="108" spans="1:10" ht="16.5" hidden="1" customHeight="1">
      <c r="A108" s="2295">
        <v>41244</v>
      </c>
      <c r="B108" s="2283">
        <v>90.51</v>
      </c>
      <c r="C108" s="2284">
        <v>9.85</v>
      </c>
      <c r="D108" s="2284">
        <v>126.57</v>
      </c>
      <c r="E108" s="2285">
        <v>3910.75</v>
      </c>
      <c r="F108" s="3403" t="s">
        <v>3438</v>
      </c>
      <c r="G108" s="3404"/>
      <c r="H108" s="2261"/>
    </row>
    <row r="109" spans="1:10" ht="16.5" hidden="1" customHeight="1">
      <c r="A109" s="2295">
        <v>41275</v>
      </c>
      <c r="B109" s="2283">
        <v>97.06</v>
      </c>
      <c r="C109" s="2284">
        <v>14.61</v>
      </c>
      <c r="D109" s="2284">
        <v>148.71</v>
      </c>
      <c r="E109" s="2285">
        <v>4557.99</v>
      </c>
      <c r="F109" s="3403" t="s">
        <v>3439</v>
      </c>
      <c r="G109" s="3404"/>
      <c r="H109" s="2261"/>
    </row>
    <row r="110" spans="1:10" ht="16.5" hidden="1" customHeight="1">
      <c r="A110" s="2295">
        <v>41306</v>
      </c>
      <c r="B110" s="2283">
        <v>72.33</v>
      </c>
      <c r="C110" s="2284">
        <v>8.5</v>
      </c>
      <c r="D110" s="2284">
        <v>116.56</v>
      </c>
      <c r="E110" s="2285">
        <v>3580.41</v>
      </c>
      <c r="F110" s="3403" t="s">
        <v>3440</v>
      </c>
      <c r="G110" s="3404"/>
      <c r="H110" s="2261"/>
    </row>
    <row r="111" spans="1:10" ht="16.5" hidden="1" customHeight="1">
      <c r="A111" s="2295">
        <v>41334</v>
      </c>
      <c r="B111" s="2283">
        <v>32.83</v>
      </c>
      <c r="C111" s="2284">
        <v>8.01</v>
      </c>
      <c r="D111" s="2284">
        <v>104.06</v>
      </c>
      <c r="E111" s="2285">
        <v>3245.21</v>
      </c>
      <c r="F111" s="3403" t="s">
        <v>3441</v>
      </c>
      <c r="G111" s="3404"/>
      <c r="H111" s="2261"/>
      <c r="J111" s="2294"/>
    </row>
    <row r="112" spans="1:10" ht="16.5" hidden="1" customHeight="1" thickTop="1">
      <c r="A112" s="2295">
        <v>41365</v>
      </c>
      <c r="B112" s="2283">
        <v>31.14</v>
      </c>
      <c r="C112" s="2284">
        <v>6.42</v>
      </c>
      <c r="D112" s="2284">
        <v>94.44</v>
      </c>
      <c r="E112" s="2285">
        <v>2949.84</v>
      </c>
      <c r="F112" s="3403" t="s">
        <v>3442</v>
      </c>
      <c r="G112" s="3404"/>
      <c r="H112" s="2261"/>
      <c r="J112" s="2297"/>
    </row>
    <row r="113" spans="1:10" ht="16.5" hidden="1" customHeight="1" thickTop="1">
      <c r="A113" s="2295">
        <v>41395</v>
      </c>
      <c r="B113" s="2283">
        <v>37.270000000000003</v>
      </c>
      <c r="C113" s="2284">
        <v>8.11</v>
      </c>
      <c r="D113" s="2284">
        <v>67.290000000000006</v>
      </c>
      <c r="E113" s="2285">
        <v>3522.92</v>
      </c>
      <c r="F113" s="3403" t="s">
        <v>3443</v>
      </c>
      <c r="G113" s="3404"/>
      <c r="H113" s="2261"/>
    </row>
    <row r="114" spans="1:10" ht="16.5" hidden="1" customHeight="1" thickTop="1">
      <c r="A114" s="2295">
        <v>41426</v>
      </c>
      <c r="B114" s="2283">
        <v>24.57</v>
      </c>
      <c r="C114" s="2284">
        <v>6.94</v>
      </c>
      <c r="D114" s="2284">
        <v>78.48</v>
      </c>
      <c r="E114" s="2285">
        <v>2440.63</v>
      </c>
      <c r="F114" s="3403" t="s">
        <v>3444</v>
      </c>
      <c r="G114" s="3404"/>
      <c r="H114" s="2261"/>
    </row>
    <row r="115" spans="1:10" ht="16.5" customHeight="1" thickTop="1">
      <c r="A115" s="2295">
        <v>41456</v>
      </c>
      <c r="B115" s="2283">
        <v>38.03</v>
      </c>
      <c r="C115" s="2284">
        <v>10.35</v>
      </c>
      <c r="D115" s="2284">
        <v>120.38</v>
      </c>
      <c r="E115" s="2285">
        <v>3739.79</v>
      </c>
      <c r="F115" s="3403" t="s">
        <v>3445</v>
      </c>
      <c r="G115" s="3404"/>
      <c r="H115" s="2261"/>
    </row>
    <row r="116" spans="1:10" ht="16.5" customHeight="1">
      <c r="A116" s="2295">
        <v>41487</v>
      </c>
      <c r="B116" s="2283">
        <v>24.08</v>
      </c>
      <c r="C116" s="2284">
        <v>6.38</v>
      </c>
      <c r="D116" s="2284">
        <v>48.17</v>
      </c>
      <c r="E116" s="2285">
        <v>1492.87</v>
      </c>
      <c r="F116" s="3403" t="s">
        <v>3446</v>
      </c>
      <c r="G116" s="3404"/>
      <c r="H116" s="2261"/>
    </row>
    <row r="117" spans="1:10" ht="16.5" customHeight="1">
      <c r="A117" s="2295">
        <v>41518</v>
      </c>
      <c r="B117" s="2283">
        <v>23.82</v>
      </c>
      <c r="C117" s="2284">
        <v>8.5</v>
      </c>
      <c r="D117" s="2284">
        <v>41.91</v>
      </c>
      <c r="E117" s="2285">
        <v>1297.1099999999999</v>
      </c>
      <c r="F117" s="3403" t="s">
        <v>3447</v>
      </c>
      <c r="G117" s="3404"/>
      <c r="H117" s="2261"/>
    </row>
    <row r="118" spans="1:10" ht="16.5" customHeight="1">
      <c r="A118" s="2295">
        <v>41548</v>
      </c>
      <c r="B118" s="2283">
        <v>37.909999999999997</v>
      </c>
      <c r="C118" s="2284">
        <v>13.13</v>
      </c>
      <c r="D118" s="2284">
        <v>89.72</v>
      </c>
      <c r="E118" s="2285">
        <v>2724.34</v>
      </c>
      <c r="F118" s="3403" t="s">
        <v>3448</v>
      </c>
      <c r="G118" s="3404"/>
      <c r="H118" s="2261"/>
    </row>
    <row r="119" spans="1:10" ht="16.5" customHeight="1">
      <c r="A119" s="2295">
        <v>41579</v>
      </c>
      <c r="B119" s="2283">
        <v>19.329999999999998</v>
      </c>
      <c r="C119" s="2284">
        <v>9.5</v>
      </c>
      <c r="D119" s="2284">
        <v>93.5</v>
      </c>
      <c r="E119" s="2285">
        <v>2861.6</v>
      </c>
      <c r="F119" s="3403" t="s">
        <v>3449</v>
      </c>
      <c r="G119" s="3404"/>
      <c r="H119" s="2261"/>
    </row>
    <row r="120" spans="1:10" ht="16.5" customHeight="1">
      <c r="A120" s="2295">
        <v>41609</v>
      </c>
      <c r="B120" s="2283">
        <v>88.1</v>
      </c>
      <c r="C120" s="2284">
        <v>16.989999999999998</v>
      </c>
      <c r="D120" s="2284">
        <v>153.71</v>
      </c>
      <c r="E120" s="2285">
        <v>4662.2299999999996</v>
      </c>
      <c r="F120" s="3403" t="s">
        <v>3450</v>
      </c>
      <c r="G120" s="3404"/>
      <c r="H120" s="2261"/>
    </row>
    <row r="121" spans="1:10" ht="16.5" customHeight="1">
      <c r="A121" s="2295">
        <v>41640</v>
      </c>
      <c r="B121" s="2283">
        <v>67.38</v>
      </c>
      <c r="C121" s="2284">
        <v>5.07</v>
      </c>
      <c r="D121" s="2284">
        <v>136.83000000000001</v>
      </c>
      <c r="E121" s="2285">
        <v>4159.8999999999996</v>
      </c>
      <c r="F121" s="3403" t="s">
        <v>3451</v>
      </c>
      <c r="G121" s="3404"/>
      <c r="H121" s="2261"/>
      <c r="J121" s="2297"/>
    </row>
    <row r="122" spans="1:10" ht="16.5" customHeight="1">
      <c r="A122" s="2295">
        <v>41671</v>
      </c>
      <c r="B122" s="2283">
        <v>51.98</v>
      </c>
      <c r="C122" s="2284">
        <v>6.99</v>
      </c>
      <c r="D122" s="2284">
        <v>151.44999999999999</v>
      </c>
      <c r="E122" s="2285">
        <v>4603.47</v>
      </c>
      <c r="F122" s="3403" t="s">
        <v>3452</v>
      </c>
      <c r="G122" s="3404"/>
      <c r="H122" s="2261"/>
      <c r="J122" s="2294"/>
    </row>
    <row r="123" spans="1:10" ht="16.5" customHeight="1">
      <c r="A123" s="2295">
        <v>41699</v>
      </c>
      <c r="B123" s="2283">
        <v>62.26</v>
      </c>
      <c r="C123" s="2284">
        <v>9.14</v>
      </c>
      <c r="D123" s="2284">
        <v>123.72</v>
      </c>
      <c r="E123" s="2285">
        <v>3736.8</v>
      </c>
      <c r="F123" s="3403" t="s">
        <v>3453</v>
      </c>
      <c r="G123" s="3404"/>
      <c r="H123" s="2261"/>
      <c r="J123" s="2294"/>
    </row>
    <row r="124" spans="1:10" ht="16.5" customHeight="1">
      <c r="A124" s="2295">
        <v>41730</v>
      </c>
      <c r="B124" s="2283">
        <v>78.150000000000006</v>
      </c>
      <c r="C124" s="2284">
        <v>12.89</v>
      </c>
      <c r="D124" s="2284">
        <v>169.02</v>
      </c>
      <c r="E124" s="2285">
        <v>5100.54</v>
      </c>
      <c r="F124" s="3403" t="s">
        <v>3454</v>
      </c>
      <c r="G124" s="3404"/>
      <c r="H124" s="2261"/>
      <c r="J124" s="2294"/>
    </row>
    <row r="125" spans="1:10" ht="16.5" customHeight="1">
      <c r="A125" s="2295">
        <v>41760</v>
      </c>
      <c r="B125" s="2283">
        <v>58.18</v>
      </c>
      <c r="C125" s="2284">
        <v>40.369999999999997</v>
      </c>
      <c r="D125" s="2284">
        <v>161.15</v>
      </c>
      <c r="E125" s="2285">
        <v>4867.96</v>
      </c>
      <c r="F125" s="3403" t="s">
        <v>3455</v>
      </c>
      <c r="G125" s="3404"/>
      <c r="H125" s="2261"/>
      <c r="J125" s="2294"/>
    </row>
    <row r="126" spans="1:10" ht="16.5" customHeight="1">
      <c r="A126" s="2295">
        <v>41791</v>
      </c>
      <c r="B126" s="2283">
        <v>47.57</v>
      </c>
      <c r="C126" s="2284">
        <v>10.68</v>
      </c>
      <c r="D126" s="2284">
        <v>132.34</v>
      </c>
      <c r="E126" s="2285">
        <v>4029.02</v>
      </c>
      <c r="F126" s="3403" t="s">
        <v>3456</v>
      </c>
      <c r="G126" s="3404"/>
      <c r="H126" s="2261"/>
      <c r="J126" s="2294"/>
    </row>
    <row r="127" spans="1:10" ht="16.5" customHeight="1">
      <c r="A127" s="2295">
        <v>41821</v>
      </c>
      <c r="B127" s="2283">
        <v>59.9</v>
      </c>
      <c r="C127" s="2284">
        <v>15.14</v>
      </c>
      <c r="D127" s="2284">
        <v>124.94</v>
      </c>
      <c r="E127" s="2285">
        <v>3805.36</v>
      </c>
      <c r="F127" s="3403" t="s">
        <v>3457</v>
      </c>
      <c r="G127" s="3404"/>
      <c r="H127" s="2261"/>
      <c r="J127" s="2294"/>
    </row>
    <row r="128" spans="1:10" ht="14.1" customHeight="1" thickBot="1">
      <c r="A128" s="2298"/>
      <c r="B128" s="2299"/>
      <c r="C128" s="2300"/>
      <c r="D128" s="2300"/>
      <c r="E128" s="2300"/>
      <c r="F128" s="3405"/>
      <c r="G128" s="3406"/>
      <c r="H128" s="2261"/>
    </row>
    <row r="129" spans="1:9" ht="15.75" thickTop="1">
      <c r="A129" s="2301" t="s">
        <v>3458</v>
      </c>
      <c r="B129" s="2302"/>
      <c r="C129" s="2302"/>
      <c r="D129" s="2302"/>
      <c r="E129" s="2302"/>
      <c r="F129" s="2303"/>
      <c r="I129" s="2261"/>
    </row>
    <row r="130" spans="1:9">
      <c r="A130" s="2304"/>
      <c r="B130" s="2302"/>
      <c r="C130" s="2302"/>
      <c r="D130" s="2302"/>
      <c r="E130" s="2302"/>
      <c r="F130" s="2303"/>
      <c r="I130" s="2261"/>
    </row>
    <row r="131" spans="1:9">
      <c r="A131" s="2305" t="s">
        <v>3459</v>
      </c>
      <c r="B131" s="2302"/>
      <c r="C131" s="2302"/>
      <c r="D131" s="2302"/>
      <c r="E131" s="2302"/>
      <c r="F131" s="2303"/>
      <c r="I131" s="2261"/>
    </row>
    <row r="132" spans="1:9">
      <c r="A132" s="721"/>
      <c r="B132" s="2302"/>
      <c r="C132" s="2302"/>
      <c r="D132" s="2302"/>
      <c r="E132" s="2302"/>
      <c r="F132" s="2303"/>
      <c r="I132" s="2261"/>
    </row>
    <row r="133" spans="1:9" s="2307" customFormat="1" ht="17.25" customHeight="1">
      <c r="A133" s="2306" t="s">
        <v>180</v>
      </c>
      <c r="C133" s="2308"/>
      <c r="D133" s="2309"/>
    </row>
    <row r="134" spans="1:9">
      <c r="A134" s="2305"/>
      <c r="B134" s="2302"/>
      <c r="C134" s="2302"/>
      <c r="D134" s="2310"/>
      <c r="F134" s="2303"/>
      <c r="G134" s="2265"/>
      <c r="H134" s="2261"/>
      <c r="I134" s="2261"/>
    </row>
    <row r="135" spans="1:9" ht="15" customHeight="1">
      <c r="A135" s="2311"/>
      <c r="G135" s="2261"/>
      <c r="H135" s="2261"/>
      <c r="I135" s="2261"/>
    </row>
    <row r="136" spans="1:9" s="2307" customFormat="1" ht="17.25" customHeight="1">
      <c r="A136" s="2312"/>
      <c r="C136" s="2308"/>
      <c r="D136" s="2309"/>
    </row>
    <row r="137" spans="1:9" s="2307" customFormat="1" ht="17.25" customHeight="1">
      <c r="A137" s="2312"/>
      <c r="C137" s="2308"/>
      <c r="D137" s="2309"/>
    </row>
    <row r="138" spans="1:9" s="2307" customFormat="1" ht="13.5">
      <c r="A138" s="2312"/>
      <c r="C138" s="2308"/>
      <c r="D138" s="2309"/>
    </row>
    <row r="140" spans="1:9">
      <c r="A140" s="2313"/>
    </row>
    <row r="143" spans="1:9">
      <c r="F143" s="2262" t="s">
        <v>28</v>
      </c>
    </row>
    <row r="156" spans="4:4">
      <c r="D156" s="2315"/>
    </row>
  </sheetData>
  <mergeCells count="125">
    <mergeCell ref="F4:G4"/>
    <mergeCell ref="F5:G5"/>
    <mergeCell ref="F6:G6"/>
    <mergeCell ref="F7:G7"/>
    <mergeCell ref="F8:G8"/>
    <mergeCell ref="F9:G9"/>
    <mergeCell ref="F16:G16"/>
    <mergeCell ref="F17:G17"/>
    <mergeCell ref="F18:G18"/>
    <mergeCell ref="F19:G19"/>
    <mergeCell ref="F20:G20"/>
    <mergeCell ref="F21:G21"/>
    <mergeCell ref="F10:G10"/>
    <mergeCell ref="F11:G11"/>
    <mergeCell ref="F12:G12"/>
    <mergeCell ref="F13:G13"/>
    <mergeCell ref="F14:G14"/>
    <mergeCell ref="F15:G15"/>
    <mergeCell ref="F28:G28"/>
    <mergeCell ref="F29:G29"/>
    <mergeCell ref="F30:G30"/>
    <mergeCell ref="F31:G31"/>
    <mergeCell ref="F32:G32"/>
    <mergeCell ref="F33:G33"/>
    <mergeCell ref="F22:G22"/>
    <mergeCell ref="F23:G23"/>
    <mergeCell ref="F24:G24"/>
    <mergeCell ref="F25:G25"/>
    <mergeCell ref="F26:G26"/>
    <mergeCell ref="F27:G27"/>
    <mergeCell ref="F40:G40"/>
    <mergeCell ref="F41:G41"/>
    <mergeCell ref="F42:G42"/>
    <mergeCell ref="F43:G43"/>
    <mergeCell ref="F44:G44"/>
    <mergeCell ref="F45:G45"/>
    <mergeCell ref="F34:G34"/>
    <mergeCell ref="F35:G35"/>
    <mergeCell ref="F36:G36"/>
    <mergeCell ref="F37:G37"/>
    <mergeCell ref="F38:G38"/>
    <mergeCell ref="F39:G39"/>
    <mergeCell ref="F52:G52"/>
    <mergeCell ref="F53:G53"/>
    <mergeCell ref="F54:G54"/>
    <mergeCell ref="F55:G55"/>
    <mergeCell ref="F56:G56"/>
    <mergeCell ref="F57:G57"/>
    <mergeCell ref="F46:G46"/>
    <mergeCell ref="F47:G47"/>
    <mergeCell ref="F48:G48"/>
    <mergeCell ref="F49:G49"/>
    <mergeCell ref="F50:G50"/>
    <mergeCell ref="F51:G51"/>
    <mergeCell ref="F64:G64"/>
    <mergeCell ref="F65:G65"/>
    <mergeCell ref="F66:G66"/>
    <mergeCell ref="F67:G67"/>
    <mergeCell ref="F68:G68"/>
    <mergeCell ref="F69:G69"/>
    <mergeCell ref="F58:G58"/>
    <mergeCell ref="F59:G59"/>
    <mergeCell ref="F60:G60"/>
    <mergeCell ref="F61:G61"/>
    <mergeCell ref="F62:G62"/>
    <mergeCell ref="F63:G63"/>
    <mergeCell ref="F76:G76"/>
    <mergeCell ref="F77:G77"/>
    <mergeCell ref="F78:G78"/>
    <mergeCell ref="F79:G79"/>
    <mergeCell ref="F80:G80"/>
    <mergeCell ref="F81:G81"/>
    <mergeCell ref="F70:G70"/>
    <mergeCell ref="F71:G71"/>
    <mergeCell ref="F72:G72"/>
    <mergeCell ref="F73:G73"/>
    <mergeCell ref="F74:G74"/>
    <mergeCell ref="F75:G75"/>
    <mergeCell ref="F88:G88"/>
    <mergeCell ref="F89:G89"/>
    <mergeCell ref="F90:G90"/>
    <mergeCell ref="F91:G91"/>
    <mergeCell ref="F92:G92"/>
    <mergeCell ref="F93:G93"/>
    <mergeCell ref="F82:G82"/>
    <mergeCell ref="F83:G83"/>
    <mergeCell ref="F84:G84"/>
    <mergeCell ref="F85:G85"/>
    <mergeCell ref="F86:G86"/>
    <mergeCell ref="F87:G87"/>
    <mergeCell ref="F100:G100"/>
    <mergeCell ref="F101:G101"/>
    <mergeCell ref="F102:G102"/>
    <mergeCell ref="F103:G103"/>
    <mergeCell ref="F104:G104"/>
    <mergeCell ref="F105:G105"/>
    <mergeCell ref="F94:G94"/>
    <mergeCell ref="F95:G95"/>
    <mergeCell ref="F96:G96"/>
    <mergeCell ref="F97:G97"/>
    <mergeCell ref="F98:G98"/>
    <mergeCell ref="F99:G99"/>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24:G124"/>
    <mergeCell ref="F125:G125"/>
    <mergeCell ref="F126:G126"/>
    <mergeCell ref="F127:G127"/>
    <mergeCell ref="F128:G128"/>
    <mergeCell ref="F118:G118"/>
    <mergeCell ref="F119:G119"/>
    <mergeCell ref="F120:G120"/>
    <mergeCell ref="F121:G121"/>
    <mergeCell ref="F122:G122"/>
    <mergeCell ref="F123:G123"/>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2"/>
  <sheetViews>
    <sheetView showGridLines="0" zoomScaleNormal="100" workbookViewId="0">
      <selection activeCell="C155" sqref="C155"/>
    </sheetView>
  </sheetViews>
  <sheetFormatPr defaultRowHeight="15"/>
  <cols>
    <col min="1" max="1" width="10.7109375" style="2320" customWidth="1"/>
    <col min="2" max="2" width="11.28515625" style="2319" customWidth="1"/>
    <col min="3" max="3" width="12.7109375" style="2319" customWidth="1"/>
    <col min="4" max="4" width="12" style="2319" customWidth="1"/>
    <col min="5" max="5" width="12.5703125" style="2319" customWidth="1"/>
    <col min="6" max="6" width="10.85546875" style="2319" customWidth="1"/>
    <col min="7" max="7" width="12.42578125" style="2319" customWidth="1"/>
    <col min="8" max="8" width="10.42578125" style="2319" customWidth="1"/>
    <col min="9" max="9" width="12.7109375" style="2319" customWidth="1"/>
    <col min="10" max="10" width="16.85546875" style="2319" customWidth="1"/>
    <col min="11" max="11" width="9.140625" style="2319"/>
    <col min="12" max="12" width="8.7109375" style="2319" customWidth="1"/>
    <col min="13" max="256" width="9.140625" style="2319"/>
    <col min="257" max="257" width="10.7109375" style="2319" customWidth="1"/>
    <col min="258" max="265" width="10.42578125" style="2319" customWidth="1"/>
    <col min="266" max="266" width="14.28515625" style="2319" customWidth="1"/>
    <col min="267" max="267" width="9.140625" style="2319"/>
    <col min="268" max="268" width="8.7109375" style="2319" customWidth="1"/>
    <col min="269" max="512" width="9.140625" style="2319"/>
    <col min="513" max="513" width="10.7109375" style="2319" customWidth="1"/>
    <col min="514" max="521" width="10.42578125" style="2319" customWidth="1"/>
    <col min="522" max="522" width="14.28515625" style="2319" customWidth="1"/>
    <col min="523" max="523" width="9.140625" style="2319"/>
    <col min="524" max="524" width="8.7109375" style="2319" customWidth="1"/>
    <col min="525" max="768" width="9.140625" style="2319"/>
    <col min="769" max="769" width="10.7109375" style="2319" customWidth="1"/>
    <col min="770" max="777" width="10.42578125" style="2319" customWidth="1"/>
    <col min="778" max="778" width="14.28515625" style="2319" customWidth="1"/>
    <col min="779" max="779" width="9.140625" style="2319"/>
    <col min="780" max="780" width="8.7109375" style="2319" customWidth="1"/>
    <col min="781" max="1024" width="9.140625" style="2319"/>
    <col min="1025" max="1025" width="10.7109375" style="2319" customWidth="1"/>
    <col min="1026" max="1033" width="10.42578125" style="2319" customWidth="1"/>
    <col min="1034" max="1034" width="14.28515625" style="2319" customWidth="1"/>
    <col min="1035" max="1035" width="9.140625" style="2319"/>
    <col min="1036" max="1036" width="8.7109375" style="2319" customWidth="1"/>
    <col min="1037" max="1280" width="9.140625" style="2319"/>
    <col min="1281" max="1281" width="10.7109375" style="2319" customWidth="1"/>
    <col min="1282" max="1289" width="10.42578125" style="2319" customWidth="1"/>
    <col min="1290" max="1290" width="14.28515625" style="2319" customWidth="1"/>
    <col min="1291" max="1291" width="9.140625" style="2319"/>
    <col min="1292" max="1292" width="8.7109375" style="2319" customWidth="1"/>
    <col min="1293" max="1536" width="9.140625" style="2319"/>
    <col min="1537" max="1537" width="10.7109375" style="2319" customWidth="1"/>
    <col min="1538" max="1545" width="10.42578125" style="2319" customWidth="1"/>
    <col min="1546" max="1546" width="14.28515625" style="2319" customWidth="1"/>
    <col min="1547" max="1547" width="9.140625" style="2319"/>
    <col min="1548" max="1548" width="8.7109375" style="2319" customWidth="1"/>
    <col min="1549" max="1792" width="9.140625" style="2319"/>
    <col min="1793" max="1793" width="10.7109375" style="2319" customWidth="1"/>
    <col min="1794" max="1801" width="10.42578125" style="2319" customWidth="1"/>
    <col min="1802" max="1802" width="14.28515625" style="2319" customWidth="1"/>
    <col min="1803" max="1803" width="9.140625" style="2319"/>
    <col min="1804" max="1804" width="8.7109375" style="2319" customWidth="1"/>
    <col min="1805" max="2048" width="9.140625" style="2319"/>
    <col min="2049" max="2049" width="10.7109375" style="2319" customWidth="1"/>
    <col min="2050" max="2057" width="10.42578125" style="2319" customWidth="1"/>
    <col min="2058" max="2058" width="14.28515625" style="2319" customWidth="1"/>
    <col min="2059" max="2059" width="9.140625" style="2319"/>
    <col min="2060" max="2060" width="8.7109375" style="2319" customWidth="1"/>
    <col min="2061" max="2304" width="9.140625" style="2319"/>
    <col min="2305" max="2305" width="10.7109375" style="2319" customWidth="1"/>
    <col min="2306" max="2313" width="10.42578125" style="2319" customWidth="1"/>
    <col min="2314" max="2314" width="14.28515625" style="2319" customWidth="1"/>
    <col min="2315" max="2315" width="9.140625" style="2319"/>
    <col min="2316" max="2316" width="8.7109375" style="2319" customWidth="1"/>
    <col min="2317" max="2560" width="9.140625" style="2319"/>
    <col min="2561" max="2561" width="10.7109375" style="2319" customWidth="1"/>
    <col min="2562" max="2569" width="10.42578125" style="2319" customWidth="1"/>
    <col min="2570" max="2570" width="14.28515625" style="2319" customWidth="1"/>
    <col min="2571" max="2571" width="9.140625" style="2319"/>
    <col min="2572" max="2572" width="8.7109375" style="2319" customWidth="1"/>
    <col min="2573" max="2816" width="9.140625" style="2319"/>
    <col min="2817" max="2817" width="10.7109375" style="2319" customWidth="1"/>
    <col min="2818" max="2825" width="10.42578125" style="2319" customWidth="1"/>
    <col min="2826" max="2826" width="14.28515625" style="2319" customWidth="1"/>
    <col min="2827" max="2827" width="9.140625" style="2319"/>
    <col min="2828" max="2828" width="8.7109375" style="2319" customWidth="1"/>
    <col min="2829" max="3072" width="9.140625" style="2319"/>
    <col min="3073" max="3073" width="10.7109375" style="2319" customWidth="1"/>
    <col min="3074" max="3081" width="10.42578125" style="2319" customWidth="1"/>
    <col min="3082" max="3082" width="14.28515625" style="2319" customWidth="1"/>
    <col min="3083" max="3083" width="9.140625" style="2319"/>
    <col min="3084" max="3084" width="8.7109375" style="2319" customWidth="1"/>
    <col min="3085" max="3328" width="9.140625" style="2319"/>
    <col min="3329" max="3329" width="10.7109375" style="2319" customWidth="1"/>
    <col min="3330" max="3337" width="10.42578125" style="2319" customWidth="1"/>
    <col min="3338" max="3338" width="14.28515625" style="2319" customWidth="1"/>
    <col min="3339" max="3339" width="9.140625" style="2319"/>
    <col min="3340" max="3340" width="8.7109375" style="2319" customWidth="1"/>
    <col min="3341" max="3584" width="9.140625" style="2319"/>
    <col min="3585" max="3585" width="10.7109375" style="2319" customWidth="1"/>
    <col min="3586" max="3593" width="10.42578125" style="2319" customWidth="1"/>
    <col min="3594" max="3594" width="14.28515625" style="2319" customWidth="1"/>
    <col min="3595" max="3595" width="9.140625" style="2319"/>
    <col min="3596" max="3596" width="8.7109375" style="2319" customWidth="1"/>
    <col min="3597" max="3840" width="9.140625" style="2319"/>
    <col min="3841" max="3841" width="10.7109375" style="2319" customWidth="1"/>
    <col min="3842" max="3849" width="10.42578125" style="2319" customWidth="1"/>
    <col min="3850" max="3850" width="14.28515625" style="2319" customWidth="1"/>
    <col min="3851" max="3851" width="9.140625" style="2319"/>
    <col min="3852" max="3852" width="8.7109375" style="2319" customWidth="1"/>
    <col min="3853" max="4096" width="9.140625" style="2319"/>
    <col min="4097" max="4097" width="10.7109375" style="2319" customWidth="1"/>
    <col min="4098" max="4105" width="10.42578125" style="2319" customWidth="1"/>
    <col min="4106" max="4106" width="14.28515625" style="2319" customWidth="1"/>
    <col min="4107" max="4107" width="9.140625" style="2319"/>
    <col min="4108" max="4108" width="8.7109375" style="2319" customWidth="1"/>
    <col min="4109" max="4352" width="9.140625" style="2319"/>
    <col min="4353" max="4353" width="10.7109375" style="2319" customWidth="1"/>
    <col min="4354" max="4361" width="10.42578125" style="2319" customWidth="1"/>
    <col min="4362" max="4362" width="14.28515625" style="2319" customWidth="1"/>
    <col min="4363" max="4363" width="9.140625" style="2319"/>
    <col min="4364" max="4364" width="8.7109375" style="2319" customWidth="1"/>
    <col min="4365" max="4608" width="9.140625" style="2319"/>
    <col min="4609" max="4609" width="10.7109375" style="2319" customWidth="1"/>
    <col min="4610" max="4617" width="10.42578125" style="2319" customWidth="1"/>
    <col min="4618" max="4618" width="14.28515625" style="2319" customWidth="1"/>
    <col min="4619" max="4619" width="9.140625" style="2319"/>
    <col min="4620" max="4620" width="8.7109375" style="2319" customWidth="1"/>
    <col min="4621" max="4864" width="9.140625" style="2319"/>
    <col min="4865" max="4865" width="10.7109375" style="2319" customWidth="1"/>
    <col min="4866" max="4873" width="10.42578125" style="2319" customWidth="1"/>
    <col min="4874" max="4874" width="14.28515625" style="2319" customWidth="1"/>
    <col min="4875" max="4875" width="9.140625" style="2319"/>
    <col min="4876" max="4876" width="8.7109375" style="2319" customWidth="1"/>
    <col min="4877" max="5120" width="9.140625" style="2319"/>
    <col min="5121" max="5121" width="10.7109375" style="2319" customWidth="1"/>
    <col min="5122" max="5129" width="10.42578125" style="2319" customWidth="1"/>
    <col min="5130" max="5130" width="14.28515625" style="2319" customWidth="1"/>
    <col min="5131" max="5131" width="9.140625" style="2319"/>
    <col min="5132" max="5132" width="8.7109375" style="2319" customWidth="1"/>
    <col min="5133" max="5376" width="9.140625" style="2319"/>
    <col min="5377" max="5377" width="10.7109375" style="2319" customWidth="1"/>
    <col min="5378" max="5385" width="10.42578125" style="2319" customWidth="1"/>
    <col min="5386" max="5386" width="14.28515625" style="2319" customWidth="1"/>
    <col min="5387" max="5387" width="9.140625" style="2319"/>
    <col min="5388" max="5388" width="8.7109375" style="2319" customWidth="1"/>
    <col min="5389" max="5632" width="9.140625" style="2319"/>
    <col min="5633" max="5633" width="10.7109375" style="2319" customWidth="1"/>
    <col min="5634" max="5641" width="10.42578125" style="2319" customWidth="1"/>
    <col min="5642" max="5642" width="14.28515625" style="2319" customWidth="1"/>
    <col min="5643" max="5643" width="9.140625" style="2319"/>
    <col min="5644" max="5644" width="8.7109375" style="2319" customWidth="1"/>
    <col min="5645" max="5888" width="9.140625" style="2319"/>
    <col min="5889" max="5889" width="10.7109375" style="2319" customWidth="1"/>
    <col min="5890" max="5897" width="10.42578125" style="2319" customWidth="1"/>
    <col min="5898" max="5898" width="14.28515625" style="2319" customWidth="1"/>
    <col min="5899" max="5899" width="9.140625" style="2319"/>
    <col min="5900" max="5900" width="8.7109375" style="2319" customWidth="1"/>
    <col min="5901" max="6144" width="9.140625" style="2319"/>
    <col min="6145" max="6145" width="10.7109375" style="2319" customWidth="1"/>
    <col min="6146" max="6153" width="10.42578125" style="2319" customWidth="1"/>
    <col min="6154" max="6154" width="14.28515625" style="2319" customWidth="1"/>
    <col min="6155" max="6155" width="9.140625" style="2319"/>
    <col min="6156" max="6156" width="8.7109375" style="2319" customWidth="1"/>
    <col min="6157" max="6400" width="9.140625" style="2319"/>
    <col min="6401" max="6401" width="10.7109375" style="2319" customWidth="1"/>
    <col min="6402" max="6409" width="10.42578125" style="2319" customWidth="1"/>
    <col min="6410" max="6410" width="14.28515625" style="2319" customWidth="1"/>
    <col min="6411" max="6411" width="9.140625" style="2319"/>
    <col min="6412" max="6412" width="8.7109375" style="2319" customWidth="1"/>
    <col min="6413" max="6656" width="9.140625" style="2319"/>
    <col min="6657" max="6657" width="10.7109375" style="2319" customWidth="1"/>
    <col min="6658" max="6665" width="10.42578125" style="2319" customWidth="1"/>
    <col min="6666" max="6666" width="14.28515625" style="2319" customWidth="1"/>
    <col min="6667" max="6667" width="9.140625" style="2319"/>
    <col min="6668" max="6668" width="8.7109375" style="2319" customWidth="1"/>
    <col min="6669" max="6912" width="9.140625" style="2319"/>
    <col min="6913" max="6913" width="10.7109375" style="2319" customWidth="1"/>
    <col min="6914" max="6921" width="10.42578125" style="2319" customWidth="1"/>
    <col min="6922" max="6922" width="14.28515625" style="2319" customWidth="1"/>
    <col min="6923" max="6923" width="9.140625" style="2319"/>
    <col min="6924" max="6924" width="8.7109375" style="2319" customWidth="1"/>
    <col min="6925" max="7168" width="9.140625" style="2319"/>
    <col min="7169" max="7169" width="10.7109375" style="2319" customWidth="1"/>
    <col min="7170" max="7177" width="10.42578125" style="2319" customWidth="1"/>
    <col min="7178" max="7178" width="14.28515625" style="2319" customWidth="1"/>
    <col min="7179" max="7179" width="9.140625" style="2319"/>
    <col min="7180" max="7180" width="8.7109375" style="2319" customWidth="1"/>
    <col min="7181" max="7424" width="9.140625" style="2319"/>
    <col min="7425" max="7425" width="10.7109375" style="2319" customWidth="1"/>
    <col min="7426" max="7433" width="10.42578125" style="2319" customWidth="1"/>
    <col min="7434" max="7434" width="14.28515625" style="2319" customWidth="1"/>
    <col min="7435" max="7435" width="9.140625" style="2319"/>
    <col min="7436" max="7436" width="8.7109375" style="2319" customWidth="1"/>
    <col min="7437" max="7680" width="9.140625" style="2319"/>
    <col min="7681" max="7681" width="10.7109375" style="2319" customWidth="1"/>
    <col min="7682" max="7689" width="10.42578125" style="2319" customWidth="1"/>
    <col min="7690" max="7690" width="14.28515625" style="2319" customWidth="1"/>
    <col min="7691" max="7691" width="9.140625" style="2319"/>
    <col min="7692" max="7692" width="8.7109375" style="2319" customWidth="1"/>
    <col min="7693" max="7936" width="9.140625" style="2319"/>
    <col min="7937" max="7937" width="10.7109375" style="2319" customWidth="1"/>
    <col min="7938" max="7945" width="10.42578125" style="2319" customWidth="1"/>
    <col min="7946" max="7946" width="14.28515625" style="2319" customWidth="1"/>
    <col min="7947" max="7947" width="9.140625" style="2319"/>
    <col min="7948" max="7948" width="8.7109375" style="2319" customWidth="1"/>
    <col min="7949" max="8192" width="9.140625" style="2319"/>
    <col min="8193" max="8193" width="10.7109375" style="2319" customWidth="1"/>
    <col min="8194" max="8201" width="10.42578125" style="2319" customWidth="1"/>
    <col min="8202" max="8202" width="14.28515625" style="2319" customWidth="1"/>
    <col min="8203" max="8203" width="9.140625" style="2319"/>
    <col min="8204" max="8204" width="8.7109375" style="2319" customWidth="1"/>
    <col min="8205" max="8448" width="9.140625" style="2319"/>
    <col min="8449" max="8449" width="10.7109375" style="2319" customWidth="1"/>
    <col min="8450" max="8457" width="10.42578125" style="2319" customWidth="1"/>
    <col min="8458" max="8458" width="14.28515625" style="2319" customWidth="1"/>
    <col min="8459" max="8459" width="9.140625" style="2319"/>
    <col min="8460" max="8460" width="8.7109375" style="2319" customWidth="1"/>
    <col min="8461" max="8704" width="9.140625" style="2319"/>
    <col min="8705" max="8705" width="10.7109375" style="2319" customWidth="1"/>
    <col min="8706" max="8713" width="10.42578125" style="2319" customWidth="1"/>
    <col min="8714" max="8714" width="14.28515625" style="2319" customWidth="1"/>
    <col min="8715" max="8715" width="9.140625" style="2319"/>
    <col min="8716" max="8716" width="8.7109375" style="2319" customWidth="1"/>
    <col min="8717" max="8960" width="9.140625" style="2319"/>
    <col min="8961" max="8961" width="10.7109375" style="2319" customWidth="1"/>
    <col min="8962" max="8969" width="10.42578125" style="2319" customWidth="1"/>
    <col min="8970" max="8970" width="14.28515625" style="2319" customWidth="1"/>
    <col min="8971" max="8971" width="9.140625" style="2319"/>
    <col min="8972" max="8972" width="8.7109375" style="2319" customWidth="1"/>
    <col min="8973" max="9216" width="9.140625" style="2319"/>
    <col min="9217" max="9217" width="10.7109375" style="2319" customWidth="1"/>
    <col min="9218" max="9225" width="10.42578125" style="2319" customWidth="1"/>
    <col min="9226" max="9226" width="14.28515625" style="2319" customWidth="1"/>
    <col min="9227" max="9227" width="9.140625" style="2319"/>
    <col min="9228" max="9228" width="8.7109375" style="2319" customWidth="1"/>
    <col min="9229" max="9472" width="9.140625" style="2319"/>
    <col min="9473" max="9473" width="10.7109375" style="2319" customWidth="1"/>
    <col min="9474" max="9481" width="10.42578125" style="2319" customWidth="1"/>
    <col min="9482" max="9482" width="14.28515625" style="2319" customWidth="1"/>
    <col min="9483" max="9483" width="9.140625" style="2319"/>
    <col min="9484" max="9484" width="8.7109375" style="2319" customWidth="1"/>
    <col min="9485" max="9728" width="9.140625" style="2319"/>
    <col min="9729" max="9729" width="10.7109375" style="2319" customWidth="1"/>
    <col min="9730" max="9737" width="10.42578125" style="2319" customWidth="1"/>
    <col min="9738" max="9738" width="14.28515625" style="2319" customWidth="1"/>
    <col min="9739" max="9739" width="9.140625" style="2319"/>
    <col min="9740" max="9740" width="8.7109375" style="2319" customWidth="1"/>
    <col min="9741" max="9984" width="9.140625" style="2319"/>
    <col min="9985" max="9985" width="10.7109375" style="2319" customWidth="1"/>
    <col min="9986" max="9993" width="10.42578125" style="2319" customWidth="1"/>
    <col min="9994" max="9994" width="14.28515625" style="2319" customWidth="1"/>
    <col min="9995" max="9995" width="9.140625" style="2319"/>
    <col min="9996" max="9996" width="8.7109375" style="2319" customWidth="1"/>
    <col min="9997" max="10240" width="9.140625" style="2319"/>
    <col min="10241" max="10241" width="10.7109375" style="2319" customWidth="1"/>
    <col min="10242" max="10249" width="10.42578125" style="2319" customWidth="1"/>
    <col min="10250" max="10250" width="14.28515625" style="2319" customWidth="1"/>
    <col min="10251" max="10251" width="9.140625" style="2319"/>
    <col min="10252" max="10252" width="8.7109375" style="2319" customWidth="1"/>
    <col min="10253" max="10496" width="9.140625" style="2319"/>
    <col min="10497" max="10497" width="10.7109375" style="2319" customWidth="1"/>
    <col min="10498" max="10505" width="10.42578125" style="2319" customWidth="1"/>
    <col min="10506" max="10506" width="14.28515625" style="2319" customWidth="1"/>
    <col min="10507" max="10507" width="9.140625" style="2319"/>
    <col min="10508" max="10508" width="8.7109375" style="2319" customWidth="1"/>
    <col min="10509" max="10752" width="9.140625" style="2319"/>
    <col min="10753" max="10753" width="10.7109375" style="2319" customWidth="1"/>
    <col min="10754" max="10761" width="10.42578125" style="2319" customWidth="1"/>
    <col min="10762" max="10762" width="14.28515625" style="2319" customWidth="1"/>
    <col min="10763" max="10763" width="9.140625" style="2319"/>
    <col min="10764" max="10764" width="8.7109375" style="2319" customWidth="1"/>
    <col min="10765" max="11008" width="9.140625" style="2319"/>
    <col min="11009" max="11009" width="10.7109375" style="2319" customWidth="1"/>
    <col min="11010" max="11017" width="10.42578125" style="2319" customWidth="1"/>
    <col min="11018" max="11018" width="14.28515625" style="2319" customWidth="1"/>
    <col min="11019" max="11019" width="9.140625" style="2319"/>
    <col min="11020" max="11020" width="8.7109375" style="2319" customWidth="1"/>
    <col min="11021" max="11264" width="9.140625" style="2319"/>
    <col min="11265" max="11265" width="10.7109375" style="2319" customWidth="1"/>
    <col min="11266" max="11273" width="10.42578125" style="2319" customWidth="1"/>
    <col min="11274" max="11274" width="14.28515625" style="2319" customWidth="1"/>
    <col min="11275" max="11275" width="9.140625" style="2319"/>
    <col min="11276" max="11276" width="8.7109375" style="2319" customWidth="1"/>
    <col min="11277" max="11520" width="9.140625" style="2319"/>
    <col min="11521" max="11521" width="10.7109375" style="2319" customWidth="1"/>
    <col min="11522" max="11529" width="10.42578125" style="2319" customWidth="1"/>
    <col min="11530" max="11530" width="14.28515625" style="2319" customWidth="1"/>
    <col min="11531" max="11531" width="9.140625" style="2319"/>
    <col min="11532" max="11532" width="8.7109375" style="2319" customWidth="1"/>
    <col min="11533" max="11776" width="9.140625" style="2319"/>
    <col min="11777" max="11777" width="10.7109375" style="2319" customWidth="1"/>
    <col min="11778" max="11785" width="10.42578125" style="2319" customWidth="1"/>
    <col min="11786" max="11786" width="14.28515625" style="2319" customWidth="1"/>
    <col min="11787" max="11787" width="9.140625" style="2319"/>
    <col min="11788" max="11788" width="8.7109375" style="2319" customWidth="1"/>
    <col min="11789" max="12032" width="9.140625" style="2319"/>
    <col min="12033" max="12033" width="10.7109375" style="2319" customWidth="1"/>
    <col min="12034" max="12041" width="10.42578125" style="2319" customWidth="1"/>
    <col min="12042" max="12042" width="14.28515625" style="2319" customWidth="1"/>
    <col min="12043" max="12043" width="9.140625" style="2319"/>
    <col min="12044" max="12044" width="8.7109375" style="2319" customWidth="1"/>
    <col min="12045" max="12288" width="9.140625" style="2319"/>
    <col min="12289" max="12289" width="10.7109375" style="2319" customWidth="1"/>
    <col min="12290" max="12297" width="10.42578125" style="2319" customWidth="1"/>
    <col min="12298" max="12298" width="14.28515625" style="2319" customWidth="1"/>
    <col min="12299" max="12299" width="9.140625" style="2319"/>
    <col min="12300" max="12300" width="8.7109375" style="2319" customWidth="1"/>
    <col min="12301" max="12544" width="9.140625" style="2319"/>
    <col min="12545" max="12545" width="10.7109375" style="2319" customWidth="1"/>
    <col min="12546" max="12553" width="10.42578125" style="2319" customWidth="1"/>
    <col min="12554" max="12554" width="14.28515625" style="2319" customWidth="1"/>
    <col min="12555" max="12555" width="9.140625" style="2319"/>
    <col min="12556" max="12556" width="8.7109375" style="2319" customWidth="1"/>
    <col min="12557" max="12800" width="9.140625" style="2319"/>
    <col min="12801" max="12801" width="10.7109375" style="2319" customWidth="1"/>
    <col min="12802" max="12809" width="10.42578125" style="2319" customWidth="1"/>
    <col min="12810" max="12810" width="14.28515625" style="2319" customWidth="1"/>
    <col min="12811" max="12811" width="9.140625" style="2319"/>
    <col min="12812" max="12812" width="8.7109375" style="2319" customWidth="1"/>
    <col min="12813" max="13056" width="9.140625" style="2319"/>
    <col min="13057" max="13057" width="10.7109375" style="2319" customWidth="1"/>
    <col min="13058" max="13065" width="10.42578125" style="2319" customWidth="1"/>
    <col min="13066" max="13066" width="14.28515625" style="2319" customWidth="1"/>
    <col min="13067" max="13067" width="9.140625" style="2319"/>
    <col min="13068" max="13068" width="8.7109375" style="2319" customWidth="1"/>
    <col min="13069" max="13312" width="9.140625" style="2319"/>
    <col min="13313" max="13313" width="10.7109375" style="2319" customWidth="1"/>
    <col min="13314" max="13321" width="10.42578125" style="2319" customWidth="1"/>
    <col min="13322" max="13322" width="14.28515625" style="2319" customWidth="1"/>
    <col min="13323" max="13323" width="9.140625" style="2319"/>
    <col min="13324" max="13324" width="8.7109375" style="2319" customWidth="1"/>
    <col min="13325" max="13568" width="9.140625" style="2319"/>
    <col min="13569" max="13569" width="10.7109375" style="2319" customWidth="1"/>
    <col min="13570" max="13577" width="10.42578125" style="2319" customWidth="1"/>
    <col min="13578" max="13578" width="14.28515625" style="2319" customWidth="1"/>
    <col min="13579" max="13579" width="9.140625" style="2319"/>
    <col min="13580" max="13580" width="8.7109375" style="2319" customWidth="1"/>
    <col min="13581" max="13824" width="9.140625" style="2319"/>
    <col min="13825" max="13825" width="10.7109375" style="2319" customWidth="1"/>
    <col min="13826" max="13833" width="10.42578125" style="2319" customWidth="1"/>
    <col min="13834" max="13834" width="14.28515625" style="2319" customWidth="1"/>
    <col min="13835" max="13835" width="9.140625" style="2319"/>
    <col min="13836" max="13836" width="8.7109375" style="2319" customWidth="1"/>
    <col min="13837" max="14080" width="9.140625" style="2319"/>
    <col min="14081" max="14081" width="10.7109375" style="2319" customWidth="1"/>
    <col min="14082" max="14089" width="10.42578125" style="2319" customWidth="1"/>
    <col min="14090" max="14090" width="14.28515625" style="2319" customWidth="1"/>
    <col min="14091" max="14091" width="9.140625" style="2319"/>
    <col min="14092" max="14092" width="8.7109375" style="2319" customWidth="1"/>
    <col min="14093" max="14336" width="9.140625" style="2319"/>
    <col min="14337" max="14337" width="10.7109375" style="2319" customWidth="1"/>
    <col min="14338" max="14345" width="10.42578125" style="2319" customWidth="1"/>
    <col min="14346" max="14346" width="14.28515625" style="2319" customWidth="1"/>
    <col min="14347" max="14347" width="9.140625" style="2319"/>
    <col min="14348" max="14348" width="8.7109375" style="2319" customWidth="1"/>
    <col min="14349" max="14592" width="9.140625" style="2319"/>
    <col min="14593" max="14593" width="10.7109375" style="2319" customWidth="1"/>
    <col min="14594" max="14601" width="10.42578125" style="2319" customWidth="1"/>
    <col min="14602" max="14602" width="14.28515625" style="2319" customWidth="1"/>
    <col min="14603" max="14603" width="9.140625" style="2319"/>
    <col min="14604" max="14604" width="8.7109375" style="2319" customWidth="1"/>
    <col min="14605" max="14848" width="9.140625" style="2319"/>
    <col min="14849" max="14849" width="10.7109375" style="2319" customWidth="1"/>
    <col min="14850" max="14857" width="10.42578125" style="2319" customWidth="1"/>
    <col min="14858" max="14858" width="14.28515625" style="2319" customWidth="1"/>
    <col min="14859" max="14859" width="9.140625" style="2319"/>
    <col min="14860" max="14860" width="8.7109375" style="2319" customWidth="1"/>
    <col min="14861" max="15104" width="9.140625" style="2319"/>
    <col min="15105" max="15105" width="10.7109375" style="2319" customWidth="1"/>
    <col min="15106" max="15113" width="10.42578125" style="2319" customWidth="1"/>
    <col min="15114" max="15114" width="14.28515625" style="2319" customWidth="1"/>
    <col min="15115" max="15115" width="9.140625" style="2319"/>
    <col min="15116" max="15116" width="8.7109375" style="2319" customWidth="1"/>
    <col min="15117" max="15360" width="9.140625" style="2319"/>
    <col min="15361" max="15361" width="10.7109375" style="2319" customWidth="1"/>
    <col min="15362" max="15369" width="10.42578125" style="2319" customWidth="1"/>
    <col min="15370" max="15370" width="14.28515625" style="2319" customWidth="1"/>
    <col min="15371" max="15371" width="9.140625" style="2319"/>
    <col min="15372" max="15372" width="8.7109375" style="2319" customWidth="1"/>
    <col min="15373" max="15616" width="9.140625" style="2319"/>
    <col min="15617" max="15617" width="10.7109375" style="2319" customWidth="1"/>
    <col min="15618" max="15625" width="10.42578125" style="2319" customWidth="1"/>
    <col min="15626" max="15626" width="14.28515625" style="2319" customWidth="1"/>
    <col min="15627" max="15627" width="9.140625" style="2319"/>
    <col min="15628" max="15628" width="8.7109375" style="2319" customWidth="1"/>
    <col min="15629" max="15872" width="9.140625" style="2319"/>
    <col min="15873" max="15873" width="10.7109375" style="2319" customWidth="1"/>
    <col min="15874" max="15881" width="10.42578125" style="2319" customWidth="1"/>
    <col min="15882" max="15882" width="14.28515625" style="2319" customWidth="1"/>
    <col min="15883" max="15883" width="9.140625" style="2319"/>
    <col min="15884" max="15884" width="8.7109375" style="2319" customWidth="1"/>
    <col min="15885" max="16128" width="9.140625" style="2319"/>
    <col min="16129" max="16129" width="10.7109375" style="2319" customWidth="1"/>
    <col min="16130" max="16137" width="10.42578125" style="2319" customWidth="1"/>
    <col min="16138" max="16138" width="14.28515625" style="2319" customWidth="1"/>
    <col min="16139" max="16139" width="9.140625" style="2319"/>
    <col min="16140" max="16140" width="8.7109375" style="2319" customWidth="1"/>
    <col min="16141" max="16384" width="9.140625" style="2319"/>
  </cols>
  <sheetData>
    <row r="1" spans="1:11" ht="21" customHeight="1">
      <c r="A1" s="2316" t="s">
        <v>3460</v>
      </c>
      <c r="B1" s="2317"/>
      <c r="C1" s="2317"/>
      <c r="D1" s="2317"/>
      <c r="E1" s="2317"/>
      <c r="F1" s="2317"/>
      <c r="G1" s="2317"/>
      <c r="H1" s="2317"/>
      <c r="I1" s="2317"/>
      <c r="J1" s="2317"/>
      <c r="K1" s="2318"/>
    </row>
    <row r="2" spans="1:11" ht="18" customHeight="1">
      <c r="A2" s="2316" t="s">
        <v>3242</v>
      </c>
      <c r="B2" s="2317"/>
      <c r="C2" s="2317"/>
      <c r="D2" s="2317"/>
      <c r="E2" s="2317"/>
      <c r="F2" s="2317"/>
      <c r="G2" s="2317"/>
      <c r="H2" s="2317"/>
      <c r="I2" s="2317"/>
      <c r="J2" s="2317"/>
      <c r="K2" s="2318"/>
    </row>
    <row r="3" spans="1:11" ht="17.25" customHeight="1" thickBot="1">
      <c r="H3" s="2321"/>
      <c r="I3" s="2321"/>
    </row>
    <row r="4" spans="1:11">
      <c r="A4" s="2322" t="s">
        <v>212</v>
      </c>
      <c r="B4" s="2323" t="s">
        <v>3461</v>
      </c>
      <c r="C4" s="2324" t="s">
        <v>1063</v>
      </c>
      <c r="D4" s="2325" t="s">
        <v>3462</v>
      </c>
      <c r="E4" s="2326" t="s">
        <v>1063</v>
      </c>
      <c r="F4" s="2327" t="s">
        <v>3463</v>
      </c>
      <c r="G4" s="2328" t="s">
        <v>1063</v>
      </c>
      <c r="H4" s="2328" t="s">
        <v>3462</v>
      </c>
      <c r="I4" s="2325" t="s">
        <v>1063</v>
      </c>
      <c r="J4" s="2328" t="s">
        <v>3464</v>
      </c>
    </row>
    <row r="5" spans="1:11">
      <c r="A5" s="2329"/>
      <c r="B5" s="2330" t="s">
        <v>3465</v>
      </c>
      <c r="C5" s="2331" t="s">
        <v>3466</v>
      </c>
      <c r="D5" s="2332" t="s">
        <v>3467</v>
      </c>
      <c r="E5" s="2333" t="s">
        <v>3466</v>
      </c>
      <c r="F5" s="2334" t="s">
        <v>3468</v>
      </c>
      <c r="G5" s="2335" t="s">
        <v>3466</v>
      </c>
      <c r="H5" s="2335" t="s">
        <v>3469</v>
      </c>
      <c r="I5" s="2332" t="s">
        <v>3466</v>
      </c>
      <c r="J5" s="2335" t="s">
        <v>3470</v>
      </c>
    </row>
    <row r="6" spans="1:11" s="2337" customFormat="1" ht="13.5" customHeight="1">
      <c r="A6" s="2336"/>
      <c r="B6" s="3427" t="s">
        <v>3471</v>
      </c>
      <c r="C6" s="3429" t="s">
        <v>3472</v>
      </c>
      <c r="D6" s="3431" t="s">
        <v>3471</v>
      </c>
      <c r="E6" s="3433" t="s">
        <v>3473</v>
      </c>
      <c r="F6" s="3435" t="s">
        <v>3474</v>
      </c>
      <c r="G6" s="3422" t="s">
        <v>3475</v>
      </c>
      <c r="H6" s="3422" t="s">
        <v>3476</v>
      </c>
      <c r="I6" s="3422" t="s">
        <v>3477</v>
      </c>
      <c r="J6" s="3422" t="s">
        <v>3478</v>
      </c>
    </row>
    <row r="7" spans="1:11" s="2339" customFormat="1" ht="18" customHeight="1" thickBot="1">
      <c r="A7" s="2338"/>
      <c r="B7" s="3428"/>
      <c r="C7" s="3430"/>
      <c r="D7" s="3432"/>
      <c r="E7" s="3434"/>
      <c r="F7" s="3436"/>
      <c r="G7" s="3423"/>
      <c r="H7" s="3423"/>
      <c r="I7" s="3423"/>
      <c r="J7" s="3423"/>
    </row>
    <row r="8" spans="1:11" ht="14.1" hidden="1" customHeight="1">
      <c r="A8" s="2340"/>
      <c r="B8" s="2341"/>
      <c r="C8" s="2342"/>
      <c r="D8" s="2343"/>
      <c r="E8" s="2344"/>
      <c r="F8" s="2345"/>
      <c r="G8" s="2346"/>
      <c r="H8" s="2346"/>
      <c r="I8" s="2343"/>
      <c r="J8" s="2346"/>
    </row>
    <row r="9" spans="1:11" ht="15.75" hidden="1" thickTop="1">
      <c r="A9" s="2347">
        <v>37073</v>
      </c>
      <c r="B9" s="2348">
        <v>10</v>
      </c>
      <c r="C9" s="2349" t="s">
        <v>3479</v>
      </c>
      <c r="D9" s="2350" t="s">
        <v>661</v>
      </c>
      <c r="E9" s="2351" t="s">
        <v>661</v>
      </c>
      <c r="F9" s="2352" t="s">
        <v>661</v>
      </c>
      <c r="G9" s="2353" t="s">
        <v>661</v>
      </c>
      <c r="H9" s="2353" t="s">
        <v>661</v>
      </c>
      <c r="I9" s="2350" t="s">
        <v>661</v>
      </c>
      <c r="J9" s="2353" t="s">
        <v>661</v>
      </c>
    </row>
    <row r="10" spans="1:11" ht="15.75" hidden="1" thickTop="1">
      <c r="A10" s="2347">
        <v>37104</v>
      </c>
      <c r="B10" s="2348">
        <v>2</v>
      </c>
      <c r="C10" s="2354">
        <v>29.45</v>
      </c>
      <c r="D10" s="2350" t="s">
        <v>661</v>
      </c>
      <c r="E10" s="2351" t="s">
        <v>661</v>
      </c>
      <c r="F10" s="2352" t="s">
        <v>661</v>
      </c>
      <c r="G10" s="2353" t="s">
        <v>661</v>
      </c>
      <c r="H10" s="2353" t="s">
        <v>661</v>
      </c>
      <c r="I10" s="2350" t="s">
        <v>661</v>
      </c>
      <c r="J10" s="2353" t="s">
        <v>661</v>
      </c>
    </row>
    <row r="11" spans="1:11" ht="15.75" hidden="1" thickTop="1">
      <c r="A11" s="2347">
        <v>37135</v>
      </c>
      <c r="B11" s="2348">
        <v>0</v>
      </c>
      <c r="C11" s="2354" t="s">
        <v>661</v>
      </c>
      <c r="D11" s="2350" t="s">
        <v>661</v>
      </c>
      <c r="E11" s="2351" t="s">
        <v>661</v>
      </c>
      <c r="F11" s="2352" t="s">
        <v>661</v>
      </c>
      <c r="G11" s="2353" t="s">
        <v>661</v>
      </c>
      <c r="H11" s="2353" t="s">
        <v>661</v>
      </c>
      <c r="I11" s="2350" t="s">
        <v>661</v>
      </c>
      <c r="J11" s="2353" t="s">
        <v>661</v>
      </c>
    </row>
    <row r="12" spans="1:11" ht="15.75" hidden="1" thickTop="1">
      <c r="A12" s="2347">
        <v>37165</v>
      </c>
      <c r="B12" s="2348">
        <v>2</v>
      </c>
      <c r="C12" s="2354">
        <v>30.07</v>
      </c>
      <c r="D12" s="2350" t="s">
        <v>661</v>
      </c>
      <c r="E12" s="2351" t="s">
        <v>661</v>
      </c>
      <c r="F12" s="2352" t="s">
        <v>661</v>
      </c>
      <c r="G12" s="2353" t="s">
        <v>661</v>
      </c>
      <c r="H12" s="2353" t="s">
        <v>661</v>
      </c>
      <c r="I12" s="2350" t="s">
        <v>661</v>
      </c>
      <c r="J12" s="2353" t="s">
        <v>661</v>
      </c>
    </row>
    <row r="13" spans="1:11" ht="15.75" hidden="1" thickTop="1">
      <c r="A13" s="2347">
        <v>37196</v>
      </c>
      <c r="B13" s="2348">
        <v>5</v>
      </c>
      <c r="C13" s="2354" t="s">
        <v>3480</v>
      </c>
      <c r="D13" s="2350" t="s">
        <v>661</v>
      </c>
      <c r="E13" s="2351" t="s">
        <v>661</v>
      </c>
      <c r="F13" s="2352" t="s">
        <v>661</v>
      </c>
      <c r="G13" s="2353" t="s">
        <v>661</v>
      </c>
      <c r="H13" s="2353" t="s">
        <v>661</v>
      </c>
      <c r="I13" s="2350" t="s">
        <v>661</v>
      </c>
      <c r="J13" s="2353" t="s">
        <v>661</v>
      </c>
    </row>
    <row r="14" spans="1:11" ht="15.75" hidden="1" thickTop="1">
      <c r="A14" s="2347">
        <v>37226</v>
      </c>
      <c r="B14" s="2348">
        <v>0</v>
      </c>
      <c r="C14" s="2354" t="s">
        <v>661</v>
      </c>
      <c r="D14" s="2350" t="s">
        <v>661</v>
      </c>
      <c r="E14" s="2351" t="s">
        <v>661</v>
      </c>
      <c r="F14" s="2352" t="s">
        <v>661</v>
      </c>
      <c r="G14" s="2353" t="s">
        <v>661</v>
      </c>
      <c r="H14" s="2353" t="s">
        <v>661</v>
      </c>
      <c r="I14" s="2350" t="s">
        <v>661</v>
      </c>
      <c r="J14" s="2353" t="s">
        <v>661</v>
      </c>
    </row>
    <row r="15" spans="1:11" ht="15.75" hidden="1" thickTop="1">
      <c r="A15" s="2355">
        <v>37530</v>
      </c>
      <c r="B15" s="2348">
        <v>0</v>
      </c>
      <c r="C15" s="2349" t="s">
        <v>661</v>
      </c>
      <c r="D15" s="2350">
        <v>3.4</v>
      </c>
      <c r="E15" s="2356">
        <v>29.52</v>
      </c>
      <c r="F15" s="2352">
        <v>3.4</v>
      </c>
      <c r="G15" s="2357">
        <v>29.52</v>
      </c>
      <c r="H15" s="2353">
        <v>3.4</v>
      </c>
      <c r="I15" s="2358">
        <v>29.52</v>
      </c>
      <c r="J15" s="2353">
        <v>3.4</v>
      </c>
    </row>
    <row r="16" spans="1:11" ht="14.1" hidden="1" customHeight="1">
      <c r="A16" s="2355">
        <v>37895</v>
      </c>
      <c r="B16" s="2348">
        <v>0</v>
      </c>
      <c r="C16" s="2349" t="s">
        <v>661</v>
      </c>
      <c r="D16" s="2350">
        <v>30.7</v>
      </c>
      <c r="E16" s="2356">
        <v>28.8</v>
      </c>
      <c r="F16" s="2352">
        <v>30.7</v>
      </c>
      <c r="G16" s="2357">
        <v>28.8</v>
      </c>
      <c r="H16" s="2353">
        <v>30.7</v>
      </c>
      <c r="I16" s="2358">
        <v>28.8</v>
      </c>
      <c r="J16" s="2353">
        <v>30.7</v>
      </c>
    </row>
    <row r="17" spans="1:10" ht="15.75" hidden="1" thickTop="1">
      <c r="A17" s="2355">
        <v>38534</v>
      </c>
      <c r="B17" s="2359">
        <v>26</v>
      </c>
      <c r="C17" s="2354" t="s">
        <v>3481</v>
      </c>
      <c r="D17" s="2350">
        <v>0</v>
      </c>
      <c r="E17" s="2351" t="s">
        <v>661</v>
      </c>
      <c r="F17" s="2352">
        <v>0</v>
      </c>
      <c r="G17" s="2353" t="s">
        <v>661</v>
      </c>
      <c r="H17" s="2353">
        <v>0</v>
      </c>
      <c r="I17" s="2350" t="s">
        <v>661</v>
      </c>
      <c r="J17" s="2353">
        <v>0</v>
      </c>
    </row>
    <row r="18" spans="1:10" ht="15.75" hidden="1" thickTop="1">
      <c r="A18" s="2355">
        <v>38596</v>
      </c>
      <c r="B18" s="2359">
        <v>23.5</v>
      </c>
      <c r="C18" s="2354" t="s">
        <v>3482</v>
      </c>
      <c r="D18" s="2350">
        <v>0</v>
      </c>
      <c r="E18" s="2351" t="s">
        <v>661</v>
      </c>
      <c r="F18" s="2352">
        <v>0</v>
      </c>
      <c r="G18" s="2353" t="s">
        <v>661</v>
      </c>
      <c r="H18" s="2353">
        <v>0</v>
      </c>
      <c r="I18" s="2350" t="s">
        <v>661</v>
      </c>
      <c r="J18" s="2353">
        <v>0</v>
      </c>
    </row>
    <row r="19" spans="1:10" ht="15.75" hidden="1" thickTop="1">
      <c r="A19" s="2355">
        <v>38657</v>
      </c>
      <c r="B19" s="2348">
        <v>15</v>
      </c>
      <c r="C19" s="2354" t="s">
        <v>3483</v>
      </c>
      <c r="D19" s="2350">
        <v>0</v>
      </c>
      <c r="E19" s="2351" t="s">
        <v>661</v>
      </c>
      <c r="F19" s="2352">
        <v>0</v>
      </c>
      <c r="G19" s="2353" t="s">
        <v>661</v>
      </c>
      <c r="H19" s="2353">
        <v>0</v>
      </c>
      <c r="I19" s="2350" t="s">
        <v>661</v>
      </c>
      <c r="J19" s="2353">
        <v>0</v>
      </c>
    </row>
    <row r="20" spans="1:10" ht="15.75" hidden="1" thickTop="1">
      <c r="A20" s="2355">
        <v>38687</v>
      </c>
      <c r="B20" s="2360">
        <v>6.5</v>
      </c>
      <c r="C20" s="2354">
        <v>30.55</v>
      </c>
      <c r="D20" s="2350">
        <v>0</v>
      </c>
      <c r="E20" s="2351" t="s">
        <v>661</v>
      </c>
      <c r="F20" s="2352">
        <v>0</v>
      </c>
      <c r="G20" s="2353" t="s">
        <v>661</v>
      </c>
      <c r="H20" s="2353">
        <v>0</v>
      </c>
      <c r="I20" s="2350" t="s">
        <v>661</v>
      </c>
      <c r="J20" s="2353">
        <v>0</v>
      </c>
    </row>
    <row r="21" spans="1:10" ht="15.75" hidden="1" thickTop="1">
      <c r="A21" s="2355">
        <v>38718</v>
      </c>
      <c r="B21" s="2360">
        <v>0</v>
      </c>
      <c r="C21" s="2354" t="s">
        <v>661</v>
      </c>
      <c r="D21" s="2350">
        <v>0</v>
      </c>
      <c r="E21" s="2351" t="s">
        <v>661</v>
      </c>
      <c r="F21" s="2352">
        <v>0</v>
      </c>
      <c r="G21" s="2353" t="s">
        <v>661</v>
      </c>
      <c r="H21" s="2353">
        <v>0</v>
      </c>
      <c r="I21" s="2350" t="s">
        <v>661</v>
      </c>
      <c r="J21" s="2353">
        <v>0</v>
      </c>
    </row>
    <row r="22" spans="1:10" ht="15.75" hidden="1" thickTop="1">
      <c r="A22" s="2355">
        <v>38749</v>
      </c>
      <c r="B22" s="2360">
        <v>8</v>
      </c>
      <c r="C22" s="2354">
        <v>30.67</v>
      </c>
      <c r="D22" s="2350">
        <v>0</v>
      </c>
      <c r="E22" s="2351" t="s">
        <v>661</v>
      </c>
      <c r="F22" s="2352">
        <v>0</v>
      </c>
      <c r="G22" s="2353" t="s">
        <v>661</v>
      </c>
      <c r="H22" s="2353">
        <v>0</v>
      </c>
      <c r="I22" s="2350" t="s">
        <v>661</v>
      </c>
      <c r="J22" s="2353">
        <v>0</v>
      </c>
    </row>
    <row r="23" spans="1:10" ht="14.1" hidden="1" customHeight="1">
      <c r="A23" s="2355">
        <v>38777</v>
      </c>
      <c r="B23" s="2360">
        <v>0</v>
      </c>
      <c r="C23" s="2354" t="s">
        <v>661</v>
      </c>
      <c r="D23" s="2350">
        <v>0</v>
      </c>
      <c r="E23" s="2351" t="s">
        <v>661</v>
      </c>
      <c r="F23" s="2352">
        <v>0</v>
      </c>
      <c r="G23" s="2353" t="s">
        <v>661</v>
      </c>
      <c r="H23" s="2353">
        <v>0</v>
      </c>
      <c r="I23" s="2350" t="s">
        <v>661</v>
      </c>
      <c r="J23" s="2353">
        <v>0</v>
      </c>
    </row>
    <row r="24" spans="1:10" ht="14.1" hidden="1" customHeight="1">
      <c r="A24" s="2355">
        <v>38808</v>
      </c>
      <c r="B24" s="2360">
        <v>0</v>
      </c>
      <c r="C24" s="2354" t="s">
        <v>661</v>
      </c>
      <c r="D24" s="2350">
        <v>0</v>
      </c>
      <c r="E24" s="2351" t="s">
        <v>661</v>
      </c>
      <c r="F24" s="2352">
        <v>0</v>
      </c>
      <c r="G24" s="2353" t="s">
        <v>661</v>
      </c>
      <c r="H24" s="2353">
        <v>0</v>
      </c>
      <c r="I24" s="2350" t="s">
        <v>661</v>
      </c>
      <c r="J24" s="2353">
        <v>0</v>
      </c>
    </row>
    <row r="25" spans="1:10" ht="14.1" hidden="1" customHeight="1">
      <c r="A25" s="2355">
        <v>38838</v>
      </c>
      <c r="B25" s="2360">
        <v>0</v>
      </c>
      <c r="C25" s="2354" t="s">
        <v>661</v>
      </c>
      <c r="D25" s="2350">
        <v>0</v>
      </c>
      <c r="E25" s="2351" t="s">
        <v>661</v>
      </c>
      <c r="F25" s="2352">
        <v>0</v>
      </c>
      <c r="G25" s="2353" t="s">
        <v>661</v>
      </c>
      <c r="H25" s="2353">
        <v>0</v>
      </c>
      <c r="I25" s="2350" t="s">
        <v>661</v>
      </c>
      <c r="J25" s="2353">
        <v>0</v>
      </c>
    </row>
    <row r="26" spans="1:10" ht="14.1" hidden="1" customHeight="1">
      <c r="A26" s="2355">
        <v>38869</v>
      </c>
      <c r="B26" s="2360">
        <v>10</v>
      </c>
      <c r="C26" s="2354">
        <v>30.95</v>
      </c>
      <c r="D26" s="2350">
        <v>0</v>
      </c>
      <c r="E26" s="2351" t="s">
        <v>661</v>
      </c>
      <c r="F26" s="2352">
        <v>0</v>
      </c>
      <c r="G26" s="2353" t="s">
        <v>661</v>
      </c>
      <c r="H26" s="2353">
        <v>0</v>
      </c>
      <c r="I26" s="2350" t="s">
        <v>661</v>
      </c>
      <c r="J26" s="2353">
        <v>0</v>
      </c>
    </row>
    <row r="27" spans="1:10" ht="14.1" hidden="1" customHeight="1">
      <c r="A27" s="2355">
        <v>38899</v>
      </c>
      <c r="B27" s="2360">
        <v>9.5</v>
      </c>
      <c r="C27" s="2354" t="s">
        <v>3484</v>
      </c>
      <c r="D27" s="2350">
        <v>0</v>
      </c>
      <c r="E27" s="2351" t="s">
        <v>661</v>
      </c>
      <c r="F27" s="2352">
        <v>0</v>
      </c>
      <c r="G27" s="2353" t="s">
        <v>661</v>
      </c>
      <c r="H27" s="2353">
        <v>0</v>
      </c>
      <c r="I27" s="2350" t="s">
        <v>661</v>
      </c>
      <c r="J27" s="2353">
        <v>0</v>
      </c>
    </row>
    <row r="28" spans="1:10" ht="14.1" hidden="1" customHeight="1">
      <c r="A28" s="2355">
        <v>38930</v>
      </c>
      <c r="B28" s="2360">
        <v>31</v>
      </c>
      <c r="C28" s="2354">
        <v>32.159999999999997</v>
      </c>
      <c r="D28" s="2350">
        <v>0</v>
      </c>
      <c r="E28" s="2351" t="s">
        <v>661</v>
      </c>
      <c r="F28" s="2352">
        <v>0</v>
      </c>
      <c r="G28" s="2353" t="s">
        <v>661</v>
      </c>
      <c r="H28" s="2353">
        <v>0</v>
      </c>
      <c r="I28" s="2350" t="s">
        <v>661</v>
      </c>
      <c r="J28" s="2353">
        <v>0</v>
      </c>
    </row>
    <row r="29" spans="1:10" ht="14.1" hidden="1" customHeight="1">
      <c r="A29" s="2355">
        <v>38961</v>
      </c>
      <c r="B29" s="2360">
        <v>31.8</v>
      </c>
      <c r="C29" s="2354">
        <v>32.159999999999997</v>
      </c>
      <c r="D29" s="2350">
        <v>0</v>
      </c>
      <c r="E29" s="2351" t="s">
        <v>661</v>
      </c>
      <c r="F29" s="2352">
        <v>0</v>
      </c>
      <c r="G29" s="2353" t="s">
        <v>661</v>
      </c>
      <c r="H29" s="2353">
        <v>0</v>
      </c>
      <c r="I29" s="2350" t="s">
        <v>661</v>
      </c>
      <c r="J29" s="2353">
        <v>0</v>
      </c>
    </row>
    <row r="30" spans="1:10" ht="14.1" hidden="1" customHeight="1">
      <c r="A30" s="2355">
        <v>38991</v>
      </c>
      <c r="B30" s="2360">
        <v>15.4</v>
      </c>
      <c r="C30" s="2354">
        <v>32.159999999999997</v>
      </c>
      <c r="D30" s="2350">
        <v>0</v>
      </c>
      <c r="E30" s="2351" t="s">
        <v>661</v>
      </c>
      <c r="F30" s="2352">
        <v>0</v>
      </c>
      <c r="G30" s="2353" t="s">
        <v>661</v>
      </c>
      <c r="H30" s="2353">
        <v>0</v>
      </c>
      <c r="I30" s="2350" t="s">
        <v>661</v>
      </c>
      <c r="J30" s="2353">
        <v>0</v>
      </c>
    </row>
    <row r="31" spans="1:10" ht="14.1" hidden="1" customHeight="1">
      <c r="A31" s="2355">
        <v>39022</v>
      </c>
      <c r="B31" s="2360">
        <v>10.5</v>
      </c>
      <c r="C31" s="2354">
        <v>32.299999999999997</v>
      </c>
      <c r="D31" s="2350">
        <v>0</v>
      </c>
      <c r="E31" s="2351" t="s">
        <v>661</v>
      </c>
      <c r="F31" s="2352">
        <v>0</v>
      </c>
      <c r="G31" s="2353" t="s">
        <v>661</v>
      </c>
      <c r="H31" s="2353">
        <v>0</v>
      </c>
      <c r="I31" s="2350" t="s">
        <v>661</v>
      </c>
      <c r="J31" s="2353">
        <v>0</v>
      </c>
    </row>
    <row r="32" spans="1:10" ht="14.1" hidden="1" customHeight="1">
      <c r="A32" s="2355">
        <v>39052</v>
      </c>
      <c r="B32" s="2360">
        <v>22.4</v>
      </c>
      <c r="C32" s="2354" t="s">
        <v>3485</v>
      </c>
      <c r="D32" s="2350">
        <v>0</v>
      </c>
      <c r="E32" s="2351" t="s">
        <v>661</v>
      </c>
      <c r="F32" s="2352">
        <v>0</v>
      </c>
      <c r="G32" s="2353" t="s">
        <v>661</v>
      </c>
      <c r="H32" s="2353">
        <v>0</v>
      </c>
      <c r="I32" s="2350" t="s">
        <v>661</v>
      </c>
      <c r="J32" s="2353">
        <v>0</v>
      </c>
    </row>
    <row r="33" spans="1:10" ht="14.1" hidden="1" customHeight="1">
      <c r="A33" s="2355">
        <v>39083</v>
      </c>
      <c r="B33" s="2360">
        <v>38</v>
      </c>
      <c r="C33" s="2354">
        <v>32.799999999999997</v>
      </c>
      <c r="D33" s="2350">
        <v>0</v>
      </c>
      <c r="E33" s="2351" t="s">
        <v>661</v>
      </c>
      <c r="F33" s="2352">
        <v>0</v>
      </c>
      <c r="G33" s="2353" t="s">
        <v>661</v>
      </c>
      <c r="H33" s="2353">
        <v>0</v>
      </c>
      <c r="I33" s="2350" t="s">
        <v>661</v>
      </c>
      <c r="J33" s="2353">
        <v>0</v>
      </c>
    </row>
    <row r="34" spans="1:10" ht="14.1" hidden="1" customHeight="1">
      <c r="A34" s="2355">
        <v>39114</v>
      </c>
      <c r="B34" s="2360">
        <v>10.8</v>
      </c>
      <c r="C34" s="2354">
        <v>32.75</v>
      </c>
      <c r="D34" s="2350">
        <v>64</v>
      </c>
      <c r="E34" s="2351" t="s">
        <v>3486</v>
      </c>
      <c r="F34" s="2352">
        <v>0</v>
      </c>
      <c r="G34" s="2353" t="s">
        <v>661</v>
      </c>
      <c r="H34" s="2353">
        <v>0</v>
      </c>
      <c r="I34" s="2350" t="s">
        <v>661</v>
      </c>
      <c r="J34" s="2353">
        <v>0</v>
      </c>
    </row>
    <row r="35" spans="1:10" ht="14.1" hidden="1" customHeight="1">
      <c r="A35" s="2355">
        <v>39142</v>
      </c>
      <c r="B35" s="2360">
        <v>0</v>
      </c>
      <c r="C35" s="2354" t="s">
        <v>661</v>
      </c>
      <c r="D35" s="2350">
        <v>75.3</v>
      </c>
      <c r="E35" s="2351" t="s">
        <v>3487</v>
      </c>
      <c r="F35" s="2352">
        <v>0</v>
      </c>
      <c r="G35" s="2353" t="s">
        <v>661</v>
      </c>
      <c r="H35" s="2353">
        <v>0</v>
      </c>
      <c r="I35" s="2350" t="s">
        <v>661</v>
      </c>
      <c r="J35" s="2353">
        <v>0</v>
      </c>
    </row>
    <row r="36" spans="1:10" ht="14.1" hidden="1" customHeight="1">
      <c r="A36" s="2355">
        <v>39173</v>
      </c>
      <c r="B36" s="2360">
        <v>0</v>
      </c>
      <c r="C36" s="2354" t="s">
        <v>661</v>
      </c>
      <c r="D36" s="2350">
        <v>113.5</v>
      </c>
      <c r="E36" s="2351" t="s">
        <v>3488</v>
      </c>
      <c r="F36" s="2352">
        <v>0</v>
      </c>
      <c r="G36" s="2353" t="s">
        <v>661</v>
      </c>
      <c r="H36" s="2353">
        <v>0</v>
      </c>
      <c r="I36" s="2350" t="s">
        <v>661</v>
      </c>
      <c r="J36" s="2353">
        <v>0</v>
      </c>
    </row>
    <row r="37" spans="1:10" ht="14.1" hidden="1" customHeight="1">
      <c r="A37" s="2355">
        <v>39203</v>
      </c>
      <c r="B37" s="2360">
        <v>0</v>
      </c>
      <c r="C37" s="2354" t="s">
        <v>661</v>
      </c>
      <c r="D37" s="2350">
        <v>0</v>
      </c>
      <c r="E37" s="2351" t="s">
        <v>661</v>
      </c>
      <c r="F37" s="2352">
        <v>0</v>
      </c>
      <c r="G37" s="2353" t="s">
        <v>661</v>
      </c>
      <c r="H37" s="2353">
        <v>0</v>
      </c>
      <c r="I37" s="2350" t="s">
        <v>661</v>
      </c>
      <c r="J37" s="2353">
        <v>0</v>
      </c>
    </row>
    <row r="38" spans="1:10" ht="14.1" hidden="1" customHeight="1">
      <c r="A38" s="2355">
        <v>39234</v>
      </c>
      <c r="B38" s="2360">
        <v>0</v>
      </c>
      <c r="C38" s="2354" t="s">
        <v>661</v>
      </c>
      <c r="D38" s="2350">
        <v>0</v>
      </c>
      <c r="E38" s="2351" t="s">
        <v>661</v>
      </c>
      <c r="F38" s="2352">
        <v>0</v>
      </c>
      <c r="G38" s="2353" t="s">
        <v>661</v>
      </c>
      <c r="H38" s="2353">
        <v>0</v>
      </c>
      <c r="I38" s="2350" t="s">
        <v>661</v>
      </c>
      <c r="J38" s="2353">
        <v>0</v>
      </c>
    </row>
    <row r="39" spans="1:10" ht="14.1" hidden="1" customHeight="1">
      <c r="A39" s="2355">
        <v>39264</v>
      </c>
      <c r="B39" s="2360">
        <v>0</v>
      </c>
      <c r="C39" s="2354" t="s">
        <v>661</v>
      </c>
      <c r="D39" s="2350">
        <v>0</v>
      </c>
      <c r="E39" s="2351" t="s">
        <v>661</v>
      </c>
      <c r="F39" s="2352">
        <v>0</v>
      </c>
      <c r="G39" s="2353" t="s">
        <v>661</v>
      </c>
      <c r="H39" s="2353">
        <v>0</v>
      </c>
      <c r="I39" s="2350" t="s">
        <v>661</v>
      </c>
      <c r="J39" s="2353">
        <v>0</v>
      </c>
    </row>
    <row r="40" spans="1:10" ht="14.1" hidden="1" customHeight="1">
      <c r="A40" s="2355">
        <v>39295</v>
      </c>
      <c r="B40" s="2360">
        <v>0</v>
      </c>
      <c r="C40" s="2354" t="s">
        <v>661</v>
      </c>
      <c r="D40" s="2350">
        <v>0</v>
      </c>
      <c r="E40" s="2351" t="s">
        <v>661</v>
      </c>
      <c r="F40" s="2352">
        <v>0</v>
      </c>
      <c r="G40" s="2353" t="s">
        <v>661</v>
      </c>
      <c r="H40" s="2353">
        <v>0</v>
      </c>
      <c r="I40" s="2350" t="s">
        <v>661</v>
      </c>
      <c r="J40" s="2353">
        <v>0</v>
      </c>
    </row>
    <row r="41" spans="1:10" ht="14.1" hidden="1" customHeight="1">
      <c r="A41" s="2355">
        <v>39326</v>
      </c>
      <c r="B41" s="2360">
        <v>0</v>
      </c>
      <c r="C41" s="2354" t="s">
        <v>661</v>
      </c>
      <c r="D41" s="2350">
        <v>0</v>
      </c>
      <c r="E41" s="2351" t="s">
        <v>661</v>
      </c>
      <c r="F41" s="2352">
        <v>0</v>
      </c>
      <c r="G41" s="2353" t="s">
        <v>661</v>
      </c>
      <c r="H41" s="2353">
        <v>0</v>
      </c>
      <c r="I41" s="2350" t="s">
        <v>661</v>
      </c>
      <c r="J41" s="2353">
        <v>0</v>
      </c>
    </row>
    <row r="42" spans="1:10" ht="14.1" hidden="1" customHeight="1">
      <c r="A42" s="2355">
        <v>39387</v>
      </c>
      <c r="B42" s="2350">
        <v>0</v>
      </c>
      <c r="C42" s="2354" t="s">
        <v>661</v>
      </c>
      <c r="D42" s="2350">
        <v>0</v>
      </c>
      <c r="E42" s="2351" t="s">
        <v>661</v>
      </c>
      <c r="F42" s="2352">
        <v>0</v>
      </c>
      <c r="G42" s="2353" t="s">
        <v>661</v>
      </c>
      <c r="H42" s="2353">
        <v>0</v>
      </c>
      <c r="I42" s="2350" t="s">
        <v>661</v>
      </c>
      <c r="J42" s="2353">
        <v>0</v>
      </c>
    </row>
    <row r="43" spans="1:10" ht="14.1" hidden="1" customHeight="1">
      <c r="A43" s="2355">
        <v>39417</v>
      </c>
      <c r="B43" s="2350">
        <v>0</v>
      </c>
      <c r="C43" s="2354" t="s">
        <v>661</v>
      </c>
      <c r="D43" s="2350">
        <v>0</v>
      </c>
      <c r="E43" s="2351" t="s">
        <v>661</v>
      </c>
      <c r="F43" s="2352">
        <v>40.5</v>
      </c>
      <c r="G43" s="2357">
        <v>41.62</v>
      </c>
      <c r="H43" s="2353">
        <v>0</v>
      </c>
      <c r="I43" s="2358" t="s">
        <v>661</v>
      </c>
      <c r="J43" s="2353">
        <v>0</v>
      </c>
    </row>
    <row r="44" spans="1:10" ht="14.1" hidden="1" customHeight="1">
      <c r="A44" s="2355">
        <v>39448</v>
      </c>
      <c r="B44" s="2350">
        <v>0</v>
      </c>
      <c r="C44" s="2354" t="s">
        <v>661</v>
      </c>
      <c r="D44" s="2350">
        <v>21</v>
      </c>
      <c r="E44" s="2351" t="s">
        <v>3489</v>
      </c>
      <c r="F44" s="2352">
        <v>0</v>
      </c>
      <c r="G44" s="2357" t="s">
        <v>661</v>
      </c>
      <c r="H44" s="2353">
        <v>1</v>
      </c>
      <c r="I44" s="2358">
        <v>56.62</v>
      </c>
      <c r="J44" s="2353">
        <v>1</v>
      </c>
    </row>
    <row r="45" spans="1:10" ht="14.1" hidden="1" customHeight="1">
      <c r="A45" s="2355">
        <v>39479</v>
      </c>
      <c r="B45" s="2350">
        <v>0</v>
      </c>
      <c r="C45" s="2354" t="s">
        <v>661</v>
      </c>
      <c r="D45" s="2350">
        <v>35</v>
      </c>
      <c r="E45" s="2351" t="s">
        <v>3490</v>
      </c>
      <c r="F45" s="2352">
        <v>0</v>
      </c>
      <c r="G45" s="2357" t="s">
        <v>661</v>
      </c>
      <c r="H45" s="2353">
        <v>0</v>
      </c>
      <c r="I45" s="2358" t="s">
        <v>661</v>
      </c>
      <c r="J45" s="2353">
        <v>0</v>
      </c>
    </row>
    <row r="46" spans="1:10" ht="14.1" hidden="1" customHeight="1">
      <c r="A46" s="2355">
        <v>39508</v>
      </c>
      <c r="B46" s="2350">
        <v>0</v>
      </c>
      <c r="C46" s="2354" t="s">
        <v>661</v>
      </c>
      <c r="D46" s="2350">
        <v>120</v>
      </c>
      <c r="E46" s="2351" t="s">
        <v>3491</v>
      </c>
      <c r="F46" s="2352">
        <v>5.5</v>
      </c>
      <c r="G46" s="2357" t="s">
        <v>3492</v>
      </c>
      <c r="H46" s="2353">
        <v>0</v>
      </c>
      <c r="I46" s="2358" t="s">
        <v>661</v>
      </c>
      <c r="J46" s="2353">
        <v>0</v>
      </c>
    </row>
    <row r="47" spans="1:10" ht="14.1" hidden="1" customHeight="1">
      <c r="A47" s="2355">
        <v>39539</v>
      </c>
      <c r="B47" s="2350">
        <v>0</v>
      </c>
      <c r="C47" s="2354" t="s">
        <v>661</v>
      </c>
      <c r="D47" s="2350">
        <v>54</v>
      </c>
      <c r="E47" s="2356">
        <v>25.9</v>
      </c>
      <c r="F47" s="2352">
        <v>0</v>
      </c>
      <c r="G47" s="2357" t="s">
        <v>661</v>
      </c>
      <c r="H47" s="2353">
        <v>0</v>
      </c>
      <c r="I47" s="2358" t="s">
        <v>661</v>
      </c>
      <c r="J47" s="2353">
        <v>0</v>
      </c>
    </row>
    <row r="48" spans="1:10" ht="14.1" hidden="1" customHeight="1">
      <c r="A48" s="2355">
        <v>39569</v>
      </c>
      <c r="B48" s="2350">
        <v>30</v>
      </c>
      <c r="C48" s="2354" t="s">
        <v>3493</v>
      </c>
      <c r="D48" s="2350">
        <v>0</v>
      </c>
      <c r="E48" s="2356" t="s">
        <v>661</v>
      </c>
      <c r="F48" s="2352">
        <v>0</v>
      </c>
      <c r="G48" s="2357" t="s">
        <v>661</v>
      </c>
      <c r="H48" s="2353">
        <v>0</v>
      </c>
      <c r="I48" s="2358" t="s">
        <v>661</v>
      </c>
      <c r="J48" s="2353">
        <v>0</v>
      </c>
    </row>
    <row r="49" spans="1:10" ht="14.1" hidden="1" customHeight="1">
      <c r="A49" s="2355">
        <v>39600</v>
      </c>
      <c r="B49" s="2350">
        <v>15</v>
      </c>
      <c r="C49" s="2354">
        <v>27.25</v>
      </c>
      <c r="D49" s="2350">
        <v>0</v>
      </c>
      <c r="E49" s="2356" t="s">
        <v>661</v>
      </c>
      <c r="F49" s="2352">
        <v>0</v>
      </c>
      <c r="G49" s="2357" t="s">
        <v>661</v>
      </c>
      <c r="H49" s="2353">
        <v>0</v>
      </c>
      <c r="I49" s="2358" t="s">
        <v>661</v>
      </c>
      <c r="J49" s="2353">
        <v>0</v>
      </c>
    </row>
    <row r="50" spans="1:10" ht="14.1" hidden="1" customHeight="1">
      <c r="A50" s="2355">
        <v>39630</v>
      </c>
      <c r="B50" s="2350">
        <v>0</v>
      </c>
      <c r="C50" s="2354" t="s">
        <v>661</v>
      </c>
      <c r="D50" s="2350">
        <v>0</v>
      </c>
      <c r="E50" s="2356" t="s">
        <v>661</v>
      </c>
      <c r="F50" s="2352">
        <v>0</v>
      </c>
      <c r="G50" s="2357" t="s">
        <v>661</v>
      </c>
      <c r="H50" s="2353">
        <v>0</v>
      </c>
      <c r="I50" s="2358" t="s">
        <v>661</v>
      </c>
      <c r="J50" s="2353">
        <v>0</v>
      </c>
    </row>
    <row r="51" spans="1:10" ht="14.1" hidden="1" customHeight="1">
      <c r="A51" s="2355">
        <v>39661</v>
      </c>
      <c r="B51" s="2350">
        <v>25</v>
      </c>
      <c r="C51" s="2354">
        <v>27.95</v>
      </c>
      <c r="D51" s="2350">
        <v>0</v>
      </c>
      <c r="E51" s="2356" t="s">
        <v>661</v>
      </c>
      <c r="F51" s="2352">
        <v>0</v>
      </c>
      <c r="G51" s="2357" t="s">
        <v>661</v>
      </c>
      <c r="H51" s="2353">
        <v>0</v>
      </c>
      <c r="I51" s="2358" t="s">
        <v>661</v>
      </c>
      <c r="J51" s="2353">
        <v>0</v>
      </c>
    </row>
    <row r="52" spans="1:10" ht="14.1" hidden="1" customHeight="1">
      <c r="A52" s="2355">
        <v>39722</v>
      </c>
      <c r="B52" s="2350">
        <v>70</v>
      </c>
      <c r="C52" s="2354" t="s">
        <v>3494</v>
      </c>
      <c r="D52" s="2350">
        <v>0</v>
      </c>
      <c r="E52" s="2356" t="s">
        <v>661</v>
      </c>
      <c r="F52" s="2352">
        <v>0</v>
      </c>
      <c r="G52" s="2357" t="s">
        <v>661</v>
      </c>
      <c r="H52" s="2353">
        <v>0</v>
      </c>
      <c r="I52" s="2358" t="s">
        <v>661</v>
      </c>
      <c r="J52" s="2353">
        <v>0</v>
      </c>
    </row>
    <row r="53" spans="1:10" ht="14.1" hidden="1" customHeight="1">
      <c r="A53" s="2355">
        <v>39753</v>
      </c>
      <c r="B53" s="2350">
        <v>55</v>
      </c>
      <c r="C53" s="2354" t="s">
        <v>3495</v>
      </c>
      <c r="D53" s="2350">
        <v>0</v>
      </c>
      <c r="E53" s="2356" t="s">
        <v>661</v>
      </c>
      <c r="F53" s="2352">
        <v>0</v>
      </c>
      <c r="G53" s="2357" t="s">
        <v>661</v>
      </c>
      <c r="H53" s="2353">
        <v>0</v>
      </c>
      <c r="I53" s="2358" t="s">
        <v>661</v>
      </c>
      <c r="J53" s="2353">
        <v>0</v>
      </c>
    </row>
    <row r="54" spans="1:10" ht="14.1" hidden="1" customHeight="1">
      <c r="A54" s="2355">
        <v>39783</v>
      </c>
      <c r="B54" s="2350">
        <v>0</v>
      </c>
      <c r="C54" s="2354" t="s">
        <v>661</v>
      </c>
      <c r="D54" s="2350">
        <v>0</v>
      </c>
      <c r="E54" s="2356" t="s">
        <v>661</v>
      </c>
      <c r="F54" s="2352">
        <v>0</v>
      </c>
      <c r="G54" s="2357" t="s">
        <v>661</v>
      </c>
      <c r="H54" s="2353">
        <v>0</v>
      </c>
      <c r="I54" s="2358" t="s">
        <v>661</v>
      </c>
      <c r="J54" s="2353">
        <v>0</v>
      </c>
    </row>
    <row r="55" spans="1:10" ht="14.1" hidden="1" customHeight="1">
      <c r="A55" s="2355">
        <v>39814</v>
      </c>
      <c r="B55" s="2350">
        <v>0</v>
      </c>
      <c r="C55" s="2354" t="s">
        <v>661</v>
      </c>
      <c r="D55" s="2350">
        <v>0</v>
      </c>
      <c r="E55" s="2356" t="s">
        <v>661</v>
      </c>
      <c r="F55" s="2352">
        <v>0</v>
      </c>
      <c r="G55" s="2357" t="s">
        <v>661</v>
      </c>
      <c r="H55" s="2353">
        <v>0</v>
      </c>
      <c r="I55" s="2358" t="s">
        <v>661</v>
      </c>
      <c r="J55" s="2353">
        <v>0</v>
      </c>
    </row>
    <row r="56" spans="1:10" ht="14.1" hidden="1" customHeight="1">
      <c r="A56" s="2355">
        <v>39845</v>
      </c>
      <c r="B56" s="2361">
        <v>0</v>
      </c>
      <c r="C56" s="2354" t="s">
        <v>661</v>
      </c>
      <c r="D56" s="2350">
        <v>0</v>
      </c>
      <c r="E56" s="2356" t="s">
        <v>661</v>
      </c>
      <c r="F56" s="2352">
        <v>0</v>
      </c>
      <c r="G56" s="2357" t="s">
        <v>661</v>
      </c>
      <c r="H56" s="2353">
        <v>0</v>
      </c>
      <c r="I56" s="2358" t="s">
        <v>661</v>
      </c>
      <c r="J56" s="2353">
        <v>0</v>
      </c>
    </row>
    <row r="57" spans="1:10" ht="14.1" hidden="1" customHeight="1">
      <c r="A57" s="2355">
        <v>39873</v>
      </c>
      <c r="B57" s="2361">
        <v>0</v>
      </c>
      <c r="C57" s="2354" t="s">
        <v>661</v>
      </c>
      <c r="D57" s="2350">
        <v>0</v>
      </c>
      <c r="E57" s="2356" t="s">
        <v>661</v>
      </c>
      <c r="F57" s="2352">
        <v>0</v>
      </c>
      <c r="G57" s="2357" t="s">
        <v>661</v>
      </c>
      <c r="H57" s="2353">
        <v>0</v>
      </c>
      <c r="I57" s="2358" t="s">
        <v>661</v>
      </c>
      <c r="J57" s="2353">
        <v>0</v>
      </c>
    </row>
    <row r="58" spans="1:10" ht="14.1" hidden="1" customHeight="1">
      <c r="A58" s="2355">
        <v>39904</v>
      </c>
      <c r="B58" s="2361">
        <v>0</v>
      </c>
      <c r="C58" s="2354" t="s">
        <v>661</v>
      </c>
      <c r="D58" s="2350">
        <v>0</v>
      </c>
      <c r="E58" s="2356" t="s">
        <v>661</v>
      </c>
      <c r="F58" s="2352">
        <v>0</v>
      </c>
      <c r="G58" s="2357" t="s">
        <v>661</v>
      </c>
      <c r="H58" s="2353">
        <v>0</v>
      </c>
      <c r="I58" s="2358" t="s">
        <v>661</v>
      </c>
      <c r="J58" s="2353">
        <v>0</v>
      </c>
    </row>
    <row r="59" spans="1:10" ht="14.1" hidden="1" customHeight="1">
      <c r="A59" s="2355">
        <v>39934</v>
      </c>
      <c r="B59" s="2361">
        <v>0</v>
      </c>
      <c r="C59" s="2354" t="s">
        <v>661</v>
      </c>
      <c r="D59" s="2350">
        <v>0</v>
      </c>
      <c r="E59" s="2356" t="s">
        <v>661</v>
      </c>
      <c r="F59" s="2352">
        <v>0</v>
      </c>
      <c r="G59" s="2357" t="s">
        <v>661</v>
      </c>
      <c r="H59" s="2353">
        <v>0</v>
      </c>
      <c r="I59" s="2358" t="s">
        <v>661</v>
      </c>
      <c r="J59" s="2353">
        <v>0</v>
      </c>
    </row>
    <row r="60" spans="1:10" ht="14.1" hidden="1" customHeight="1">
      <c r="A60" s="2355">
        <v>39965</v>
      </c>
      <c r="B60" s="2361">
        <v>0</v>
      </c>
      <c r="C60" s="2354" t="s">
        <v>661</v>
      </c>
      <c r="D60" s="2350">
        <v>0</v>
      </c>
      <c r="E60" s="2356" t="s">
        <v>661</v>
      </c>
      <c r="F60" s="2352">
        <v>0</v>
      </c>
      <c r="G60" s="2357" t="s">
        <v>661</v>
      </c>
      <c r="H60" s="2353">
        <v>0</v>
      </c>
      <c r="I60" s="2358" t="s">
        <v>661</v>
      </c>
      <c r="J60" s="2353">
        <v>0</v>
      </c>
    </row>
    <row r="61" spans="1:10" ht="17.25" hidden="1" customHeight="1">
      <c r="A61" s="2355">
        <v>39995</v>
      </c>
      <c r="B61" s="2361">
        <v>0</v>
      </c>
      <c r="C61" s="2354" t="s">
        <v>661</v>
      </c>
      <c r="D61" s="2350">
        <v>0</v>
      </c>
      <c r="E61" s="2356" t="s">
        <v>661</v>
      </c>
      <c r="F61" s="2352">
        <v>0</v>
      </c>
      <c r="G61" s="2357" t="s">
        <v>661</v>
      </c>
      <c r="H61" s="2353">
        <v>0</v>
      </c>
      <c r="I61" s="2358" t="s">
        <v>661</v>
      </c>
      <c r="J61" s="2353">
        <v>0</v>
      </c>
    </row>
    <row r="62" spans="1:10" ht="14.1" hidden="1" customHeight="1">
      <c r="A62" s="2355">
        <v>40026</v>
      </c>
      <c r="B62" s="2361">
        <v>0</v>
      </c>
      <c r="C62" s="2354" t="s">
        <v>661</v>
      </c>
      <c r="D62" s="2350">
        <v>0</v>
      </c>
      <c r="E62" s="2356" t="s">
        <v>661</v>
      </c>
      <c r="F62" s="2352">
        <v>0</v>
      </c>
      <c r="G62" s="2357" t="s">
        <v>661</v>
      </c>
      <c r="H62" s="2353">
        <v>0</v>
      </c>
      <c r="I62" s="2358" t="s">
        <v>661</v>
      </c>
      <c r="J62" s="2353">
        <v>0</v>
      </c>
    </row>
    <row r="63" spans="1:10" ht="14.1" hidden="1" customHeight="1">
      <c r="A63" s="2355">
        <v>40057</v>
      </c>
      <c r="B63" s="2361">
        <v>0</v>
      </c>
      <c r="C63" s="2354" t="s">
        <v>661</v>
      </c>
      <c r="D63" s="2350">
        <v>0</v>
      </c>
      <c r="E63" s="2356" t="s">
        <v>661</v>
      </c>
      <c r="F63" s="2352">
        <v>0</v>
      </c>
      <c r="G63" s="2357" t="s">
        <v>661</v>
      </c>
      <c r="H63" s="2353">
        <v>0</v>
      </c>
      <c r="I63" s="2358" t="s">
        <v>661</v>
      </c>
      <c r="J63" s="2353">
        <v>0</v>
      </c>
    </row>
    <row r="64" spans="1:10" ht="14.1" hidden="1" customHeight="1">
      <c r="A64" s="2362">
        <v>40087</v>
      </c>
      <c r="B64" s="2363">
        <v>0</v>
      </c>
      <c r="C64" s="2364" t="s">
        <v>661</v>
      </c>
      <c r="D64" s="2365">
        <v>0</v>
      </c>
      <c r="E64" s="2366" t="s">
        <v>661</v>
      </c>
      <c r="F64" s="2367">
        <v>0</v>
      </c>
      <c r="G64" s="2368" t="s">
        <v>661</v>
      </c>
      <c r="H64" s="2369">
        <v>0</v>
      </c>
      <c r="I64" s="2370" t="s">
        <v>661</v>
      </c>
      <c r="J64" s="2369">
        <v>0</v>
      </c>
    </row>
    <row r="65" spans="1:10" ht="15" hidden="1" customHeight="1">
      <c r="A65" s="2362">
        <v>40118</v>
      </c>
      <c r="B65" s="2363">
        <v>0</v>
      </c>
      <c r="C65" s="2364" t="s">
        <v>661</v>
      </c>
      <c r="D65" s="2365">
        <v>0</v>
      </c>
      <c r="E65" s="2366" t="s">
        <v>661</v>
      </c>
      <c r="F65" s="2367">
        <v>0</v>
      </c>
      <c r="G65" s="2368" t="s">
        <v>661</v>
      </c>
      <c r="H65" s="2369">
        <v>0</v>
      </c>
      <c r="I65" s="2370" t="s">
        <v>661</v>
      </c>
      <c r="J65" s="2369">
        <v>0</v>
      </c>
    </row>
    <row r="66" spans="1:10" ht="15" hidden="1" customHeight="1">
      <c r="A66" s="2362">
        <v>40148</v>
      </c>
      <c r="B66" s="2363">
        <v>0</v>
      </c>
      <c r="C66" s="2364" t="s">
        <v>661</v>
      </c>
      <c r="D66" s="2365">
        <v>0</v>
      </c>
      <c r="E66" s="2366" t="s">
        <v>661</v>
      </c>
      <c r="F66" s="2367">
        <v>0</v>
      </c>
      <c r="G66" s="2368" t="s">
        <v>661</v>
      </c>
      <c r="H66" s="2369">
        <v>0</v>
      </c>
      <c r="I66" s="2370" t="s">
        <v>661</v>
      </c>
      <c r="J66" s="2369">
        <v>0</v>
      </c>
    </row>
    <row r="67" spans="1:10" ht="15" hidden="1" customHeight="1">
      <c r="A67" s="2362">
        <v>40179</v>
      </c>
      <c r="B67" s="2363">
        <v>0</v>
      </c>
      <c r="C67" s="2364" t="s">
        <v>661</v>
      </c>
      <c r="D67" s="2365">
        <v>0</v>
      </c>
      <c r="E67" s="2366" t="s">
        <v>661</v>
      </c>
      <c r="F67" s="2367">
        <v>0</v>
      </c>
      <c r="G67" s="2368" t="s">
        <v>661</v>
      </c>
      <c r="H67" s="2369">
        <v>0</v>
      </c>
      <c r="I67" s="2370" t="s">
        <v>661</v>
      </c>
      <c r="J67" s="2369">
        <v>0</v>
      </c>
    </row>
    <row r="68" spans="1:10" ht="15" hidden="1" customHeight="1">
      <c r="A68" s="2362">
        <v>40210</v>
      </c>
      <c r="B68" s="2363">
        <v>0</v>
      </c>
      <c r="C68" s="2364" t="s">
        <v>661</v>
      </c>
      <c r="D68" s="2365">
        <v>0</v>
      </c>
      <c r="E68" s="2366" t="s">
        <v>661</v>
      </c>
      <c r="F68" s="2367">
        <v>0</v>
      </c>
      <c r="G68" s="2368" t="s">
        <v>661</v>
      </c>
      <c r="H68" s="2369">
        <v>0</v>
      </c>
      <c r="I68" s="2370" t="s">
        <v>661</v>
      </c>
      <c r="J68" s="2369">
        <v>0</v>
      </c>
    </row>
    <row r="69" spans="1:10" ht="15" hidden="1" customHeight="1">
      <c r="A69" s="2362">
        <v>40238</v>
      </c>
      <c r="B69" s="2363">
        <v>0</v>
      </c>
      <c r="C69" s="2364" t="s">
        <v>661</v>
      </c>
      <c r="D69" s="2365">
        <v>0</v>
      </c>
      <c r="E69" s="2366" t="s">
        <v>661</v>
      </c>
      <c r="F69" s="2367">
        <v>0</v>
      </c>
      <c r="G69" s="2368" t="s">
        <v>661</v>
      </c>
      <c r="H69" s="2369">
        <v>0</v>
      </c>
      <c r="I69" s="2370" t="s">
        <v>661</v>
      </c>
      <c r="J69" s="2369">
        <v>0</v>
      </c>
    </row>
    <row r="70" spans="1:10" ht="15" hidden="1" customHeight="1">
      <c r="A70" s="2362">
        <v>40269</v>
      </c>
      <c r="B70" s="2363">
        <v>0</v>
      </c>
      <c r="C70" s="2364" t="s">
        <v>661</v>
      </c>
      <c r="D70" s="2365">
        <v>0</v>
      </c>
      <c r="E70" s="2366" t="s">
        <v>661</v>
      </c>
      <c r="F70" s="2367">
        <v>0</v>
      </c>
      <c r="G70" s="2368" t="s">
        <v>661</v>
      </c>
      <c r="H70" s="2369">
        <v>0</v>
      </c>
      <c r="I70" s="2370" t="s">
        <v>661</v>
      </c>
      <c r="J70" s="2369">
        <v>0</v>
      </c>
    </row>
    <row r="71" spans="1:10" ht="15" hidden="1" customHeight="1">
      <c r="A71" s="2362">
        <v>40299</v>
      </c>
      <c r="B71" s="2363">
        <v>0</v>
      </c>
      <c r="C71" s="2364" t="s">
        <v>661</v>
      </c>
      <c r="D71" s="2365">
        <v>0</v>
      </c>
      <c r="E71" s="2366" t="s">
        <v>661</v>
      </c>
      <c r="F71" s="2367">
        <v>0</v>
      </c>
      <c r="G71" s="2368" t="s">
        <v>661</v>
      </c>
      <c r="H71" s="2369">
        <v>0</v>
      </c>
      <c r="I71" s="2370" t="s">
        <v>661</v>
      </c>
      <c r="J71" s="2369">
        <v>0</v>
      </c>
    </row>
    <row r="72" spans="1:10" ht="15" hidden="1" customHeight="1">
      <c r="A72" s="2362">
        <v>40330</v>
      </c>
      <c r="B72" s="2363">
        <v>0</v>
      </c>
      <c r="C72" s="2364" t="s">
        <v>661</v>
      </c>
      <c r="D72" s="2365">
        <v>0</v>
      </c>
      <c r="E72" s="2366" t="s">
        <v>661</v>
      </c>
      <c r="F72" s="2367">
        <v>0</v>
      </c>
      <c r="G72" s="2368" t="s">
        <v>661</v>
      </c>
      <c r="H72" s="2369">
        <v>0</v>
      </c>
      <c r="I72" s="2370" t="s">
        <v>661</v>
      </c>
      <c r="J72" s="2369">
        <v>0</v>
      </c>
    </row>
    <row r="73" spans="1:10" ht="15" hidden="1" customHeight="1">
      <c r="A73" s="2362">
        <v>40360</v>
      </c>
      <c r="B73" s="2363">
        <v>0</v>
      </c>
      <c r="C73" s="2364" t="s">
        <v>661</v>
      </c>
      <c r="D73" s="2365">
        <v>27</v>
      </c>
      <c r="E73" s="2366" t="s">
        <v>3496</v>
      </c>
      <c r="F73" s="2371">
        <v>4.7</v>
      </c>
      <c r="G73" s="2368" t="s">
        <v>3497</v>
      </c>
      <c r="H73" s="2369">
        <v>0</v>
      </c>
      <c r="I73" s="2370" t="s">
        <v>661</v>
      </c>
      <c r="J73" s="2369">
        <v>0</v>
      </c>
    </row>
    <row r="74" spans="1:10" ht="15" hidden="1" customHeight="1">
      <c r="A74" s="2362">
        <v>40391</v>
      </c>
      <c r="B74" s="2363">
        <v>0</v>
      </c>
      <c r="C74" s="2364" t="s">
        <v>661</v>
      </c>
      <c r="D74" s="2370">
        <v>8.15</v>
      </c>
      <c r="E74" s="2366" t="s">
        <v>3498</v>
      </c>
      <c r="F74" s="2371">
        <v>1.3</v>
      </c>
      <c r="G74" s="2368" t="s">
        <v>3499</v>
      </c>
      <c r="H74" s="2369">
        <v>0</v>
      </c>
      <c r="I74" s="2370" t="s">
        <v>661</v>
      </c>
      <c r="J74" s="2369">
        <v>0</v>
      </c>
    </row>
    <row r="75" spans="1:10" ht="15" hidden="1" customHeight="1">
      <c r="A75" s="2362">
        <v>40422</v>
      </c>
      <c r="B75" s="2363">
        <v>0</v>
      </c>
      <c r="C75" s="2364" t="s">
        <v>661</v>
      </c>
      <c r="D75" s="2370">
        <v>60.35</v>
      </c>
      <c r="E75" s="2366" t="s">
        <v>3500</v>
      </c>
      <c r="F75" s="2371">
        <v>7.55</v>
      </c>
      <c r="G75" s="2368" t="s">
        <v>3501</v>
      </c>
      <c r="H75" s="2369">
        <v>0</v>
      </c>
      <c r="I75" s="2370" t="s">
        <v>661</v>
      </c>
      <c r="J75" s="2369">
        <v>0</v>
      </c>
    </row>
    <row r="76" spans="1:10" ht="15" hidden="1" customHeight="1">
      <c r="A76" s="2362">
        <v>40452</v>
      </c>
      <c r="B76" s="2363">
        <v>0</v>
      </c>
      <c r="C76" s="2364" t="s">
        <v>661</v>
      </c>
      <c r="D76" s="2370">
        <v>103.69</v>
      </c>
      <c r="E76" s="2366" t="s">
        <v>3502</v>
      </c>
      <c r="F76" s="2371">
        <v>21.35</v>
      </c>
      <c r="G76" s="2368" t="s">
        <v>3503</v>
      </c>
      <c r="H76" s="2369">
        <v>0</v>
      </c>
      <c r="I76" s="2370" t="s">
        <v>661</v>
      </c>
      <c r="J76" s="2369">
        <v>0</v>
      </c>
    </row>
    <row r="77" spans="1:10" ht="15" hidden="1" customHeight="1">
      <c r="A77" s="2362">
        <v>40483</v>
      </c>
      <c r="B77" s="2363">
        <v>0</v>
      </c>
      <c r="C77" s="2364" t="s">
        <v>661</v>
      </c>
      <c r="D77" s="2370">
        <v>93.3</v>
      </c>
      <c r="E77" s="2366" t="s">
        <v>3504</v>
      </c>
      <c r="F77" s="2371">
        <v>2.5750000000000002</v>
      </c>
      <c r="G77" s="2368" t="s">
        <v>3505</v>
      </c>
      <c r="H77" s="2369">
        <v>0</v>
      </c>
      <c r="I77" s="2370" t="s">
        <v>661</v>
      </c>
      <c r="J77" s="2369">
        <v>0</v>
      </c>
    </row>
    <row r="78" spans="1:10" ht="15" hidden="1" customHeight="1">
      <c r="A78" s="2362">
        <v>40513</v>
      </c>
      <c r="B78" s="2363">
        <v>0</v>
      </c>
      <c r="C78" s="2364" t="s">
        <v>661</v>
      </c>
      <c r="D78" s="2372">
        <v>72.025000000000006</v>
      </c>
      <c r="E78" s="2366" t="s">
        <v>3506</v>
      </c>
      <c r="F78" s="2371">
        <v>15.337999999999999</v>
      </c>
      <c r="G78" s="2368" t="s">
        <v>3507</v>
      </c>
      <c r="H78" s="2369">
        <v>0</v>
      </c>
      <c r="I78" s="2370" t="s">
        <v>661</v>
      </c>
      <c r="J78" s="2369">
        <v>0</v>
      </c>
    </row>
    <row r="79" spans="1:10" ht="15" hidden="1" customHeight="1">
      <c r="A79" s="2362">
        <v>40544</v>
      </c>
      <c r="B79" s="2373">
        <v>0.11799999999999999</v>
      </c>
      <c r="C79" s="2364">
        <v>30.48</v>
      </c>
      <c r="D79" s="2372">
        <v>17.295999999999999</v>
      </c>
      <c r="E79" s="2366" t="s">
        <v>3508</v>
      </c>
      <c r="F79" s="2374">
        <v>15.381</v>
      </c>
      <c r="G79" s="2368" t="s">
        <v>3509</v>
      </c>
      <c r="H79" s="2369">
        <v>0</v>
      </c>
      <c r="I79" s="2370" t="s">
        <v>661</v>
      </c>
      <c r="J79" s="2369">
        <v>0</v>
      </c>
    </row>
    <row r="80" spans="1:10" ht="15" hidden="1" customHeight="1">
      <c r="A80" s="2362">
        <v>40575</v>
      </c>
      <c r="B80" s="2363">
        <v>0</v>
      </c>
      <c r="C80" s="2364" t="s">
        <v>661</v>
      </c>
      <c r="D80" s="2372">
        <v>22.375</v>
      </c>
      <c r="E80" s="2366" t="s">
        <v>3510</v>
      </c>
      <c r="F80" s="2371">
        <v>0.3</v>
      </c>
      <c r="G80" s="2368">
        <v>40.450000000000003</v>
      </c>
      <c r="H80" s="2369">
        <v>0</v>
      </c>
      <c r="I80" s="2370" t="s">
        <v>661</v>
      </c>
      <c r="J80" s="2369">
        <v>0</v>
      </c>
    </row>
    <row r="81" spans="1:10" ht="15" hidden="1" customHeight="1">
      <c r="A81" s="2362">
        <v>40603</v>
      </c>
      <c r="B81" s="2363">
        <v>0</v>
      </c>
      <c r="C81" s="2364" t="s">
        <v>661</v>
      </c>
      <c r="D81" s="2372">
        <v>37.875</v>
      </c>
      <c r="E81" s="2366" t="s">
        <v>3511</v>
      </c>
      <c r="F81" s="2371">
        <v>2.0499999999999998</v>
      </c>
      <c r="G81" s="2368" t="s">
        <v>3512</v>
      </c>
      <c r="H81" s="2369">
        <v>0</v>
      </c>
      <c r="I81" s="2370" t="s">
        <v>661</v>
      </c>
      <c r="J81" s="2369">
        <v>0</v>
      </c>
    </row>
    <row r="82" spans="1:10" ht="15" hidden="1" customHeight="1">
      <c r="A82" s="2362">
        <v>40634</v>
      </c>
      <c r="B82" s="2363">
        <v>0</v>
      </c>
      <c r="C82" s="2364" t="s">
        <v>661</v>
      </c>
      <c r="D82" s="2372">
        <v>73.394999999999996</v>
      </c>
      <c r="E82" s="2366" t="s">
        <v>3513</v>
      </c>
      <c r="F82" s="2371">
        <v>12</v>
      </c>
      <c r="G82" s="2368" t="s">
        <v>3514</v>
      </c>
      <c r="H82" s="2369">
        <v>0</v>
      </c>
      <c r="I82" s="2370" t="s">
        <v>661</v>
      </c>
      <c r="J82" s="2369">
        <v>0</v>
      </c>
    </row>
    <row r="83" spans="1:10" ht="15" hidden="1" customHeight="1">
      <c r="A83" s="2362">
        <v>40664</v>
      </c>
      <c r="B83" s="2375">
        <v>10.25</v>
      </c>
      <c r="C83" s="2364" t="s">
        <v>3515</v>
      </c>
      <c r="D83" s="2370">
        <v>20.67</v>
      </c>
      <c r="E83" s="2366" t="s">
        <v>3516</v>
      </c>
      <c r="F83" s="2371">
        <v>14.14</v>
      </c>
      <c r="G83" s="2368" t="s">
        <v>3517</v>
      </c>
      <c r="H83" s="2369">
        <v>0</v>
      </c>
      <c r="I83" s="2370" t="s">
        <v>661</v>
      </c>
      <c r="J83" s="2369">
        <v>0</v>
      </c>
    </row>
    <row r="84" spans="1:10" ht="15" hidden="1" customHeight="1">
      <c r="A84" s="2362">
        <v>40695</v>
      </c>
      <c r="B84" s="2375">
        <v>0.4</v>
      </c>
      <c r="C84" s="2364">
        <v>28</v>
      </c>
      <c r="D84" s="2370">
        <v>129.80000000000001</v>
      </c>
      <c r="E84" s="2366" t="s">
        <v>3518</v>
      </c>
      <c r="F84" s="2371">
        <v>9.6300000000000008</v>
      </c>
      <c r="G84" s="2368" t="s">
        <v>3519</v>
      </c>
      <c r="H84" s="2369">
        <v>1</v>
      </c>
      <c r="I84" s="2370">
        <v>46.38</v>
      </c>
      <c r="J84" s="2369">
        <v>0</v>
      </c>
    </row>
    <row r="85" spans="1:10" ht="15" hidden="1" customHeight="1">
      <c r="A85" s="2362">
        <v>40756</v>
      </c>
      <c r="B85" s="2375">
        <v>29.53</v>
      </c>
      <c r="C85" s="2364" t="s">
        <v>3520</v>
      </c>
      <c r="D85" s="2370">
        <v>0</v>
      </c>
      <c r="E85" s="2366" t="s">
        <v>661</v>
      </c>
      <c r="F85" s="2371">
        <v>0</v>
      </c>
      <c r="G85" s="2368" t="s">
        <v>661</v>
      </c>
      <c r="H85" s="2369">
        <v>0</v>
      </c>
      <c r="I85" s="2370" t="s">
        <v>661</v>
      </c>
      <c r="J85" s="2368">
        <v>0</v>
      </c>
    </row>
    <row r="86" spans="1:10" ht="15" hidden="1" customHeight="1">
      <c r="A86" s="2376">
        <v>40787</v>
      </c>
      <c r="B86" s="2375">
        <v>54.74</v>
      </c>
      <c r="C86" s="2364" t="s">
        <v>3521</v>
      </c>
      <c r="D86" s="2370">
        <v>1.9</v>
      </c>
      <c r="E86" s="2366" t="s">
        <v>3522</v>
      </c>
      <c r="F86" s="2371">
        <v>0.2</v>
      </c>
      <c r="G86" s="2377">
        <v>39.700000000000003</v>
      </c>
      <c r="H86" s="2369">
        <v>0</v>
      </c>
      <c r="I86" s="2370" t="s">
        <v>661</v>
      </c>
      <c r="J86" s="2368">
        <v>0</v>
      </c>
    </row>
    <row r="87" spans="1:10" ht="15" hidden="1" customHeight="1">
      <c r="A87" s="2376">
        <v>40817</v>
      </c>
      <c r="B87" s="2375">
        <v>35.97</v>
      </c>
      <c r="C87" s="2364" t="s">
        <v>3523</v>
      </c>
      <c r="D87" s="2370">
        <v>25.55</v>
      </c>
      <c r="E87" s="2366" t="s">
        <v>3524</v>
      </c>
      <c r="F87" s="2371">
        <v>0.8</v>
      </c>
      <c r="G87" s="2377" t="s">
        <v>3525</v>
      </c>
      <c r="H87" s="2369">
        <v>0</v>
      </c>
      <c r="I87" s="2370" t="s">
        <v>661</v>
      </c>
      <c r="J87" s="2368">
        <v>0</v>
      </c>
    </row>
    <row r="88" spans="1:10" ht="15" hidden="1" customHeight="1">
      <c r="A88" s="2376">
        <v>40848</v>
      </c>
      <c r="B88" s="2375">
        <v>40.47</v>
      </c>
      <c r="C88" s="2364" t="s">
        <v>3526</v>
      </c>
      <c r="D88" s="2370">
        <v>8.41</v>
      </c>
      <c r="E88" s="2366" t="s">
        <v>3527</v>
      </c>
      <c r="F88" s="2371">
        <v>17</v>
      </c>
      <c r="G88" s="2368">
        <v>38.549999999999997</v>
      </c>
      <c r="H88" s="2369">
        <v>0</v>
      </c>
      <c r="I88" s="2370" t="s">
        <v>661</v>
      </c>
      <c r="J88" s="2368">
        <v>0</v>
      </c>
    </row>
    <row r="89" spans="1:10" ht="15" hidden="1" customHeight="1">
      <c r="A89" s="2376">
        <v>40878</v>
      </c>
      <c r="B89" s="2375">
        <v>44.52</v>
      </c>
      <c r="C89" s="2364" t="s">
        <v>3528</v>
      </c>
      <c r="D89" s="2370">
        <v>28.65</v>
      </c>
      <c r="E89" s="2366" t="s">
        <v>3529</v>
      </c>
      <c r="F89" s="2371">
        <v>22.01</v>
      </c>
      <c r="G89" s="2368" t="s">
        <v>3530</v>
      </c>
      <c r="H89" s="2369">
        <v>0</v>
      </c>
      <c r="I89" s="2370" t="s">
        <v>661</v>
      </c>
      <c r="J89" s="2368">
        <v>0</v>
      </c>
    </row>
    <row r="90" spans="1:10" ht="15" hidden="1" customHeight="1">
      <c r="A90" s="2376">
        <v>40909</v>
      </c>
      <c r="B90" s="2375">
        <v>43.46</v>
      </c>
      <c r="C90" s="2364" t="s">
        <v>3531</v>
      </c>
      <c r="D90" s="2370">
        <v>16.2</v>
      </c>
      <c r="E90" s="2366" t="s">
        <v>3532</v>
      </c>
      <c r="F90" s="2371">
        <v>15.5</v>
      </c>
      <c r="G90" s="2368" t="s">
        <v>3533</v>
      </c>
      <c r="H90" s="2369">
        <v>0</v>
      </c>
      <c r="I90" s="2370" t="s">
        <v>661</v>
      </c>
      <c r="J90" s="2368">
        <v>0</v>
      </c>
    </row>
    <row r="91" spans="1:10" ht="15" hidden="1" customHeight="1">
      <c r="A91" s="2376">
        <v>40940</v>
      </c>
      <c r="B91" s="2375">
        <v>28.78</v>
      </c>
      <c r="C91" s="2364" t="s">
        <v>3534</v>
      </c>
      <c r="D91" s="2370">
        <v>59.4</v>
      </c>
      <c r="E91" s="2366" t="s">
        <v>3535</v>
      </c>
      <c r="F91" s="2371">
        <v>2.8</v>
      </c>
      <c r="G91" s="2368" t="s">
        <v>3536</v>
      </c>
      <c r="H91" s="2369">
        <v>0</v>
      </c>
      <c r="I91" s="2370" t="s">
        <v>661</v>
      </c>
      <c r="J91" s="2368">
        <v>0</v>
      </c>
    </row>
    <row r="92" spans="1:10" ht="15" hidden="1" customHeight="1">
      <c r="A92" s="2376">
        <v>40969</v>
      </c>
      <c r="B92" s="2375">
        <v>49.59</v>
      </c>
      <c r="C92" s="2364" t="s">
        <v>3537</v>
      </c>
      <c r="D92" s="2370">
        <v>32.979999999999997</v>
      </c>
      <c r="E92" s="2366" t="s">
        <v>3538</v>
      </c>
      <c r="F92" s="2371">
        <v>2.5499999999999998</v>
      </c>
      <c r="G92" s="2368" t="s">
        <v>3539</v>
      </c>
      <c r="H92" s="2369">
        <v>0</v>
      </c>
      <c r="I92" s="2370" t="s">
        <v>661</v>
      </c>
      <c r="J92" s="2368">
        <v>0</v>
      </c>
    </row>
    <row r="93" spans="1:10" ht="15" hidden="1" customHeight="1">
      <c r="A93" s="2376">
        <v>41000</v>
      </c>
      <c r="B93" s="2375">
        <v>40.65</v>
      </c>
      <c r="C93" s="2364" t="s">
        <v>3540</v>
      </c>
      <c r="D93" s="2372">
        <v>17.925000000000001</v>
      </c>
      <c r="E93" s="2366" t="s">
        <v>3541</v>
      </c>
      <c r="F93" s="2371">
        <v>1.6</v>
      </c>
      <c r="G93" s="2368" t="s">
        <v>3542</v>
      </c>
      <c r="H93" s="2369">
        <v>0</v>
      </c>
      <c r="I93" s="2370" t="s">
        <v>661</v>
      </c>
      <c r="J93" s="2368">
        <v>0</v>
      </c>
    </row>
    <row r="94" spans="1:10" ht="15" hidden="1" customHeight="1">
      <c r="A94" s="2376">
        <v>41030</v>
      </c>
      <c r="B94" s="2375">
        <v>34.39</v>
      </c>
      <c r="C94" s="2364" t="s">
        <v>3543</v>
      </c>
      <c r="D94" s="2372">
        <v>52.015000000000001</v>
      </c>
      <c r="E94" s="2366" t="s">
        <v>3544</v>
      </c>
      <c r="F94" s="2371">
        <v>0.85</v>
      </c>
      <c r="G94" s="2368" t="s">
        <v>3545</v>
      </c>
      <c r="H94" s="2369">
        <v>0</v>
      </c>
      <c r="I94" s="2370" t="s">
        <v>661</v>
      </c>
      <c r="J94" s="2368">
        <v>0</v>
      </c>
    </row>
    <row r="95" spans="1:10" ht="15" hidden="1" customHeight="1">
      <c r="A95" s="2376">
        <v>41061</v>
      </c>
      <c r="B95" s="2375">
        <v>53.49</v>
      </c>
      <c r="C95" s="2364" t="s">
        <v>3546</v>
      </c>
      <c r="D95" s="2372">
        <v>77.655000000000001</v>
      </c>
      <c r="E95" s="2366" t="s">
        <v>3547</v>
      </c>
      <c r="F95" s="2371">
        <v>11.2</v>
      </c>
      <c r="G95" s="2368" t="s">
        <v>3548</v>
      </c>
      <c r="H95" s="2369">
        <v>0</v>
      </c>
      <c r="I95" s="2370" t="s">
        <v>661</v>
      </c>
      <c r="J95" s="2368">
        <v>0</v>
      </c>
    </row>
    <row r="96" spans="1:10" ht="15" hidden="1" customHeight="1">
      <c r="A96" s="2376">
        <v>41091</v>
      </c>
      <c r="B96" s="2375">
        <v>32.29</v>
      </c>
      <c r="C96" s="2364" t="s">
        <v>3549</v>
      </c>
      <c r="D96" s="2372">
        <v>33.591999999999999</v>
      </c>
      <c r="E96" s="2366" t="s">
        <v>3550</v>
      </c>
      <c r="F96" s="2371">
        <v>6.4</v>
      </c>
      <c r="G96" s="2368" t="s">
        <v>3551</v>
      </c>
      <c r="H96" s="2368">
        <v>0.1</v>
      </c>
      <c r="I96" s="2370">
        <v>48.46</v>
      </c>
      <c r="J96" s="2368">
        <v>0</v>
      </c>
    </row>
    <row r="97" spans="1:10" ht="15" hidden="1" customHeight="1">
      <c r="A97" s="2376">
        <v>41122</v>
      </c>
      <c r="B97" s="2375">
        <v>49.46</v>
      </c>
      <c r="C97" s="2364" t="s">
        <v>3552</v>
      </c>
      <c r="D97" s="2378">
        <v>45.5</v>
      </c>
      <c r="E97" s="2364" t="s">
        <v>3553</v>
      </c>
      <c r="F97" s="2379">
        <v>20.425000000000001</v>
      </c>
      <c r="G97" s="2368" t="s">
        <v>3554</v>
      </c>
      <c r="H97" s="2368">
        <v>0</v>
      </c>
      <c r="I97" s="2370" t="s">
        <v>661</v>
      </c>
      <c r="J97" s="2368">
        <v>0</v>
      </c>
    </row>
    <row r="98" spans="1:10" ht="15" hidden="1" customHeight="1">
      <c r="A98" s="2376">
        <v>41153</v>
      </c>
      <c r="B98" s="2375">
        <v>32.53</v>
      </c>
      <c r="C98" s="2364" t="s">
        <v>3555</v>
      </c>
      <c r="D98" s="2372">
        <v>19.925000000000001</v>
      </c>
      <c r="E98" s="2364" t="s">
        <v>3556</v>
      </c>
      <c r="F98" s="2379">
        <v>29.55</v>
      </c>
      <c r="G98" s="2368" t="s">
        <v>3557</v>
      </c>
      <c r="H98" s="2368">
        <v>0</v>
      </c>
      <c r="I98" s="2370" t="s">
        <v>661</v>
      </c>
      <c r="J98" s="2368">
        <v>0</v>
      </c>
    </row>
    <row r="99" spans="1:10" ht="15.75" hidden="1" customHeight="1">
      <c r="A99" s="2376">
        <v>41183</v>
      </c>
      <c r="B99" s="2380">
        <v>41.664000000000001</v>
      </c>
      <c r="C99" s="2364" t="s">
        <v>3558</v>
      </c>
      <c r="D99" s="2372">
        <v>2.9</v>
      </c>
      <c r="E99" s="2364" t="s">
        <v>3559</v>
      </c>
      <c r="F99" s="2381">
        <v>4.05</v>
      </c>
      <c r="G99" s="2368" t="s">
        <v>3560</v>
      </c>
      <c r="H99" s="2368">
        <v>0</v>
      </c>
      <c r="I99" s="2370" t="s">
        <v>661</v>
      </c>
      <c r="J99" s="2368">
        <v>0</v>
      </c>
    </row>
    <row r="100" spans="1:10" ht="17.25" hidden="1" customHeight="1">
      <c r="A100" s="2376">
        <v>41214</v>
      </c>
      <c r="B100" s="2380">
        <v>54.957000000000001</v>
      </c>
      <c r="C100" s="2364" t="s">
        <v>3561</v>
      </c>
      <c r="D100" s="2372">
        <v>15.55</v>
      </c>
      <c r="E100" s="2364" t="s">
        <v>3562</v>
      </c>
      <c r="F100" s="2381">
        <v>5.05</v>
      </c>
      <c r="G100" s="2368" t="s">
        <v>3563</v>
      </c>
      <c r="H100" s="2368">
        <v>0</v>
      </c>
      <c r="I100" s="2370" t="s">
        <v>661</v>
      </c>
      <c r="J100" s="2368">
        <v>0</v>
      </c>
    </row>
    <row r="101" spans="1:10" ht="17.25" hidden="1" customHeight="1">
      <c r="A101" s="2376">
        <v>41244</v>
      </c>
      <c r="B101" s="2380">
        <v>39.192999999999998</v>
      </c>
      <c r="C101" s="2364" t="s">
        <v>3564</v>
      </c>
      <c r="D101" s="2372">
        <v>62.8</v>
      </c>
      <c r="E101" s="2364" t="s">
        <v>3565</v>
      </c>
      <c r="F101" s="2381">
        <v>65.075000000000003</v>
      </c>
      <c r="G101" s="2368" t="s">
        <v>3566</v>
      </c>
      <c r="H101" s="2368">
        <v>0</v>
      </c>
      <c r="I101" s="2370" t="s">
        <v>661</v>
      </c>
      <c r="J101" s="2368">
        <v>0</v>
      </c>
    </row>
    <row r="102" spans="1:10" ht="17.25" hidden="1" customHeight="1" thickTop="1">
      <c r="A102" s="2376">
        <v>41275</v>
      </c>
      <c r="B102" s="2380">
        <v>37.960999999999999</v>
      </c>
      <c r="C102" s="2364" t="s">
        <v>3567</v>
      </c>
      <c r="D102" s="2372">
        <v>77.14</v>
      </c>
      <c r="E102" s="2364" t="s">
        <v>3568</v>
      </c>
      <c r="F102" s="2381">
        <v>24.55</v>
      </c>
      <c r="G102" s="2368" t="s">
        <v>3569</v>
      </c>
      <c r="H102" s="2368">
        <v>0</v>
      </c>
      <c r="I102" s="2370" t="s">
        <v>661</v>
      </c>
      <c r="J102" s="2368">
        <v>0</v>
      </c>
    </row>
    <row r="103" spans="1:10" ht="18" hidden="1" customHeight="1" thickTop="1">
      <c r="A103" s="2376">
        <v>41306</v>
      </c>
      <c r="B103" s="2380">
        <v>34.963000000000001</v>
      </c>
      <c r="C103" s="2364" t="s">
        <v>3570</v>
      </c>
      <c r="D103" s="2372">
        <v>45.725000000000001</v>
      </c>
      <c r="E103" s="2364" t="s">
        <v>3571</v>
      </c>
      <c r="F103" s="2381">
        <v>23.02</v>
      </c>
      <c r="G103" s="2368" t="s">
        <v>3572</v>
      </c>
      <c r="H103" s="2368">
        <v>0</v>
      </c>
      <c r="I103" s="2370" t="s">
        <v>661</v>
      </c>
      <c r="J103" s="2368">
        <v>0</v>
      </c>
    </row>
    <row r="104" spans="1:10" ht="18" hidden="1" customHeight="1" thickTop="1">
      <c r="A104" s="2376">
        <v>41334</v>
      </c>
      <c r="B104" s="2380">
        <v>35.805</v>
      </c>
      <c r="C104" s="2364" t="s">
        <v>3573</v>
      </c>
      <c r="D104" s="2372">
        <v>15.3</v>
      </c>
      <c r="E104" s="2364" t="s">
        <v>3574</v>
      </c>
      <c r="F104" s="2381">
        <v>44.795000000000002</v>
      </c>
      <c r="G104" s="2368" t="s">
        <v>3575</v>
      </c>
      <c r="H104" s="2368">
        <v>0</v>
      </c>
      <c r="I104" s="2370" t="s">
        <v>661</v>
      </c>
      <c r="J104" s="2368">
        <v>0</v>
      </c>
    </row>
    <row r="105" spans="1:10" ht="18.95" hidden="1" customHeight="1" thickTop="1">
      <c r="A105" s="2382">
        <v>41365</v>
      </c>
      <c r="B105" s="2383">
        <v>50.453000000000003</v>
      </c>
      <c r="C105" s="2384" t="s">
        <v>3576</v>
      </c>
      <c r="D105" s="2385">
        <v>7.85</v>
      </c>
      <c r="E105" s="2384" t="s">
        <v>3577</v>
      </c>
      <c r="F105" s="2386">
        <v>39.6</v>
      </c>
      <c r="G105" s="2387" t="s">
        <v>3578</v>
      </c>
      <c r="H105" s="2387">
        <v>0</v>
      </c>
      <c r="I105" s="2388" t="s">
        <v>661</v>
      </c>
      <c r="J105" s="2387">
        <v>0</v>
      </c>
    </row>
    <row r="106" spans="1:10" ht="18.95" hidden="1" customHeight="1" thickTop="1">
      <c r="A106" s="2382">
        <v>41395</v>
      </c>
      <c r="B106" s="2383">
        <v>37.545000000000002</v>
      </c>
      <c r="C106" s="2384" t="s">
        <v>3579</v>
      </c>
      <c r="D106" s="2385">
        <v>14.95</v>
      </c>
      <c r="E106" s="2384" t="s">
        <v>3580</v>
      </c>
      <c r="F106" s="2386">
        <v>106.4</v>
      </c>
      <c r="G106" s="2387" t="s">
        <v>3581</v>
      </c>
      <c r="H106" s="2387">
        <v>0</v>
      </c>
      <c r="I106" s="2388" t="s">
        <v>661</v>
      </c>
      <c r="J106" s="2387">
        <v>0</v>
      </c>
    </row>
    <row r="107" spans="1:10" ht="18.95" hidden="1" customHeight="1" thickTop="1">
      <c r="A107" s="2382">
        <v>41426</v>
      </c>
      <c r="B107" s="2383">
        <v>29.905000000000001</v>
      </c>
      <c r="C107" s="2384" t="s">
        <v>3582</v>
      </c>
      <c r="D107" s="2385">
        <v>3.05</v>
      </c>
      <c r="E107" s="2384" t="s">
        <v>3583</v>
      </c>
      <c r="F107" s="2386">
        <v>31.715</v>
      </c>
      <c r="G107" s="2387" t="s">
        <v>3584</v>
      </c>
      <c r="H107" s="2387">
        <v>0</v>
      </c>
      <c r="I107" s="2388" t="s">
        <v>661</v>
      </c>
      <c r="J107" s="2387">
        <v>0</v>
      </c>
    </row>
    <row r="108" spans="1:10" ht="23.25" customHeight="1" thickTop="1">
      <c r="A108" s="2389">
        <v>41456</v>
      </c>
      <c r="B108" s="2390">
        <v>47.457000000000001</v>
      </c>
      <c r="C108" s="2391" t="s">
        <v>3585</v>
      </c>
      <c r="D108" s="2392">
        <v>26</v>
      </c>
      <c r="E108" s="2391" t="s">
        <v>3586</v>
      </c>
      <c r="F108" s="2393">
        <v>49.75</v>
      </c>
      <c r="G108" s="1091" t="s">
        <v>3587</v>
      </c>
      <c r="H108" s="1091">
        <v>0</v>
      </c>
      <c r="I108" s="2394" t="s">
        <v>661</v>
      </c>
      <c r="J108" s="1091">
        <v>0</v>
      </c>
    </row>
    <row r="109" spans="1:10" ht="18.95" customHeight="1">
      <c r="A109" s="2389">
        <v>41487</v>
      </c>
      <c r="B109" s="2390">
        <v>32.758000000000003</v>
      </c>
      <c r="C109" s="2391" t="s">
        <v>3588</v>
      </c>
      <c r="D109" s="2392">
        <v>28.34</v>
      </c>
      <c r="E109" s="2391" t="s">
        <v>3589</v>
      </c>
      <c r="F109" s="2393">
        <v>9.85</v>
      </c>
      <c r="G109" s="1091" t="s">
        <v>3590</v>
      </c>
      <c r="H109" s="1091">
        <v>0</v>
      </c>
      <c r="I109" s="2394" t="s">
        <v>661</v>
      </c>
      <c r="J109" s="1091">
        <v>0</v>
      </c>
    </row>
    <row r="110" spans="1:10" ht="18.95" customHeight="1">
      <c r="A110" s="2389">
        <v>41518</v>
      </c>
      <c r="B110" s="2390">
        <v>37.621000000000002</v>
      </c>
      <c r="C110" s="2391" t="s">
        <v>3591</v>
      </c>
      <c r="D110" s="2394">
        <v>0.7</v>
      </c>
      <c r="E110" s="2391" t="s">
        <v>3592</v>
      </c>
      <c r="F110" s="2393">
        <v>3.2</v>
      </c>
      <c r="G110" s="1091" t="s">
        <v>3593</v>
      </c>
      <c r="H110" s="1091">
        <v>0</v>
      </c>
      <c r="I110" s="2394" t="s">
        <v>661</v>
      </c>
      <c r="J110" s="1091">
        <v>0</v>
      </c>
    </row>
    <row r="111" spans="1:10" ht="18.95" customHeight="1">
      <c r="A111" s="2389">
        <v>41548</v>
      </c>
      <c r="B111" s="2390">
        <v>54.445</v>
      </c>
      <c r="C111" s="2391" t="s">
        <v>3594</v>
      </c>
      <c r="D111" s="2394">
        <v>52.9</v>
      </c>
      <c r="E111" s="2391" t="s">
        <v>3595</v>
      </c>
      <c r="F111" s="2393">
        <v>19.649999999999999</v>
      </c>
      <c r="G111" s="1091" t="s">
        <v>3596</v>
      </c>
      <c r="H111" s="1091">
        <v>0</v>
      </c>
      <c r="I111" s="2394" t="s">
        <v>661</v>
      </c>
      <c r="J111" s="1091">
        <v>0</v>
      </c>
    </row>
    <row r="112" spans="1:10" ht="18.95" customHeight="1">
      <c r="A112" s="2389">
        <v>41579</v>
      </c>
      <c r="B112" s="2390">
        <v>36.277000000000001</v>
      </c>
      <c r="C112" s="2391" t="s">
        <v>3597</v>
      </c>
      <c r="D112" s="2394">
        <v>70</v>
      </c>
      <c r="E112" s="2391">
        <v>30.32</v>
      </c>
      <c r="F112" s="2393">
        <v>65.814999999999998</v>
      </c>
      <c r="G112" s="1091" t="s">
        <v>3598</v>
      </c>
      <c r="H112" s="1091">
        <v>0</v>
      </c>
      <c r="I112" s="2394" t="s">
        <v>661</v>
      </c>
      <c r="J112" s="1091">
        <v>0</v>
      </c>
    </row>
    <row r="113" spans="1:10" ht="18.95" customHeight="1">
      <c r="A113" s="2389">
        <v>41609</v>
      </c>
      <c r="B113" s="2390">
        <v>34.878</v>
      </c>
      <c r="C113" s="2391" t="s">
        <v>3599</v>
      </c>
      <c r="D113" s="2394">
        <v>101.8</v>
      </c>
      <c r="E113" s="2391" t="s">
        <v>3600</v>
      </c>
      <c r="F113" s="2393">
        <v>70.150000000000006</v>
      </c>
      <c r="G113" s="1091" t="s">
        <v>3601</v>
      </c>
      <c r="H113" s="1091">
        <v>0</v>
      </c>
      <c r="I113" s="2394" t="s">
        <v>661</v>
      </c>
      <c r="J113" s="1091">
        <v>0</v>
      </c>
    </row>
    <row r="114" spans="1:10" ht="18.95" customHeight="1">
      <c r="A114" s="2389">
        <v>41640</v>
      </c>
      <c r="B114" s="2390">
        <v>54.433999999999997</v>
      </c>
      <c r="C114" s="2391" t="s">
        <v>3602</v>
      </c>
      <c r="D114" s="2394">
        <v>31.75</v>
      </c>
      <c r="E114" s="2391" t="s">
        <v>3603</v>
      </c>
      <c r="F114" s="2393">
        <v>42.2</v>
      </c>
      <c r="G114" s="1091" t="s">
        <v>3604</v>
      </c>
      <c r="H114" s="1091">
        <v>0</v>
      </c>
      <c r="I114" s="2394" t="s">
        <v>661</v>
      </c>
      <c r="J114" s="1091">
        <v>0</v>
      </c>
    </row>
    <row r="115" spans="1:10" ht="18.95" customHeight="1">
      <c r="A115" s="2389">
        <v>41671</v>
      </c>
      <c r="B115" s="2390">
        <v>32.033000000000001</v>
      </c>
      <c r="C115" s="2391" t="s">
        <v>3605</v>
      </c>
      <c r="D115" s="2394">
        <v>28.5</v>
      </c>
      <c r="E115" s="2391" t="s">
        <v>3606</v>
      </c>
      <c r="F115" s="2393">
        <v>61.56</v>
      </c>
      <c r="G115" s="1091" t="s">
        <v>3607</v>
      </c>
      <c r="H115" s="1091">
        <v>0</v>
      </c>
      <c r="I115" s="2394" t="s">
        <v>661</v>
      </c>
      <c r="J115" s="1091">
        <v>0</v>
      </c>
    </row>
    <row r="116" spans="1:10" ht="18.95" customHeight="1">
      <c r="A116" s="2389">
        <v>41699</v>
      </c>
      <c r="B116" s="2390">
        <v>30.710999999999999</v>
      </c>
      <c r="C116" s="2391" t="s">
        <v>3608</v>
      </c>
      <c r="D116" s="2394">
        <v>38.1</v>
      </c>
      <c r="E116" s="2391" t="s">
        <v>3609</v>
      </c>
      <c r="F116" s="2393">
        <v>34.590000000000003</v>
      </c>
      <c r="G116" s="1091" t="s">
        <v>3610</v>
      </c>
      <c r="H116" s="1091">
        <v>0</v>
      </c>
      <c r="I116" s="2394" t="s">
        <v>661</v>
      </c>
      <c r="J116" s="1091">
        <v>0</v>
      </c>
    </row>
    <row r="117" spans="1:10" ht="18.95" customHeight="1">
      <c r="A117" s="2389">
        <v>41730</v>
      </c>
      <c r="B117" s="2390">
        <v>47.854999999999997</v>
      </c>
      <c r="C117" s="2391" t="s">
        <v>3611</v>
      </c>
      <c r="D117" s="2394">
        <v>58.634999999999998</v>
      </c>
      <c r="E117" s="2391" t="s">
        <v>3612</v>
      </c>
      <c r="F117" s="2393">
        <v>50.81</v>
      </c>
      <c r="G117" s="1091" t="s">
        <v>3613</v>
      </c>
      <c r="H117" s="1091">
        <v>0</v>
      </c>
      <c r="I117" s="2394" t="s">
        <v>661</v>
      </c>
      <c r="J117" s="1091">
        <v>0</v>
      </c>
    </row>
    <row r="118" spans="1:10" ht="18.95" customHeight="1">
      <c r="A118" s="2389">
        <v>41760</v>
      </c>
      <c r="B118" s="2390">
        <v>27.722999999999999</v>
      </c>
      <c r="C118" s="2391" t="s">
        <v>3614</v>
      </c>
      <c r="D118" s="2392">
        <f>36.925+0.799514</f>
        <v>37.724513999999999</v>
      </c>
      <c r="E118" s="2391" t="s">
        <v>3615</v>
      </c>
      <c r="F118" s="2393">
        <v>42.18</v>
      </c>
      <c r="G118" s="1091" t="s">
        <v>3616</v>
      </c>
      <c r="H118" s="1091">
        <v>0</v>
      </c>
      <c r="I118" s="2394" t="s">
        <v>661</v>
      </c>
      <c r="J118" s="1091">
        <v>0</v>
      </c>
    </row>
    <row r="119" spans="1:10" ht="18.95" customHeight="1">
      <c r="A119" s="2389">
        <v>41791</v>
      </c>
      <c r="B119" s="2390">
        <v>49.457999999999998</v>
      </c>
      <c r="C119" s="2391" t="s">
        <v>3617</v>
      </c>
      <c r="D119" s="2392">
        <f>1.5+0.287308</f>
        <v>1.7873079999999999</v>
      </c>
      <c r="E119" s="2391" t="s">
        <v>3618</v>
      </c>
      <c r="F119" s="2393">
        <v>50.564999999999998</v>
      </c>
      <c r="G119" s="1091" t="s">
        <v>3619</v>
      </c>
      <c r="H119" s="1091">
        <v>0</v>
      </c>
      <c r="I119" s="2394" t="s">
        <v>661</v>
      </c>
      <c r="J119" s="1091">
        <v>0</v>
      </c>
    </row>
    <row r="120" spans="1:10" ht="18.95" customHeight="1">
      <c r="A120" s="2389">
        <v>41821</v>
      </c>
      <c r="B120" s="2390">
        <v>30.538460000000001</v>
      </c>
      <c r="C120" s="2391" t="s">
        <v>3620</v>
      </c>
      <c r="D120" s="2392">
        <v>3.2986200000000001</v>
      </c>
      <c r="E120" s="2391" t="s">
        <v>3621</v>
      </c>
      <c r="F120" s="2393">
        <v>32.65</v>
      </c>
      <c r="G120" s="1091" t="s">
        <v>3622</v>
      </c>
      <c r="H120" s="1091">
        <v>0</v>
      </c>
      <c r="I120" s="2394" t="s">
        <v>661</v>
      </c>
      <c r="J120" s="1091">
        <v>0</v>
      </c>
    </row>
    <row r="121" spans="1:10" ht="9.75" customHeight="1" thickBot="1">
      <c r="A121" s="2395"/>
      <c r="B121" s="2396"/>
      <c r="C121" s="2397"/>
      <c r="D121" s="2398"/>
      <c r="E121" s="2397"/>
      <c r="F121" s="2399"/>
      <c r="G121" s="2400"/>
      <c r="H121" s="2401"/>
      <c r="I121" s="2398"/>
      <c r="J121" s="2402"/>
    </row>
    <row r="122" spans="1:10" s="2337" customFormat="1" ht="17.25" customHeight="1">
      <c r="A122" s="2403" t="s">
        <v>3623</v>
      </c>
      <c r="B122" s="2404"/>
      <c r="C122" s="2405"/>
      <c r="D122" s="2406"/>
    </row>
    <row r="123" spans="1:10" s="2337" customFormat="1" ht="17.25" customHeight="1">
      <c r="A123" s="2403" t="s">
        <v>680</v>
      </c>
      <c r="B123" s="2404"/>
      <c r="C123" s="2405"/>
      <c r="D123" s="2406"/>
    </row>
    <row r="124" spans="1:10" s="2337" customFormat="1">
      <c r="A124" s="2403"/>
      <c r="B124" s="2404"/>
      <c r="C124" s="2405"/>
      <c r="D124" s="2406"/>
    </row>
    <row r="125" spans="1:10" ht="21.75">
      <c r="A125" s="2407" t="s">
        <v>3624</v>
      </c>
      <c r="B125" s="2408"/>
      <c r="C125" s="2408"/>
      <c r="D125" s="2408"/>
      <c r="E125" s="2408"/>
      <c r="F125" s="2409"/>
      <c r="G125" s="2410"/>
      <c r="H125" s="2410"/>
    </row>
    <row r="126" spans="1:10" ht="18.75">
      <c r="A126" s="2407" t="s">
        <v>3242</v>
      </c>
      <c r="B126" s="2408"/>
      <c r="C126" s="2408"/>
      <c r="D126" s="2408"/>
      <c r="E126" s="2408"/>
      <c r="F126" s="2409"/>
      <c r="G126" s="2410"/>
      <c r="H126" s="2410"/>
    </row>
    <row r="127" spans="1:10" ht="15.75" thickBot="1">
      <c r="A127" s="2411"/>
      <c r="B127" s="2411"/>
      <c r="C127" s="2411"/>
      <c r="D127" s="2411"/>
      <c r="E127" s="2411"/>
      <c r="F127" s="2411"/>
      <c r="G127" s="2410"/>
      <c r="H127" s="2410"/>
    </row>
    <row r="128" spans="1:10" ht="15.75" thickTop="1">
      <c r="A128" s="2412"/>
      <c r="B128" s="2413"/>
      <c r="C128" s="2414"/>
      <c r="D128" s="2414"/>
      <c r="E128" s="2415"/>
      <c r="F128" s="2416"/>
      <c r="G128" s="2417"/>
      <c r="H128" s="2410"/>
    </row>
    <row r="129" spans="1:8">
      <c r="A129" s="2418" t="s">
        <v>212</v>
      </c>
      <c r="B129" s="2419" t="s">
        <v>3625</v>
      </c>
      <c r="C129" s="2420" t="s">
        <v>3626</v>
      </c>
      <c r="D129" s="2421" t="s">
        <v>3627</v>
      </c>
      <c r="E129" s="2422" t="s">
        <v>3625</v>
      </c>
      <c r="F129" s="2420" t="s">
        <v>3626</v>
      </c>
      <c r="G129" s="2423" t="s">
        <v>3627</v>
      </c>
      <c r="H129" s="2424"/>
    </row>
    <row r="130" spans="1:8">
      <c r="A130" s="2425"/>
      <c r="B130" s="3424" t="s">
        <v>3628</v>
      </c>
      <c r="C130" s="3424"/>
      <c r="D130" s="3424"/>
      <c r="E130" s="3425" t="s">
        <v>3629</v>
      </c>
      <c r="F130" s="3424"/>
      <c r="G130" s="3426"/>
      <c r="H130" s="2424"/>
    </row>
    <row r="131" spans="1:8" hidden="1">
      <c r="A131" s="2426">
        <v>41275</v>
      </c>
      <c r="B131" s="2427">
        <v>30.430700000000002</v>
      </c>
      <c r="C131" s="2428">
        <v>41.271900000000002</v>
      </c>
      <c r="D131" s="2429">
        <v>48.303600000000003</v>
      </c>
      <c r="E131" s="2430">
        <v>30.603123809523812</v>
      </c>
      <c r="F131" s="2428">
        <v>40.656466666666653</v>
      </c>
      <c r="G131" s="2431">
        <v>48.939066666666662</v>
      </c>
      <c r="H131" s="2424"/>
    </row>
    <row r="132" spans="1:8" hidden="1">
      <c r="A132" s="2426">
        <v>41306</v>
      </c>
      <c r="B132" s="2427">
        <v>30.850300000000001</v>
      </c>
      <c r="C132" s="2428">
        <v>40.475099999999998</v>
      </c>
      <c r="D132" s="2429">
        <v>46.942799999999998</v>
      </c>
      <c r="E132" s="2430">
        <v>30.654636842105255</v>
      </c>
      <c r="F132" s="2428">
        <v>40.882905263157895</v>
      </c>
      <c r="G132" s="2431">
        <v>47.462326315789475</v>
      </c>
      <c r="H132" s="2424"/>
    </row>
    <row r="133" spans="1:8" hidden="1">
      <c r="A133" s="2426">
        <v>41334</v>
      </c>
      <c r="B133" s="2427">
        <v>31.3004</v>
      </c>
      <c r="C133" s="2428">
        <v>40.124299999999998</v>
      </c>
      <c r="D133" s="2429">
        <v>47.625500000000002</v>
      </c>
      <c r="E133" s="2430">
        <v>31.066909999999996</v>
      </c>
      <c r="F133" s="2428">
        <v>40.289155000000001</v>
      </c>
      <c r="G133" s="2431">
        <v>46.976050000000001</v>
      </c>
      <c r="H133" s="2424"/>
    </row>
    <row r="134" spans="1:8" hidden="1">
      <c r="A134" s="2426">
        <v>41365</v>
      </c>
      <c r="B134" s="2427">
        <v>31.0306</v>
      </c>
      <c r="C134" s="2428">
        <v>40.616300000000003</v>
      </c>
      <c r="D134" s="2429">
        <v>48.115400000000001</v>
      </c>
      <c r="E134" s="2430">
        <v>31.116445000000006</v>
      </c>
      <c r="F134" s="2428">
        <v>40.532910000000001</v>
      </c>
      <c r="G134" s="2431">
        <v>47.664449999999995</v>
      </c>
      <c r="H134" s="2424"/>
    </row>
    <row r="135" spans="1:8" hidden="1">
      <c r="A135" s="2426">
        <v>41395</v>
      </c>
      <c r="B135" s="2427">
        <v>31.124199999999998</v>
      </c>
      <c r="C135" s="2428">
        <v>40.674700000000001</v>
      </c>
      <c r="D135" s="2429">
        <v>47.593200000000003</v>
      </c>
      <c r="E135" s="2430">
        <v>31.167886363636363</v>
      </c>
      <c r="F135" s="2428">
        <v>40.473986363636371</v>
      </c>
      <c r="G135" s="2431">
        <v>47.741309090909091</v>
      </c>
      <c r="H135" s="2424"/>
    </row>
    <row r="136" spans="1:8" hidden="1">
      <c r="A136" s="2426">
        <v>41426</v>
      </c>
      <c r="B136" s="2427">
        <v>31.184000000000001</v>
      </c>
      <c r="C136" s="2428">
        <v>40.688499999999998</v>
      </c>
      <c r="D136" s="2429">
        <v>47.794499999999999</v>
      </c>
      <c r="E136" s="2430">
        <v>30.964214999999996</v>
      </c>
      <c r="F136" s="2428">
        <v>40.875264999999999</v>
      </c>
      <c r="G136" s="2431">
        <v>48.045384999999996</v>
      </c>
      <c r="H136" s="2424"/>
    </row>
    <row r="137" spans="1:8">
      <c r="A137" s="2426">
        <v>41456</v>
      </c>
      <c r="B137" s="2427">
        <v>30.9513</v>
      </c>
      <c r="C137" s="2428">
        <v>40.958199999999998</v>
      </c>
      <c r="D137" s="2429">
        <v>47.088099999999997</v>
      </c>
      <c r="E137" s="2430">
        <v>31.088491304347823</v>
      </c>
      <c r="F137" s="2428">
        <v>40.690691304347823</v>
      </c>
      <c r="G137" s="2431">
        <v>47.32544782608695</v>
      </c>
      <c r="H137" s="2424"/>
    </row>
    <row r="138" spans="1:8">
      <c r="A138" s="2426">
        <v>41487</v>
      </c>
      <c r="B138" s="2427">
        <v>30.9194</v>
      </c>
      <c r="C138" s="2428">
        <v>40.973500000000001</v>
      </c>
      <c r="D138" s="2429">
        <v>48.167000000000002</v>
      </c>
      <c r="E138" s="2430">
        <v>30.870180952380956</v>
      </c>
      <c r="F138" s="2428">
        <v>41.119528571428582</v>
      </c>
      <c r="G138" s="2431">
        <v>47.858095238095245</v>
      </c>
      <c r="H138" s="2424"/>
    </row>
    <row r="139" spans="1:8">
      <c r="A139" s="2426">
        <v>41518</v>
      </c>
      <c r="B139" s="2427">
        <v>30.5107</v>
      </c>
      <c r="C139" s="2428">
        <v>41.2699</v>
      </c>
      <c r="D139" s="2429">
        <v>49.3065</v>
      </c>
      <c r="E139" s="2430">
        <v>30.840750000000003</v>
      </c>
      <c r="F139" s="2428">
        <v>41.215094999999998</v>
      </c>
      <c r="G139" s="2431">
        <v>49.017115000000004</v>
      </c>
      <c r="H139" s="2424"/>
    </row>
    <row r="140" spans="1:8">
      <c r="A140" s="2426">
        <v>41548</v>
      </c>
      <c r="B140" s="2427">
        <v>30.186</v>
      </c>
      <c r="C140" s="2428">
        <v>41.391800000000003</v>
      </c>
      <c r="D140" s="2429">
        <v>48.579700000000003</v>
      </c>
      <c r="E140" s="2430">
        <v>30.381</v>
      </c>
      <c r="F140" s="2428">
        <v>41.430999999999997</v>
      </c>
      <c r="G140" s="2431">
        <v>48.997</v>
      </c>
      <c r="H140" s="2432"/>
    </row>
    <row r="141" spans="1:8">
      <c r="A141" s="2426">
        <v>41579</v>
      </c>
      <c r="B141" s="2427">
        <v>30.365400000000001</v>
      </c>
      <c r="C141" s="2428">
        <v>41.359900000000003</v>
      </c>
      <c r="D141" s="2429">
        <v>49.6</v>
      </c>
      <c r="E141" s="2430">
        <v>30.513550000000002</v>
      </c>
      <c r="F141" s="2428">
        <v>41.245615000000001</v>
      </c>
      <c r="G141" s="2431">
        <v>49.231155000000008</v>
      </c>
      <c r="H141" s="2432"/>
    </row>
    <row r="142" spans="1:8">
      <c r="A142" s="2426">
        <v>41609</v>
      </c>
      <c r="B142" s="2427">
        <v>30.261500000000002</v>
      </c>
      <c r="C142" s="2428">
        <v>41.633800000000001</v>
      </c>
      <c r="D142" s="2429">
        <v>49.841200000000001</v>
      </c>
      <c r="E142" s="2430">
        <v>30.280761904761896</v>
      </c>
      <c r="F142" s="2428">
        <v>41.475899999999996</v>
      </c>
      <c r="G142" s="2431">
        <v>49.642990476190462</v>
      </c>
      <c r="H142" s="2432"/>
    </row>
    <row r="143" spans="1:8">
      <c r="A143" s="2426">
        <v>41640</v>
      </c>
      <c r="B143" s="2427">
        <v>30.334599999999998</v>
      </c>
      <c r="C143" s="2428">
        <v>41.370199999999997</v>
      </c>
      <c r="D143" s="2429">
        <v>50.411900000000003</v>
      </c>
      <c r="E143" s="2430">
        <v>30.334347368421057</v>
      </c>
      <c r="F143" s="2428">
        <v>41.345510526315792</v>
      </c>
      <c r="G143" s="2431">
        <v>50.067547368421039</v>
      </c>
      <c r="H143" s="2424"/>
    </row>
    <row r="144" spans="1:8">
      <c r="A144" s="2426">
        <v>41671</v>
      </c>
      <c r="B144" s="2427">
        <v>30.182300000000001</v>
      </c>
      <c r="C144" s="2428">
        <v>41.464199999999998</v>
      </c>
      <c r="D144" s="2429">
        <v>50.6616</v>
      </c>
      <c r="E144" s="2430">
        <v>30.301788888888893</v>
      </c>
      <c r="F144" s="2428">
        <v>41.413055555555559</v>
      </c>
      <c r="G144" s="2431">
        <v>50.306766666666668</v>
      </c>
      <c r="H144" s="2424"/>
    </row>
    <row r="145" spans="1:8">
      <c r="A145" s="2426">
        <v>41699</v>
      </c>
      <c r="B145" s="2427">
        <v>30.196400000000001</v>
      </c>
      <c r="C145" s="2428">
        <v>41.5411</v>
      </c>
      <c r="D145" s="2429">
        <v>50.4268</v>
      </c>
      <c r="E145" s="2430">
        <v>30.107694736842106</v>
      </c>
      <c r="F145" s="2428">
        <v>41.639631578947366</v>
      </c>
      <c r="G145" s="2431">
        <v>50.17263157894736</v>
      </c>
      <c r="H145" s="2424"/>
    </row>
    <row r="146" spans="1:8">
      <c r="A146" s="2426">
        <v>41730</v>
      </c>
      <c r="B146" s="2427">
        <v>30.079899999999999</v>
      </c>
      <c r="C146" s="2428">
        <v>41.506999999999998</v>
      </c>
      <c r="D146" s="2429">
        <v>50.912799999999997</v>
      </c>
      <c r="E146" s="2430">
        <v>30.104427272727275</v>
      </c>
      <c r="F146" s="2428">
        <v>41.582795454545455</v>
      </c>
      <c r="G146" s="2431">
        <v>50.567418181818191</v>
      </c>
      <c r="H146" s="2424"/>
    </row>
    <row r="147" spans="1:8">
      <c r="A147" s="2426">
        <v>41760</v>
      </c>
      <c r="B147" s="2427">
        <v>30.342099999999999</v>
      </c>
      <c r="C147" s="2428">
        <v>41.297800000000002</v>
      </c>
      <c r="D147" s="2429">
        <v>50.977800000000002</v>
      </c>
      <c r="E147" s="2430">
        <v>30.180161904761899</v>
      </c>
      <c r="F147" s="2428">
        <v>41.459180952380954</v>
      </c>
      <c r="G147" s="2431">
        <v>51.058476190476192</v>
      </c>
      <c r="H147" s="2424"/>
    </row>
    <row r="148" spans="1:8">
      <c r="A148" s="2426">
        <v>41791</v>
      </c>
      <c r="B148" s="2427">
        <v>30.352499999999999</v>
      </c>
      <c r="C148" s="2428">
        <v>41.417000000000002</v>
      </c>
      <c r="D148" s="2429">
        <v>51.6494</v>
      </c>
      <c r="E148" s="2430">
        <v>30.390471428571427</v>
      </c>
      <c r="F148" s="2428">
        <v>41.325047619047623</v>
      </c>
      <c r="G148" s="2431">
        <v>51.443295238095246</v>
      </c>
      <c r="H148" s="2424"/>
    </row>
    <row r="149" spans="1:8" ht="15.75" thickBot="1">
      <c r="A149" s="2433">
        <v>41821</v>
      </c>
      <c r="B149" s="2434">
        <v>30.631799999999998</v>
      </c>
      <c r="C149" s="2435">
        <v>40.9527</v>
      </c>
      <c r="D149" s="2436">
        <v>51.8</v>
      </c>
      <c r="E149" s="2437">
        <v>30.387900000000002</v>
      </c>
      <c r="F149" s="2435">
        <v>41.174877272727265</v>
      </c>
      <c r="G149" s="2438">
        <v>52.062963636363634</v>
      </c>
      <c r="H149" s="2424"/>
    </row>
    <row r="150" spans="1:8" ht="18.75" thickTop="1">
      <c r="A150" s="2439" t="s">
        <v>3630</v>
      </c>
      <c r="B150" s="2440"/>
      <c r="C150" s="2440"/>
      <c r="D150" s="2440"/>
      <c r="E150" s="2441"/>
      <c r="F150" s="2442"/>
      <c r="G150" s="2442"/>
      <c r="H150" s="2410"/>
    </row>
    <row r="151" spans="1:8">
      <c r="A151" s="2443" t="s">
        <v>3631</v>
      </c>
      <c r="B151" s="2441"/>
      <c r="C151" s="2441"/>
      <c r="D151" s="2441"/>
      <c r="E151" s="2441"/>
      <c r="F151" s="2442"/>
      <c r="G151" s="2442"/>
      <c r="H151" s="2410"/>
    </row>
    <row r="152" spans="1:8">
      <c r="A152" s="2441" t="s">
        <v>680</v>
      </c>
      <c r="B152" s="2442"/>
      <c r="C152" s="2442"/>
      <c r="D152" s="2442"/>
      <c r="E152" s="2442"/>
      <c r="F152" s="2442"/>
      <c r="G152" s="2442"/>
      <c r="H152" s="2410"/>
    </row>
  </sheetData>
  <mergeCells count="11">
    <mergeCell ref="H6:H7"/>
    <mergeCell ref="I6:I7"/>
    <mergeCell ref="J6:J7"/>
    <mergeCell ref="B130:D130"/>
    <mergeCell ref="E130:G130"/>
    <mergeCell ref="B6:B7"/>
    <mergeCell ref="C6:C7"/>
    <mergeCell ref="D6:D7"/>
    <mergeCell ref="E6:E7"/>
    <mergeCell ref="F6:F7"/>
    <mergeCell ref="G6:G7"/>
  </mergeCells>
  <pageMargins left="0.511811023622047" right="0.196850393700787" top="0.74803149606299202" bottom="0.74803149606299202" header="0.31496062992126" footer="0.31496062992126"/>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78"/>
  <sheetViews>
    <sheetView zoomScaleNormal="100" workbookViewId="0">
      <selection activeCell="G14" sqref="G14"/>
    </sheetView>
  </sheetViews>
  <sheetFormatPr defaultRowHeight="12.75"/>
  <cols>
    <col min="1" max="1" width="99.7109375" style="105" customWidth="1"/>
    <col min="2" max="2" width="10.7109375" style="105" customWidth="1"/>
    <col min="3" max="3" width="10.42578125" style="105" customWidth="1"/>
    <col min="4" max="4" width="12.85546875" style="105" customWidth="1"/>
    <col min="5" max="5" width="14.28515625" style="105" bestFit="1" customWidth="1"/>
    <col min="6" max="6" width="10.28515625" style="105" bestFit="1" customWidth="1"/>
    <col min="7" max="7" width="9.7109375" style="105" bestFit="1" customWidth="1"/>
    <col min="8" max="256" width="9.140625" style="105"/>
    <col min="257" max="257" width="99.7109375" style="105" customWidth="1"/>
    <col min="258" max="258" width="10.7109375" style="105" customWidth="1"/>
    <col min="259" max="259" width="10.42578125" style="105" customWidth="1"/>
    <col min="260" max="260" width="12.85546875" style="105" customWidth="1"/>
    <col min="261" max="261" width="14.28515625" style="105" bestFit="1" customWidth="1"/>
    <col min="262" max="262" width="10.28515625" style="105" bestFit="1" customWidth="1"/>
    <col min="263" max="263" width="9.7109375" style="105" bestFit="1" customWidth="1"/>
    <col min="264" max="512" width="9.140625" style="105"/>
    <col min="513" max="513" width="99.7109375" style="105" customWidth="1"/>
    <col min="514" max="514" width="10.7109375" style="105" customWidth="1"/>
    <col min="515" max="515" width="10.42578125" style="105" customWidth="1"/>
    <col min="516" max="516" width="12.85546875" style="105" customWidth="1"/>
    <col min="517" max="517" width="14.28515625" style="105" bestFit="1" customWidth="1"/>
    <col min="518" max="518" width="10.28515625" style="105" bestFit="1" customWidth="1"/>
    <col min="519" max="519" width="9.7109375" style="105" bestFit="1" customWidth="1"/>
    <col min="520" max="768" width="9.140625" style="105"/>
    <col min="769" max="769" width="99.7109375" style="105" customWidth="1"/>
    <col min="770" max="770" width="10.7109375" style="105" customWidth="1"/>
    <col min="771" max="771" width="10.42578125" style="105" customWidth="1"/>
    <col min="772" max="772" width="12.85546875" style="105" customWidth="1"/>
    <col min="773" max="773" width="14.28515625" style="105" bestFit="1" customWidth="1"/>
    <col min="774" max="774" width="10.28515625" style="105" bestFit="1" customWidth="1"/>
    <col min="775" max="775" width="9.7109375" style="105" bestFit="1" customWidth="1"/>
    <col min="776" max="1024" width="9.140625" style="105"/>
    <col min="1025" max="1025" width="99.7109375" style="105" customWidth="1"/>
    <col min="1026" max="1026" width="10.7109375" style="105" customWidth="1"/>
    <col min="1027" max="1027" width="10.42578125" style="105" customWidth="1"/>
    <col min="1028" max="1028" width="12.85546875" style="105" customWidth="1"/>
    <col min="1029" max="1029" width="14.28515625" style="105" bestFit="1" customWidth="1"/>
    <col min="1030" max="1030" width="10.28515625" style="105" bestFit="1" customWidth="1"/>
    <col min="1031" max="1031" width="9.7109375" style="105" bestFit="1" customWidth="1"/>
    <col min="1032" max="1280" width="9.140625" style="105"/>
    <col min="1281" max="1281" width="99.7109375" style="105" customWidth="1"/>
    <col min="1282" max="1282" width="10.7109375" style="105" customWidth="1"/>
    <col min="1283" max="1283" width="10.42578125" style="105" customWidth="1"/>
    <col min="1284" max="1284" width="12.85546875" style="105" customWidth="1"/>
    <col min="1285" max="1285" width="14.28515625" style="105" bestFit="1" customWidth="1"/>
    <col min="1286" max="1286" width="10.28515625" style="105" bestFit="1" customWidth="1"/>
    <col min="1287" max="1287" width="9.7109375" style="105" bestFit="1" customWidth="1"/>
    <col min="1288" max="1536" width="9.140625" style="105"/>
    <col min="1537" max="1537" width="99.7109375" style="105" customWidth="1"/>
    <col min="1538" max="1538" width="10.7109375" style="105" customWidth="1"/>
    <col min="1539" max="1539" width="10.42578125" style="105" customWidth="1"/>
    <col min="1540" max="1540" width="12.85546875" style="105" customWidth="1"/>
    <col min="1541" max="1541" width="14.28515625" style="105" bestFit="1" customWidth="1"/>
    <col min="1542" max="1542" width="10.28515625" style="105" bestFit="1" customWidth="1"/>
    <col min="1543" max="1543" width="9.7109375" style="105" bestFit="1" customWidth="1"/>
    <col min="1544" max="1792" width="9.140625" style="105"/>
    <col min="1793" max="1793" width="99.7109375" style="105" customWidth="1"/>
    <col min="1794" max="1794" width="10.7109375" style="105" customWidth="1"/>
    <col min="1795" max="1795" width="10.42578125" style="105" customWidth="1"/>
    <col min="1796" max="1796" width="12.85546875" style="105" customWidth="1"/>
    <col min="1797" max="1797" width="14.28515625" style="105" bestFit="1" customWidth="1"/>
    <col min="1798" max="1798" width="10.28515625" style="105" bestFit="1" customWidth="1"/>
    <col min="1799" max="1799" width="9.7109375" style="105" bestFit="1" customWidth="1"/>
    <col min="1800" max="2048" width="9.140625" style="105"/>
    <col min="2049" max="2049" width="99.7109375" style="105" customWidth="1"/>
    <col min="2050" max="2050" width="10.7109375" style="105" customWidth="1"/>
    <col min="2051" max="2051" width="10.42578125" style="105" customWidth="1"/>
    <col min="2052" max="2052" width="12.85546875" style="105" customWidth="1"/>
    <col min="2053" max="2053" width="14.28515625" style="105" bestFit="1" customWidth="1"/>
    <col min="2054" max="2054" width="10.28515625" style="105" bestFit="1" customWidth="1"/>
    <col min="2055" max="2055" width="9.7109375" style="105" bestFit="1" customWidth="1"/>
    <col min="2056" max="2304" width="9.140625" style="105"/>
    <col min="2305" max="2305" width="99.7109375" style="105" customWidth="1"/>
    <col min="2306" max="2306" width="10.7109375" style="105" customWidth="1"/>
    <col min="2307" max="2307" width="10.42578125" style="105" customWidth="1"/>
    <col min="2308" max="2308" width="12.85546875" style="105" customWidth="1"/>
    <col min="2309" max="2309" width="14.28515625" style="105" bestFit="1" customWidth="1"/>
    <col min="2310" max="2310" width="10.28515625" style="105" bestFit="1" customWidth="1"/>
    <col min="2311" max="2311" width="9.7109375" style="105" bestFit="1" customWidth="1"/>
    <col min="2312" max="2560" width="9.140625" style="105"/>
    <col min="2561" max="2561" width="99.7109375" style="105" customWidth="1"/>
    <col min="2562" max="2562" width="10.7109375" style="105" customWidth="1"/>
    <col min="2563" max="2563" width="10.42578125" style="105" customWidth="1"/>
    <col min="2564" max="2564" width="12.85546875" style="105" customWidth="1"/>
    <col min="2565" max="2565" width="14.28515625" style="105" bestFit="1" customWidth="1"/>
    <col min="2566" max="2566" width="10.28515625" style="105" bestFit="1" customWidth="1"/>
    <col min="2567" max="2567" width="9.7109375" style="105" bestFit="1" customWidth="1"/>
    <col min="2568" max="2816" width="9.140625" style="105"/>
    <col min="2817" max="2817" width="99.7109375" style="105" customWidth="1"/>
    <col min="2818" max="2818" width="10.7109375" style="105" customWidth="1"/>
    <col min="2819" max="2819" width="10.42578125" style="105" customWidth="1"/>
    <col min="2820" max="2820" width="12.85546875" style="105" customWidth="1"/>
    <col min="2821" max="2821" width="14.28515625" style="105" bestFit="1" customWidth="1"/>
    <col min="2822" max="2822" width="10.28515625" style="105" bestFit="1" customWidth="1"/>
    <col min="2823" max="2823" width="9.7109375" style="105" bestFit="1" customWidth="1"/>
    <col min="2824" max="3072" width="9.140625" style="105"/>
    <col min="3073" max="3073" width="99.7109375" style="105" customWidth="1"/>
    <col min="3074" max="3074" width="10.7109375" style="105" customWidth="1"/>
    <col min="3075" max="3075" width="10.42578125" style="105" customWidth="1"/>
    <col min="3076" max="3076" width="12.85546875" style="105" customWidth="1"/>
    <col min="3077" max="3077" width="14.28515625" style="105" bestFit="1" customWidth="1"/>
    <col min="3078" max="3078" width="10.28515625" style="105" bestFit="1" customWidth="1"/>
    <col min="3079" max="3079" width="9.7109375" style="105" bestFit="1" customWidth="1"/>
    <col min="3080" max="3328" width="9.140625" style="105"/>
    <col min="3329" max="3329" width="99.7109375" style="105" customWidth="1"/>
    <col min="3330" max="3330" width="10.7109375" style="105" customWidth="1"/>
    <col min="3331" max="3331" width="10.42578125" style="105" customWidth="1"/>
    <col min="3332" max="3332" width="12.85546875" style="105" customWidth="1"/>
    <col min="3333" max="3333" width="14.28515625" style="105" bestFit="1" customWidth="1"/>
    <col min="3334" max="3334" width="10.28515625" style="105" bestFit="1" customWidth="1"/>
    <col min="3335" max="3335" width="9.7109375" style="105" bestFit="1" customWidth="1"/>
    <col min="3336" max="3584" width="9.140625" style="105"/>
    <col min="3585" max="3585" width="99.7109375" style="105" customWidth="1"/>
    <col min="3586" max="3586" width="10.7109375" style="105" customWidth="1"/>
    <col min="3587" max="3587" width="10.42578125" style="105" customWidth="1"/>
    <col min="3588" max="3588" width="12.85546875" style="105" customWidth="1"/>
    <col min="3589" max="3589" width="14.28515625" style="105" bestFit="1" customWidth="1"/>
    <col min="3590" max="3590" width="10.28515625" style="105" bestFit="1" customWidth="1"/>
    <col min="3591" max="3591" width="9.7109375" style="105" bestFit="1" customWidth="1"/>
    <col min="3592" max="3840" width="9.140625" style="105"/>
    <col min="3841" max="3841" width="99.7109375" style="105" customWidth="1"/>
    <col min="3842" max="3842" width="10.7109375" style="105" customWidth="1"/>
    <col min="3843" max="3843" width="10.42578125" style="105" customWidth="1"/>
    <col min="3844" max="3844" width="12.85546875" style="105" customWidth="1"/>
    <col min="3845" max="3845" width="14.28515625" style="105" bestFit="1" customWidth="1"/>
    <col min="3846" max="3846" width="10.28515625" style="105" bestFit="1" customWidth="1"/>
    <col min="3847" max="3847" width="9.7109375" style="105" bestFit="1" customWidth="1"/>
    <col min="3848" max="4096" width="9.140625" style="105"/>
    <col min="4097" max="4097" width="99.7109375" style="105" customWidth="1"/>
    <col min="4098" max="4098" width="10.7109375" style="105" customWidth="1"/>
    <col min="4099" max="4099" width="10.42578125" style="105" customWidth="1"/>
    <col min="4100" max="4100" width="12.85546875" style="105" customWidth="1"/>
    <col min="4101" max="4101" width="14.28515625" style="105" bestFit="1" customWidth="1"/>
    <col min="4102" max="4102" width="10.28515625" style="105" bestFit="1" customWidth="1"/>
    <col min="4103" max="4103" width="9.7109375" style="105" bestFit="1" customWidth="1"/>
    <col min="4104" max="4352" width="9.140625" style="105"/>
    <col min="4353" max="4353" width="99.7109375" style="105" customWidth="1"/>
    <col min="4354" max="4354" width="10.7109375" style="105" customWidth="1"/>
    <col min="4355" max="4355" width="10.42578125" style="105" customWidth="1"/>
    <col min="4356" max="4356" width="12.85546875" style="105" customWidth="1"/>
    <col min="4357" max="4357" width="14.28515625" style="105" bestFit="1" customWidth="1"/>
    <col min="4358" max="4358" width="10.28515625" style="105" bestFit="1" customWidth="1"/>
    <col min="4359" max="4359" width="9.7109375" style="105" bestFit="1" customWidth="1"/>
    <col min="4360" max="4608" width="9.140625" style="105"/>
    <col min="4609" max="4609" width="99.7109375" style="105" customWidth="1"/>
    <col min="4610" max="4610" width="10.7109375" style="105" customWidth="1"/>
    <col min="4611" max="4611" width="10.42578125" style="105" customWidth="1"/>
    <col min="4612" max="4612" width="12.85546875" style="105" customWidth="1"/>
    <col min="4613" max="4613" width="14.28515625" style="105" bestFit="1" customWidth="1"/>
    <col min="4614" max="4614" width="10.28515625" style="105" bestFit="1" customWidth="1"/>
    <col min="4615" max="4615" width="9.7109375" style="105" bestFit="1" customWidth="1"/>
    <col min="4616" max="4864" width="9.140625" style="105"/>
    <col min="4865" max="4865" width="99.7109375" style="105" customWidth="1"/>
    <col min="4866" max="4866" width="10.7109375" style="105" customWidth="1"/>
    <col min="4867" max="4867" width="10.42578125" style="105" customWidth="1"/>
    <col min="4868" max="4868" width="12.85546875" style="105" customWidth="1"/>
    <col min="4869" max="4869" width="14.28515625" style="105" bestFit="1" customWidth="1"/>
    <col min="4870" max="4870" width="10.28515625" style="105" bestFit="1" customWidth="1"/>
    <col min="4871" max="4871" width="9.7109375" style="105" bestFit="1" customWidth="1"/>
    <col min="4872" max="5120" width="9.140625" style="105"/>
    <col min="5121" max="5121" width="99.7109375" style="105" customWidth="1"/>
    <col min="5122" max="5122" width="10.7109375" style="105" customWidth="1"/>
    <col min="5123" max="5123" width="10.42578125" style="105" customWidth="1"/>
    <col min="5124" max="5124" width="12.85546875" style="105" customWidth="1"/>
    <col min="5125" max="5125" width="14.28515625" style="105" bestFit="1" customWidth="1"/>
    <col min="5126" max="5126" width="10.28515625" style="105" bestFit="1" customWidth="1"/>
    <col min="5127" max="5127" width="9.7109375" style="105" bestFit="1" customWidth="1"/>
    <col min="5128" max="5376" width="9.140625" style="105"/>
    <col min="5377" max="5377" width="99.7109375" style="105" customWidth="1"/>
    <col min="5378" max="5378" width="10.7109375" style="105" customWidth="1"/>
    <col min="5379" max="5379" width="10.42578125" style="105" customWidth="1"/>
    <col min="5380" max="5380" width="12.85546875" style="105" customWidth="1"/>
    <col min="5381" max="5381" width="14.28515625" style="105" bestFit="1" customWidth="1"/>
    <col min="5382" max="5382" width="10.28515625" style="105" bestFit="1" customWidth="1"/>
    <col min="5383" max="5383" width="9.7109375" style="105" bestFit="1" customWidth="1"/>
    <col min="5384" max="5632" width="9.140625" style="105"/>
    <col min="5633" max="5633" width="99.7109375" style="105" customWidth="1"/>
    <col min="5634" max="5634" width="10.7109375" style="105" customWidth="1"/>
    <col min="5635" max="5635" width="10.42578125" style="105" customWidth="1"/>
    <col min="5636" max="5636" width="12.85546875" style="105" customWidth="1"/>
    <col min="5637" max="5637" width="14.28515625" style="105" bestFit="1" customWidth="1"/>
    <col min="5638" max="5638" width="10.28515625" style="105" bestFit="1" customWidth="1"/>
    <col min="5639" max="5639" width="9.7109375" style="105" bestFit="1" customWidth="1"/>
    <col min="5640" max="5888" width="9.140625" style="105"/>
    <col min="5889" max="5889" width="99.7109375" style="105" customWidth="1"/>
    <col min="5890" max="5890" width="10.7109375" style="105" customWidth="1"/>
    <col min="5891" max="5891" width="10.42578125" style="105" customWidth="1"/>
    <col min="5892" max="5892" width="12.85546875" style="105" customWidth="1"/>
    <col min="5893" max="5893" width="14.28515625" style="105" bestFit="1" customWidth="1"/>
    <col min="5894" max="5894" width="10.28515625" style="105" bestFit="1" customWidth="1"/>
    <col min="5895" max="5895" width="9.7109375" style="105" bestFit="1" customWidth="1"/>
    <col min="5896" max="6144" width="9.140625" style="105"/>
    <col min="6145" max="6145" width="99.7109375" style="105" customWidth="1"/>
    <col min="6146" max="6146" width="10.7109375" style="105" customWidth="1"/>
    <col min="6147" max="6147" width="10.42578125" style="105" customWidth="1"/>
    <col min="6148" max="6148" width="12.85546875" style="105" customWidth="1"/>
    <col min="6149" max="6149" width="14.28515625" style="105" bestFit="1" customWidth="1"/>
    <col min="6150" max="6150" width="10.28515625" style="105" bestFit="1" customWidth="1"/>
    <col min="6151" max="6151" width="9.7109375" style="105" bestFit="1" customWidth="1"/>
    <col min="6152" max="6400" width="9.140625" style="105"/>
    <col min="6401" max="6401" width="99.7109375" style="105" customWidth="1"/>
    <col min="6402" max="6402" width="10.7109375" style="105" customWidth="1"/>
    <col min="6403" max="6403" width="10.42578125" style="105" customWidth="1"/>
    <col min="6404" max="6404" width="12.85546875" style="105" customWidth="1"/>
    <col min="6405" max="6405" width="14.28515625" style="105" bestFit="1" customWidth="1"/>
    <col min="6406" max="6406" width="10.28515625" style="105" bestFit="1" customWidth="1"/>
    <col min="6407" max="6407" width="9.7109375" style="105" bestFit="1" customWidth="1"/>
    <col min="6408" max="6656" width="9.140625" style="105"/>
    <col min="6657" max="6657" width="99.7109375" style="105" customWidth="1"/>
    <col min="6658" max="6658" width="10.7109375" style="105" customWidth="1"/>
    <col min="6659" max="6659" width="10.42578125" style="105" customWidth="1"/>
    <col min="6660" max="6660" width="12.85546875" style="105" customWidth="1"/>
    <col min="6661" max="6661" width="14.28515625" style="105" bestFit="1" customWidth="1"/>
    <col min="6662" max="6662" width="10.28515625" style="105" bestFit="1" customWidth="1"/>
    <col min="6663" max="6663" width="9.7109375" style="105" bestFit="1" customWidth="1"/>
    <col min="6664" max="6912" width="9.140625" style="105"/>
    <col min="6913" max="6913" width="99.7109375" style="105" customWidth="1"/>
    <col min="6914" max="6914" width="10.7109375" style="105" customWidth="1"/>
    <col min="6915" max="6915" width="10.42578125" style="105" customWidth="1"/>
    <col min="6916" max="6916" width="12.85546875" style="105" customWidth="1"/>
    <col min="6917" max="6917" width="14.28515625" style="105" bestFit="1" customWidth="1"/>
    <col min="6918" max="6918" width="10.28515625" style="105" bestFit="1" customWidth="1"/>
    <col min="6919" max="6919" width="9.7109375" style="105" bestFit="1" customWidth="1"/>
    <col min="6920" max="7168" width="9.140625" style="105"/>
    <col min="7169" max="7169" width="99.7109375" style="105" customWidth="1"/>
    <col min="7170" max="7170" width="10.7109375" style="105" customWidth="1"/>
    <col min="7171" max="7171" width="10.42578125" style="105" customWidth="1"/>
    <col min="7172" max="7172" width="12.85546875" style="105" customWidth="1"/>
    <col min="7173" max="7173" width="14.28515625" style="105" bestFit="1" customWidth="1"/>
    <col min="7174" max="7174" width="10.28515625" style="105" bestFit="1" customWidth="1"/>
    <col min="7175" max="7175" width="9.7109375" style="105" bestFit="1" customWidth="1"/>
    <col min="7176" max="7424" width="9.140625" style="105"/>
    <col min="7425" max="7425" width="99.7109375" style="105" customWidth="1"/>
    <col min="7426" max="7426" width="10.7109375" style="105" customWidth="1"/>
    <col min="7427" max="7427" width="10.42578125" style="105" customWidth="1"/>
    <col min="7428" max="7428" width="12.85546875" style="105" customWidth="1"/>
    <col min="7429" max="7429" width="14.28515625" style="105" bestFit="1" customWidth="1"/>
    <col min="7430" max="7430" width="10.28515625" style="105" bestFit="1" customWidth="1"/>
    <col min="7431" max="7431" width="9.7109375" style="105" bestFit="1" customWidth="1"/>
    <col min="7432" max="7680" width="9.140625" style="105"/>
    <col min="7681" max="7681" width="99.7109375" style="105" customWidth="1"/>
    <col min="7682" max="7682" width="10.7109375" style="105" customWidth="1"/>
    <col min="7683" max="7683" width="10.42578125" style="105" customWidth="1"/>
    <col min="7684" max="7684" width="12.85546875" style="105" customWidth="1"/>
    <col min="7685" max="7685" width="14.28515625" style="105" bestFit="1" customWidth="1"/>
    <col min="7686" max="7686" width="10.28515625" style="105" bestFit="1" customWidth="1"/>
    <col min="7687" max="7687" width="9.7109375" style="105" bestFit="1" customWidth="1"/>
    <col min="7688" max="7936" width="9.140625" style="105"/>
    <col min="7937" max="7937" width="99.7109375" style="105" customWidth="1"/>
    <col min="7938" max="7938" width="10.7109375" style="105" customWidth="1"/>
    <col min="7939" max="7939" width="10.42578125" style="105" customWidth="1"/>
    <col min="7940" max="7940" width="12.85546875" style="105" customWidth="1"/>
    <col min="7941" max="7941" width="14.28515625" style="105" bestFit="1" customWidth="1"/>
    <col min="7942" max="7942" width="10.28515625" style="105" bestFit="1" customWidth="1"/>
    <col min="7943" max="7943" width="9.7109375" style="105" bestFit="1" customWidth="1"/>
    <col min="7944" max="8192" width="9.140625" style="105"/>
    <col min="8193" max="8193" width="99.7109375" style="105" customWidth="1"/>
    <col min="8194" max="8194" width="10.7109375" style="105" customWidth="1"/>
    <col min="8195" max="8195" width="10.42578125" style="105" customWidth="1"/>
    <col min="8196" max="8196" width="12.85546875" style="105" customWidth="1"/>
    <col min="8197" max="8197" width="14.28515625" style="105" bestFit="1" customWidth="1"/>
    <col min="8198" max="8198" width="10.28515625" style="105" bestFit="1" customWidth="1"/>
    <col min="8199" max="8199" width="9.7109375" style="105" bestFit="1" customWidth="1"/>
    <col min="8200" max="8448" width="9.140625" style="105"/>
    <col min="8449" max="8449" width="99.7109375" style="105" customWidth="1"/>
    <col min="8450" max="8450" width="10.7109375" style="105" customWidth="1"/>
    <col min="8451" max="8451" width="10.42578125" style="105" customWidth="1"/>
    <col min="8452" max="8452" width="12.85546875" style="105" customWidth="1"/>
    <col min="8453" max="8453" width="14.28515625" style="105" bestFit="1" customWidth="1"/>
    <col min="8454" max="8454" width="10.28515625" style="105" bestFit="1" customWidth="1"/>
    <col min="8455" max="8455" width="9.7109375" style="105" bestFit="1" customWidth="1"/>
    <col min="8456" max="8704" width="9.140625" style="105"/>
    <col min="8705" max="8705" width="99.7109375" style="105" customWidth="1"/>
    <col min="8706" max="8706" width="10.7109375" style="105" customWidth="1"/>
    <col min="8707" max="8707" width="10.42578125" style="105" customWidth="1"/>
    <col min="8708" max="8708" width="12.85546875" style="105" customWidth="1"/>
    <col min="8709" max="8709" width="14.28515625" style="105" bestFit="1" customWidth="1"/>
    <col min="8710" max="8710" width="10.28515625" style="105" bestFit="1" customWidth="1"/>
    <col min="8711" max="8711" width="9.7109375" style="105" bestFit="1" customWidth="1"/>
    <col min="8712" max="8960" width="9.140625" style="105"/>
    <col min="8961" max="8961" width="99.7109375" style="105" customWidth="1"/>
    <col min="8962" max="8962" width="10.7109375" style="105" customWidth="1"/>
    <col min="8963" max="8963" width="10.42578125" style="105" customWidth="1"/>
    <col min="8964" max="8964" width="12.85546875" style="105" customWidth="1"/>
    <col min="8965" max="8965" width="14.28515625" style="105" bestFit="1" customWidth="1"/>
    <col min="8966" max="8966" width="10.28515625" style="105" bestFit="1" customWidth="1"/>
    <col min="8967" max="8967" width="9.7109375" style="105" bestFit="1" customWidth="1"/>
    <col min="8968" max="9216" width="9.140625" style="105"/>
    <col min="9217" max="9217" width="99.7109375" style="105" customWidth="1"/>
    <col min="9218" max="9218" width="10.7109375" style="105" customWidth="1"/>
    <col min="9219" max="9219" width="10.42578125" style="105" customWidth="1"/>
    <col min="9220" max="9220" width="12.85546875" style="105" customWidth="1"/>
    <col min="9221" max="9221" width="14.28515625" style="105" bestFit="1" customWidth="1"/>
    <col min="9222" max="9222" width="10.28515625" style="105" bestFit="1" customWidth="1"/>
    <col min="9223" max="9223" width="9.7109375" style="105" bestFit="1" customWidth="1"/>
    <col min="9224" max="9472" width="9.140625" style="105"/>
    <col min="9473" max="9473" width="99.7109375" style="105" customWidth="1"/>
    <col min="9474" max="9474" width="10.7109375" style="105" customWidth="1"/>
    <col min="9475" max="9475" width="10.42578125" style="105" customWidth="1"/>
    <col min="9476" max="9476" width="12.85546875" style="105" customWidth="1"/>
    <col min="9477" max="9477" width="14.28515625" style="105" bestFit="1" customWidth="1"/>
    <col min="9478" max="9478" width="10.28515625" style="105" bestFit="1" customWidth="1"/>
    <col min="9479" max="9479" width="9.7109375" style="105" bestFit="1" customWidth="1"/>
    <col min="9480" max="9728" width="9.140625" style="105"/>
    <col min="9729" max="9729" width="99.7109375" style="105" customWidth="1"/>
    <col min="9730" max="9730" width="10.7109375" style="105" customWidth="1"/>
    <col min="9731" max="9731" width="10.42578125" style="105" customWidth="1"/>
    <col min="9732" max="9732" width="12.85546875" style="105" customWidth="1"/>
    <col min="9733" max="9733" width="14.28515625" style="105" bestFit="1" customWidth="1"/>
    <col min="9734" max="9734" width="10.28515625" style="105" bestFit="1" customWidth="1"/>
    <col min="9735" max="9735" width="9.7109375" style="105" bestFit="1" customWidth="1"/>
    <col min="9736" max="9984" width="9.140625" style="105"/>
    <col min="9985" max="9985" width="99.7109375" style="105" customWidth="1"/>
    <col min="9986" max="9986" width="10.7109375" style="105" customWidth="1"/>
    <col min="9987" max="9987" width="10.42578125" style="105" customWidth="1"/>
    <col min="9988" max="9988" width="12.85546875" style="105" customWidth="1"/>
    <col min="9989" max="9989" width="14.28515625" style="105" bestFit="1" customWidth="1"/>
    <col min="9990" max="9990" width="10.28515625" style="105" bestFit="1" customWidth="1"/>
    <col min="9991" max="9991" width="9.7109375" style="105" bestFit="1" customWidth="1"/>
    <col min="9992" max="10240" width="9.140625" style="105"/>
    <col min="10241" max="10241" width="99.7109375" style="105" customWidth="1"/>
    <col min="10242" max="10242" width="10.7109375" style="105" customWidth="1"/>
    <col min="10243" max="10243" width="10.42578125" style="105" customWidth="1"/>
    <col min="10244" max="10244" width="12.85546875" style="105" customWidth="1"/>
    <col min="10245" max="10245" width="14.28515625" style="105" bestFit="1" customWidth="1"/>
    <col min="10246" max="10246" width="10.28515625" style="105" bestFit="1" customWidth="1"/>
    <col min="10247" max="10247" width="9.7109375" style="105" bestFit="1" customWidth="1"/>
    <col min="10248" max="10496" width="9.140625" style="105"/>
    <col min="10497" max="10497" width="99.7109375" style="105" customWidth="1"/>
    <col min="10498" max="10498" width="10.7109375" style="105" customWidth="1"/>
    <col min="10499" max="10499" width="10.42578125" style="105" customWidth="1"/>
    <col min="10500" max="10500" width="12.85546875" style="105" customWidth="1"/>
    <col min="10501" max="10501" width="14.28515625" style="105" bestFit="1" customWidth="1"/>
    <col min="10502" max="10502" width="10.28515625" style="105" bestFit="1" customWidth="1"/>
    <col min="10503" max="10503" width="9.7109375" style="105" bestFit="1" customWidth="1"/>
    <col min="10504" max="10752" width="9.140625" style="105"/>
    <col min="10753" max="10753" width="99.7109375" style="105" customWidth="1"/>
    <col min="10754" max="10754" width="10.7109375" style="105" customWidth="1"/>
    <col min="10755" max="10755" width="10.42578125" style="105" customWidth="1"/>
    <col min="10756" max="10756" width="12.85546875" style="105" customWidth="1"/>
    <col min="10757" max="10757" width="14.28515625" style="105" bestFit="1" customWidth="1"/>
    <col min="10758" max="10758" width="10.28515625" style="105" bestFit="1" customWidth="1"/>
    <col min="10759" max="10759" width="9.7109375" style="105" bestFit="1" customWidth="1"/>
    <col min="10760" max="11008" width="9.140625" style="105"/>
    <col min="11009" max="11009" width="99.7109375" style="105" customWidth="1"/>
    <col min="11010" max="11010" width="10.7109375" style="105" customWidth="1"/>
    <col min="11011" max="11011" width="10.42578125" style="105" customWidth="1"/>
    <col min="11012" max="11012" width="12.85546875" style="105" customWidth="1"/>
    <col min="11013" max="11013" width="14.28515625" style="105" bestFit="1" customWidth="1"/>
    <col min="11014" max="11014" width="10.28515625" style="105" bestFit="1" customWidth="1"/>
    <col min="11015" max="11015" width="9.7109375" style="105" bestFit="1" customWidth="1"/>
    <col min="11016" max="11264" width="9.140625" style="105"/>
    <col min="11265" max="11265" width="99.7109375" style="105" customWidth="1"/>
    <col min="11266" max="11266" width="10.7109375" style="105" customWidth="1"/>
    <col min="11267" max="11267" width="10.42578125" style="105" customWidth="1"/>
    <col min="11268" max="11268" width="12.85546875" style="105" customWidth="1"/>
    <col min="11269" max="11269" width="14.28515625" style="105" bestFit="1" customWidth="1"/>
    <col min="11270" max="11270" width="10.28515625" style="105" bestFit="1" customWidth="1"/>
    <col min="11271" max="11271" width="9.7109375" style="105" bestFit="1" customWidth="1"/>
    <col min="11272" max="11520" width="9.140625" style="105"/>
    <col min="11521" max="11521" width="99.7109375" style="105" customWidth="1"/>
    <col min="11522" max="11522" width="10.7109375" style="105" customWidth="1"/>
    <col min="11523" max="11523" width="10.42578125" style="105" customWidth="1"/>
    <col min="11524" max="11524" width="12.85546875" style="105" customWidth="1"/>
    <col min="11525" max="11525" width="14.28515625" style="105" bestFit="1" customWidth="1"/>
    <col min="11526" max="11526" width="10.28515625" style="105" bestFit="1" customWidth="1"/>
    <col min="11527" max="11527" width="9.7109375" style="105" bestFit="1" customWidth="1"/>
    <col min="11528" max="11776" width="9.140625" style="105"/>
    <col min="11777" max="11777" width="99.7109375" style="105" customWidth="1"/>
    <col min="11778" max="11778" width="10.7109375" style="105" customWidth="1"/>
    <col min="11779" max="11779" width="10.42578125" style="105" customWidth="1"/>
    <col min="11780" max="11780" width="12.85546875" style="105" customWidth="1"/>
    <col min="11781" max="11781" width="14.28515625" style="105" bestFit="1" customWidth="1"/>
    <col min="11782" max="11782" width="10.28515625" style="105" bestFit="1" customWidth="1"/>
    <col min="11783" max="11783" width="9.7109375" style="105" bestFit="1" customWidth="1"/>
    <col min="11784" max="12032" width="9.140625" style="105"/>
    <col min="12033" max="12033" width="99.7109375" style="105" customWidth="1"/>
    <col min="12034" max="12034" width="10.7109375" style="105" customWidth="1"/>
    <col min="12035" max="12035" width="10.42578125" style="105" customWidth="1"/>
    <col min="12036" max="12036" width="12.85546875" style="105" customWidth="1"/>
    <col min="12037" max="12037" width="14.28515625" style="105" bestFit="1" customWidth="1"/>
    <col min="12038" max="12038" width="10.28515625" style="105" bestFit="1" customWidth="1"/>
    <col min="12039" max="12039" width="9.7109375" style="105" bestFit="1" customWidth="1"/>
    <col min="12040" max="12288" width="9.140625" style="105"/>
    <col min="12289" max="12289" width="99.7109375" style="105" customWidth="1"/>
    <col min="12290" max="12290" width="10.7109375" style="105" customWidth="1"/>
    <col min="12291" max="12291" width="10.42578125" style="105" customWidth="1"/>
    <col min="12292" max="12292" width="12.85546875" style="105" customWidth="1"/>
    <col min="12293" max="12293" width="14.28515625" style="105" bestFit="1" customWidth="1"/>
    <col min="12294" max="12294" width="10.28515625" style="105" bestFit="1" customWidth="1"/>
    <col min="12295" max="12295" width="9.7109375" style="105" bestFit="1" customWidth="1"/>
    <col min="12296" max="12544" width="9.140625" style="105"/>
    <col min="12545" max="12545" width="99.7109375" style="105" customWidth="1"/>
    <col min="12546" max="12546" width="10.7109375" style="105" customWidth="1"/>
    <col min="12547" max="12547" width="10.42578125" style="105" customWidth="1"/>
    <col min="12548" max="12548" width="12.85546875" style="105" customWidth="1"/>
    <col min="12549" max="12549" width="14.28515625" style="105" bestFit="1" customWidth="1"/>
    <col min="12550" max="12550" width="10.28515625" style="105" bestFit="1" customWidth="1"/>
    <col min="12551" max="12551" width="9.7109375" style="105" bestFit="1" customWidth="1"/>
    <col min="12552" max="12800" width="9.140625" style="105"/>
    <col min="12801" max="12801" width="99.7109375" style="105" customWidth="1"/>
    <col min="12802" max="12802" width="10.7109375" style="105" customWidth="1"/>
    <col min="12803" max="12803" width="10.42578125" style="105" customWidth="1"/>
    <col min="12804" max="12804" width="12.85546875" style="105" customWidth="1"/>
    <col min="12805" max="12805" width="14.28515625" style="105" bestFit="1" customWidth="1"/>
    <col min="12806" max="12806" width="10.28515625" style="105" bestFit="1" customWidth="1"/>
    <col min="12807" max="12807" width="9.7109375" style="105" bestFit="1" customWidth="1"/>
    <col min="12808" max="13056" width="9.140625" style="105"/>
    <col min="13057" max="13057" width="99.7109375" style="105" customWidth="1"/>
    <col min="13058" max="13058" width="10.7109375" style="105" customWidth="1"/>
    <col min="13059" max="13059" width="10.42578125" style="105" customWidth="1"/>
    <col min="13060" max="13060" width="12.85546875" style="105" customWidth="1"/>
    <col min="13061" max="13061" width="14.28515625" style="105" bestFit="1" customWidth="1"/>
    <col min="13062" max="13062" width="10.28515625" style="105" bestFit="1" customWidth="1"/>
    <col min="13063" max="13063" width="9.7109375" style="105" bestFit="1" customWidth="1"/>
    <col min="13064" max="13312" width="9.140625" style="105"/>
    <col min="13313" max="13313" width="99.7109375" style="105" customWidth="1"/>
    <col min="13314" max="13314" width="10.7109375" style="105" customWidth="1"/>
    <col min="13315" max="13315" width="10.42578125" style="105" customWidth="1"/>
    <col min="13316" max="13316" width="12.85546875" style="105" customWidth="1"/>
    <col min="13317" max="13317" width="14.28515625" style="105" bestFit="1" customWidth="1"/>
    <col min="13318" max="13318" width="10.28515625" style="105" bestFit="1" customWidth="1"/>
    <col min="13319" max="13319" width="9.7109375" style="105" bestFit="1" customWidth="1"/>
    <col min="13320" max="13568" width="9.140625" style="105"/>
    <col min="13569" max="13569" width="99.7109375" style="105" customWidth="1"/>
    <col min="13570" max="13570" width="10.7109375" style="105" customWidth="1"/>
    <col min="13571" max="13571" width="10.42578125" style="105" customWidth="1"/>
    <col min="13572" max="13572" width="12.85546875" style="105" customWidth="1"/>
    <col min="13573" max="13573" width="14.28515625" style="105" bestFit="1" customWidth="1"/>
    <col min="13574" max="13574" width="10.28515625" style="105" bestFit="1" customWidth="1"/>
    <col min="13575" max="13575" width="9.7109375" style="105" bestFit="1" customWidth="1"/>
    <col min="13576" max="13824" width="9.140625" style="105"/>
    <col min="13825" max="13825" width="99.7109375" style="105" customWidth="1"/>
    <col min="13826" max="13826" width="10.7109375" style="105" customWidth="1"/>
    <col min="13827" max="13827" width="10.42578125" style="105" customWidth="1"/>
    <col min="13828" max="13828" width="12.85546875" style="105" customWidth="1"/>
    <col min="13829" max="13829" width="14.28515625" style="105" bestFit="1" customWidth="1"/>
    <col min="13830" max="13830" width="10.28515625" style="105" bestFit="1" customWidth="1"/>
    <col min="13831" max="13831" width="9.7109375" style="105" bestFit="1" customWidth="1"/>
    <col min="13832" max="14080" width="9.140625" style="105"/>
    <col min="14081" max="14081" width="99.7109375" style="105" customWidth="1"/>
    <col min="14082" max="14082" width="10.7109375" style="105" customWidth="1"/>
    <col min="14083" max="14083" width="10.42578125" style="105" customWidth="1"/>
    <col min="14084" max="14084" width="12.85546875" style="105" customWidth="1"/>
    <col min="14085" max="14085" width="14.28515625" style="105" bestFit="1" customWidth="1"/>
    <col min="14086" max="14086" width="10.28515625" style="105" bestFit="1" customWidth="1"/>
    <col min="14087" max="14087" width="9.7109375" style="105" bestFit="1" customWidth="1"/>
    <col min="14088" max="14336" width="9.140625" style="105"/>
    <col min="14337" max="14337" width="99.7109375" style="105" customWidth="1"/>
    <col min="14338" max="14338" width="10.7109375" style="105" customWidth="1"/>
    <col min="14339" max="14339" width="10.42578125" style="105" customWidth="1"/>
    <col min="14340" max="14340" width="12.85546875" style="105" customWidth="1"/>
    <col min="14341" max="14341" width="14.28515625" style="105" bestFit="1" customWidth="1"/>
    <col min="14342" max="14342" width="10.28515625" style="105" bestFit="1" customWidth="1"/>
    <col min="14343" max="14343" width="9.7109375" style="105" bestFit="1" customWidth="1"/>
    <col min="14344" max="14592" width="9.140625" style="105"/>
    <col min="14593" max="14593" width="99.7109375" style="105" customWidth="1"/>
    <col min="14594" max="14594" width="10.7109375" style="105" customWidth="1"/>
    <col min="14595" max="14595" width="10.42578125" style="105" customWidth="1"/>
    <col min="14596" max="14596" width="12.85546875" style="105" customWidth="1"/>
    <col min="14597" max="14597" width="14.28515625" style="105" bestFit="1" customWidth="1"/>
    <col min="14598" max="14598" width="10.28515625" style="105" bestFit="1" customWidth="1"/>
    <col min="14599" max="14599" width="9.7109375" style="105" bestFit="1" customWidth="1"/>
    <col min="14600" max="14848" width="9.140625" style="105"/>
    <col min="14849" max="14849" width="99.7109375" style="105" customWidth="1"/>
    <col min="14850" max="14850" width="10.7109375" style="105" customWidth="1"/>
    <col min="14851" max="14851" width="10.42578125" style="105" customWidth="1"/>
    <col min="14852" max="14852" width="12.85546875" style="105" customWidth="1"/>
    <col min="14853" max="14853" width="14.28515625" style="105" bestFit="1" customWidth="1"/>
    <col min="14854" max="14854" width="10.28515625" style="105" bestFit="1" customWidth="1"/>
    <col min="14855" max="14855" width="9.7109375" style="105" bestFit="1" customWidth="1"/>
    <col min="14856" max="15104" width="9.140625" style="105"/>
    <col min="15105" max="15105" width="99.7109375" style="105" customWidth="1"/>
    <col min="15106" max="15106" width="10.7109375" style="105" customWidth="1"/>
    <col min="15107" max="15107" width="10.42578125" style="105" customWidth="1"/>
    <col min="15108" max="15108" width="12.85546875" style="105" customWidth="1"/>
    <col min="15109" max="15109" width="14.28515625" style="105" bestFit="1" customWidth="1"/>
    <col min="15110" max="15110" width="10.28515625" style="105" bestFit="1" customWidth="1"/>
    <col min="15111" max="15111" width="9.7109375" style="105" bestFit="1" customWidth="1"/>
    <col min="15112" max="15360" width="9.140625" style="105"/>
    <col min="15361" max="15361" width="99.7109375" style="105" customWidth="1"/>
    <col min="15362" max="15362" width="10.7109375" style="105" customWidth="1"/>
    <col min="15363" max="15363" width="10.42578125" style="105" customWidth="1"/>
    <col min="15364" max="15364" width="12.85546875" style="105" customWidth="1"/>
    <col min="15365" max="15365" width="14.28515625" style="105" bestFit="1" customWidth="1"/>
    <col min="15366" max="15366" width="10.28515625" style="105" bestFit="1" customWidth="1"/>
    <col min="15367" max="15367" width="9.7109375" style="105" bestFit="1" customWidth="1"/>
    <col min="15368" max="15616" width="9.140625" style="105"/>
    <col min="15617" max="15617" width="99.7109375" style="105" customWidth="1"/>
    <col min="15618" max="15618" width="10.7109375" style="105" customWidth="1"/>
    <col min="15619" max="15619" width="10.42578125" style="105" customWidth="1"/>
    <col min="15620" max="15620" width="12.85546875" style="105" customWidth="1"/>
    <col min="15621" max="15621" width="14.28515625" style="105" bestFit="1" customWidth="1"/>
    <col min="15622" max="15622" width="10.28515625" style="105" bestFit="1" customWidth="1"/>
    <col min="15623" max="15623" width="9.7109375" style="105" bestFit="1" customWidth="1"/>
    <col min="15624" max="15872" width="9.140625" style="105"/>
    <col min="15873" max="15873" width="99.7109375" style="105" customWidth="1"/>
    <col min="15874" max="15874" width="10.7109375" style="105" customWidth="1"/>
    <col min="15875" max="15875" width="10.42578125" style="105" customWidth="1"/>
    <col min="15876" max="15876" width="12.85546875" style="105" customWidth="1"/>
    <col min="15877" max="15877" width="14.28515625" style="105" bestFit="1" customWidth="1"/>
    <col min="15878" max="15878" width="10.28515625" style="105" bestFit="1" customWidth="1"/>
    <col min="15879" max="15879" width="9.7109375" style="105" bestFit="1" customWidth="1"/>
    <col min="15880" max="16128" width="9.140625" style="105"/>
    <col min="16129" max="16129" width="99.7109375" style="105" customWidth="1"/>
    <col min="16130" max="16130" width="10.7109375" style="105" customWidth="1"/>
    <col min="16131" max="16131" width="10.42578125" style="105" customWidth="1"/>
    <col min="16132" max="16132" width="12.85546875" style="105" customWidth="1"/>
    <col min="16133" max="16133" width="14.28515625" style="105" bestFit="1" customWidth="1"/>
    <col min="16134" max="16134" width="10.28515625" style="105" bestFit="1" customWidth="1"/>
    <col min="16135" max="16135" width="9.7109375" style="105" bestFit="1" customWidth="1"/>
    <col min="16136" max="16384" width="9.140625" style="105"/>
  </cols>
  <sheetData>
    <row r="1" spans="1:6" ht="17.25">
      <c r="A1" s="102" t="s">
        <v>73</v>
      </c>
      <c r="B1" s="103"/>
      <c r="C1" s="103"/>
      <c r="D1" s="104"/>
    </row>
    <row r="2" spans="1:6" ht="13.5" thickBot="1">
      <c r="A2" s="106"/>
      <c r="B2" s="107"/>
      <c r="C2" s="108"/>
      <c r="D2" s="109" t="s">
        <v>74</v>
      </c>
    </row>
    <row r="3" spans="1:6" ht="16.5" thickTop="1">
      <c r="A3" s="110" t="s">
        <v>18</v>
      </c>
      <c r="B3" s="111"/>
      <c r="C3" s="112"/>
      <c r="D3" s="113"/>
      <c r="E3" s="114"/>
      <c r="F3" s="114"/>
    </row>
    <row r="4" spans="1:6">
      <c r="A4" s="115"/>
      <c r="B4" s="116"/>
      <c r="C4" s="117"/>
      <c r="D4" s="118"/>
      <c r="E4" s="114"/>
      <c r="F4" s="114"/>
    </row>
    <row r="5" spans="1:6" ht="15.95" customHeight="1">
      <c r="A5" s="119" t="s">
        <v>75</v>
      </c>
      <c r="B5" s="120"/>
      <c r="C5" s="121"/>
      <c r="D5" s="122">
        <v>39525.834621995527</v>
      </c>
      <c r="E5" s="123"/>
      <c r="F5" s="114"/>
    </row>
    <row r="6" spans="1:6" ht="15.95" customHeight="1">
      <c r="A6" s="119" t="s">
        <v>76</v>
      </c>
      <c r="B6" s="120"/>
      <c r="C6" s="121"/>
      <c r="D6" s="122">
        <v>60667.501192748779</v>
      </c>
      <c r="E6" s="114"/>
      <c r="F6" s="124"/>
    </row>
    <row r="7" spans="1:6" ht="15.95" customHeight="1">
      <c r="A7" s="119" t="s">
        <v>77</v>
      </c>
      <c r="B7" s="120"/>
      <c r="C7" s="121"/>
      <c r="D7" s="122">
        <v>6309.0424545244787</v>
      </c>
      <c r="E7" s="114"/>
      <c r="F7" s="114"/>
    </row>
    <row r="8" spans="1:6" ht="15.95" customHeight="1">
      <c r="A8" s="119" t="s">
        <v>78</v>
      </c>
      <c r="B8" s="120"/>
      <c r="C8" s="121"/>
      <c r="D8" s="122">
        <v>0</v>
      </c>
      <c r="E8" s="123"/>
      <c r="F8" s="114"/>
    </row>
    <row r="9" spans="1:6" ht="15.95" customHeight="1">
      <c r="A9" s="119" t="s">
        <v>79</v>
      </c>
      <c r="B9" s="120"/>
      <c r="C9" s="121"/>
      <c r="D9" s="122">
        <v>16018.921373698517</v>
      </c>
      <c r="E9" s="114"/>
      <c r="F9" s="114"/>
    </row>
    <row r="10" spans="1:6" ht="15.95" customHeight="1">
      <c r="A10" s="119" t="s">
        <v>80</v>
      </c>
      <c r="B10" s="120"/>
      <c r="C10" s="121"/>
      <c r="D10" s="122">
        <v>705040.71350154176</v>
      </c>
      <c r="E10" s="114"/>
      <c r="F10" s="114"/>
    </row>
    <row r="11" spans="1:6" ht="15.95" customHeight="1">
      <c r="A11" s="125" t="s">
        <v>81</v>
      </c>
      <c r="B11" s="126"/>
      <c r="C11" s="127">
        <v>293875.5426451501</v>
      </c>
      <c r="D11" s="128"/>
      <c r="E11" s="114"/>
      <c r="F11" s="114"/>
    </row>
    <row r="12" spans="1:6" ht="15.95" customHeight="1">
      <c r="A12" s="125" t="s">
        <v>82</v>
      </c>
      <c r="B12" s="129">
        <v>254351.8764933401</v>
      </c>
      <c r="C12" s="127"/>
      <c r="D12" s="128"/>
      <c r="E12" s="114"/>
      <c r="F12" s="114"/>
    </row>
    <row r="13" spans="1:6" ht="15.95" customHeight="1">
      <c r="A13" s="125" t="s">
        <v>83</v>
      </c>
      <c r="B13" s="129">
        <v>40211.321499732752</v>
      </c>
      <c r="C13" s="130"/>
      <c r="D13" s="128"/>
      <c r="E13" s="114"/>
      <c r="F13" s="114"/>
    </row>
    <row r="14" spans="1:6" ht="15.95" customHeight="1">
      <c r="A14" s="125" t="s">
        <v>84</v>
      </c>
      <c r="B14" s="129">
        <v>150278.95243816572</v>
      </c>
      <c r="C14" s="130"/>
      <c r="D14" s="128"/>
      <c r="E14" s="114"/>
      <c r="F14" s="114"/>
    </row>
    <row r="15" spans="1:6" ht="15.95" customHeight="1">
      <c r="A15" s="125" t="s">
        <v>85</v>
      </c>
      <c r="B15" s="129">
        <v>63800.960197802793</v>
      </c>
      <c r="C15" s="130"/>
      <c r="D15" s="128"/>
      <c r="E15" s="114"/>
      <c r="F15" s="114"/>
    </row>
    <row r="16" spans="1:6" ht="15.95" customHeight="1">
      <c r="A16" s="125" t="s">
        <v>86</v>
      </c>
      <c r="B16" s="129">
        <v>60.642357638839172</v>
      </c>
      <c r="C16" s="130"/>
      <c r="D16" s="128"/>
      <c r="E16" s="114"/>
      <c r="F16" s="114"/>
    </row>
    <row r="17" spans="1:6" ht="15.95" customHeight="1">
      <c r="A17" s="125" t="s">
        <v>87</v>
      </c>
      <c r="B17" s="129">
        <v>39523.666151809979</v>
      </c>
      <c r="C17" s="130"/>
      <c r="D17" s="128"/>
      <c r="E17" s="114"/>
      <c r="F17" s="114"/>
    </row>
    <row r="18" spans="1:6" ht="15.95" customHeight="1">
      <c r="A18" s="125" t="s">
        <v>83</v>
      </c>
      <c r="B18" s="129">
        <v>25013.815131062751</v>
      </c>
      <c r="C18" s="130"/>
      <c r="D18" s="128"/>
      <c r="E18" s="123"/>
      <c r="F18" s="114"/>
    </row>
    <row r="19" spans="1:6" ht="15.95" customHeight="1">
      <c r="A19" s="125" t="s">
        <v>84</v>
      </c>
      <c r="B19" s="129">
        <v>2658.4398847756106</v>
      </c>
      <c r="C19" s="130"/>
      <c r="D19" s="128"/>
      <c r="E19" s="123"/>
      <c r="F19" s="114"/>
    </row>
    <row r="20" spans="1:6" ht="15.95" customHeight="1">
      <c r="A20" s="125" t="s">
        <v>85</v>
      </c>
      <c r="B20" s="129">
        <v>11846.050496609536</v>
      </c>
      <c r="C20" s="130"/>
      <c r="D20" s="128"/>
      <c r="E20" s="123"/>
      <c r="F20" s="114"/>
    </row>
    <row r="21" spans="1:6" ht="15.95" customHeight="1">
      <c r="A21" s="125" t="s">
        <v>86</v>
      </c>
      <c r="B21" s="129">
        <v>5.360639362083333</v>
      </c>
      <c r="C21" s="130"/>
      <c r="D21" s="128"/>
      <c r="E21" s="123"/>
      <c r="F21" s="114"/>
    </row>
    <row r="22" spans="1:6" ht="15.95" customHeight="1">
      <c r="A22" s="125" t="s">
        <v>88</v>
      </c>
      <c r="B22" s="129"/>
      <c r="C22" s="127">
        <v>34369.505892653535</v>
      </c>
      <c r="D22" s="128"/>
      <c r="E22" s="123"/>
      <c r="F22" s="114"/>
    </row>
    <row r="23" spans="1:6" ht="15.95" customHeight="1">
      <c r="A23" s="125" t="s">
        <v>89</v>
      </c>
      <c r="B23" s="129">
        <v>19524.755880720917</v>
      </c>
      <c r="C23" s="130"/>
      <c r="D23" s="128"/>
      <c r="E23" s="123"/>
      <c r="F23" s="114"/>
    </row>
    <row r="24" spans="1:6" ht="15.95" customHeight="1">
      <c r="A24" s="125" t="s">
        <v>90</v>
      </c>
      <c r="B24" s="129">
        <v>2499.5055460109756</v>
      </c>
      <c r="C24" s="130"/>
      <c r="D24" s="128"/>
      <c r="E24" s="123"/>
      <c r="F24" s="114"/>
    </row>
    <row r="25" spans="1:6" ht="15.95" customHeight="1">
      <c r="A25" s="125" t="s">
        <v>91</v>
      </c>
      <c r="B25" s="129">
        <v>5252.4968879299331</v>
      </c>
      <c r="C25" s="130"/>
      <c r="D25" s="128"/>
      <c r="E25" s="123"/>
      <c r="F25" s="114"/>
    </row>
    <row r="26" spans="1:6" ht="15.95" customHeight="1">
      <c r="A26" s="125" t="s">
        <v>92</v>
      </c>
      <c r="B26" s="129">
        <v>11772.753446780007</v>
      </c>
      <c r="C26" s="130"/>
      <c r="D26" s="128"/>
      <c r="E26" s="123"/>
      <c r="F26" s="114"/>
    </row>
    <row r="27" spans="1:6" ht="15.95" customHeight="1">
      <c r="A27" s="125" t="s">
        <v>93</v>
      </c>
      <c r="B27" s="129">
        <v>0</v>
      </c>
      <c r="C27" s="130"/>
      <c r="D27" s="128"/>
      <c r="E27" s="123"/>
      <c r="F27" s="114"/>
    </row>
    <row r="28" spans="1:6" ht="15.95" customHeight="1">
      <c r="A28" s="125" t="s">
        <v>94</v>
      </c>
      <c r="B28" s="129">
        <v>14844.750011932614</v>
      </c>
      <c r="C28" s="130"/>
      <c r="D28" s="128"/>
      <c r="E28" s="123"/>
      <c r="F28" s="114"/>
    </row>
    <row r="29" spans="1:6" ht="15.95" customHeight="1">
      <c r="A29" s="125" t="s">
        <v>90</v>
      </c>
      <c r="B29" s="129">
        <v>5771.3947379525416</v>
      </c>
      <c r="C29" s="130"/>
      <c r="D29" s="128"/>
      <c r="E29" s="123"/>
      <c r="F29" s="114"/>
    </row>
    <row r="30" spans="1:6" ht="15.95" customHeight="1">
      <c r="A30" s="125" t="s">
        <v>91</v>
      </c>
      <c r="B30" s="129">
        <v>150.68267382442815</v>
      </c>
      <c r="C30" s="130"/>
      <c r="D30" s="128"/>
      <c r="E30" s="123"/>
      <c r="F30" s="114"/>
    </row>
    <row r="31" spans="1:6" ht="15.95" customHeight="1">
      <c r="A31" s="125" t="s">
        <v>92</v>
      </c>
      <c r="B31" s="129">
        <v>8922.6726001556435</v>
      </c>
      <c r="C31" s="130"/>
      <c r="D31" s="128"/>
      <c r="E31" s="123"/>
      <c r="F31" s="114"/>
    </row>
    <row r="32" spans="1:6" ht="15.95" customHeight="1">
      <c r="A32" s="125" t="s">
        <v>93</v>
      </c>
      <c r="B32" s="129">
        <v>0</v>
      </c>
      <c r="C32" s="127"/>
      <c r="D32" s="128"/>
      <c r="E32" s="123"/>
      <c r="F32" s="114"/>
    </row>
    <row r="33" spans="1:6" ht="15.95" customHeight="1">
      <c r="A33" s="125" t="s">
        <v>95</v>
      </c>
      <c r="B33" s="129"/>
      <c r="C33" s="127">
        <v>4007.6379852973459</v>
      </c>
      <c r="D33" s="128"/>
      <c r="E33" s="114"/>
      <c r="F33" s="114"/>
    </row>
    <row r="34" spans="1:6" ht="15.95" customHeight="1">
      <c r="A34" s="125" t="s">
        <v>96</v>
      </c>
      <c r="B34" s="129">
        <v>1306.3988951599999</v>
      </c>
      <c r="C34" s="130"/>
      <c r="D34" s="128"/>
      <c r="E34" s="114"/>
      <c r="F34" s="114"/>
    </row>
    <row r="35" spans="1:6" ht="15.95" customHeight="1">
      <c r="A35" s="125" t="s">
        <v>97</v>
      </c>
      <c r="B35" s="129">
        <v>2021.8852991673461</v>
      </c>
      <c r="C35" s="130"/>
      <c r="D35" s="128"/>
      <c r="E35" s="114"/>
      <c r="F35" s="114"/>
    </row>
    <row r="36" spans="1:6" ht="15.95" customHeight="1">
      <c r="A36" s="125" t="s">
        <v>98</v>
      </c>
      <c r="B36" s="129">
        <v>679.35379096999998</v>
      </c>
      <c r="C36" s="130"/>
      <c r="D36" s="128"/>
      <c r="E36" s="114"/>
      <c r="F36" s="114"/>
    </row>
    <row r="37" spans="1:6" ht="15.95" customHeight="1">
      <c r="A37" s="125" t="s">
        <v>99</v>
      </c>
      <c r="B37" s="129"/>
      <c r="C37" s="127">
        <v>2816.2763118211496</v>
      </c>
      <c r="D37" s="128"/>
      <c r="E37" s="123"/>
      <c r="F37" s="114"/>
    </row>
    <row r="38" spans="1:6" ht="15.95" customHeight="1">
      <c r="A38" s="125" t="s">
        <v>82</v>
      </c>
      <c r="B38" s="129">
        <v>179.71390027000004</v>
      </c>
      <c r="C38" s="130"/>
      <c r="D38" s="128"/>
      <c r="E38" s="123"/>
      <c r="F38" s="114"/>
    </row>
    <row r="39" spans="1:6" ht="15.95" customHeight="1">
      <c r="A39" s="125" t="s">
        <v>83</v>
      </c>
      <c r="B39" s="129">
        <v>130.06188169000004</v>
      </c>
      <c r="C39" s="130"/>
      <c r="D39" s="128"/>
      <c r="E39" s="123"/>
      <c r="F39" s="114"/>
    </row>
    <row r="40" spans="1:6" ht="15.95" customHeight="1">
      <c r="A40" s="125" t="s">
        <v>84</v>
      </c>
      <c r="B40" s="129">
        <v>49.652018579999996</v>
      </c>
      <c r="C40" s="130"/>
      <c r="D40" s="128"/>
      <c r="E40" s="114"/>
      <c r="F40" s="114"/>
    </row>
    <row r="41" spans="1:6" ht="15.95" customHeight="1">
      <c r="A41" s="125" t="s">
        <v>85</v>
      </c>
      <c r="B41" s="129">
        <v>0</v>
      </c>
      <c r="C41" s="130"/>
      <c r="D41" s="128"/>
      <c r="E41" s="114"/>
      <c r="F41" s="114"/>
    </row>
    <row r="42" spans="1:6" ht="15.95" customHeight="1">
      <c r="A42" s="125" t="s">
        <v>87</v>
      </c>
      <c r="B42" s="129">
        <v>2636.56241155115</v>
      </c>
      <c r="C42" s="130"/>
      <c r="D42" s="128"/>
      <c r="E42" s="114"/>
      <c r="F42" s="114"/>
    </row>
    <row r="43" spans="1:6" ht="15.95" customHeight="1">
      <c r="A43" s="125" t="s">
        <v>83</v>
      </c>
      <c r="B43" s="129">
        <v>246.26851438999998</v>
      </c>
      <c r="C43" s="130"/>
      <c r="D43" s="128"/>
      <c r="E43" s="114"/>
      <c r="F43" s="114"/>
    </row>
    <row r="44" spans="1:6" ht="15.95" customHeight="1">
      <c r="A44" s="125" t="s">
        <v>84</v>
      </c>
      <c r="B44" s="129">
        <v>0</v>
      </c>
      <c r="C44" s="130"/>
      <c r="D44" s="128"/>
      <c r="E44" s="114"/>
      <c r="F44" s="114"/>
    </row>
    <row r="45" spans="1:6" ht="15.95" customHeight="1">
      <c r="A45" s="125" t="s">
        <v>85</v>
      </c>
      <c r="B45" s="129">
        <v>2390.2938971611502</v>
      </c>
      <c r="C45" s="130"/>
      <c r="D45" s="128"/>
      <c r="E45" s="114"/>
      <c r="F45" s="114"/>
    </row>
    <row r="46" spans="1:6" ht="15.95" customHeight="1">
      <c r="A46" s="125" t="s">
        <v>100</v>
      </c>
      <c r="B46" s="129"/>
      <c r="C46" s="127">
        <v>233590.13807680245</v>
      </c>
      <c r="D46" s="128"/>
      <c r="E46" s="114"/>
      <c r="F46" s="114"/>
    </row>
    <row r="47" spans="1:6" ht="15.95" customHeight="1">
      <c r="A47" s="125" t="s">
        <v>89</v>
      </c>
      <c r="B47" s="129">
        <v>984.77343326805692</v>
      </c>
      <c r="C47" s="130"/>
      <c r="D47" s="128"/>
      <c r="E47" s="114"/>
      <c r="F47" s="114"/>
    </row>
    <row r="48" spans="1:6" ht="15.95" customHeight="1">
      <c r="A48" s="125" t="s">
        <v>90</v>
      </c>
      <c r="B48" s="129">
        <v>843.58920034581161</v>
      </c>
      <c r="C48" s="130"/>
      <c r="D48" s="128"/>
      <c r="E48" s="114"/>
      <c r="F48" s="114"/>
    </row>
    <row r="49" spans="1:6" ht="15.95" customHeight="1">
      <c r="A49" s="125" t="s">
        <v>91</v>
      </c>
      <c r="B49" s="129">
        <v>3.8732064115790674</v>
      </c>
      <c r="C49" s="130"/>
      <c r="D49" s="128"/>
      <c r="E49" s="114"/>
      <c r="F49" s="114"/>
    </row>
    <row r="50" spans="1:6" ht="15.95" customHeight="1">
      <c r="A50" s="125" t="s">
        <v>92</v>
      </c>
      <c r="B50" s="129">
        <v>137.31102651066632</v>
      </c>
      <c r="C50" s="130"/>
      <c r="D50" s="128"/>
      <c r="E50" s="114"/>
      <c r="F50" s="114"/>
    </row>
    <row r="51" spans="1:6" ht="15.95" customHeight="1">
      <c r="A51" s="125" t="s">
        <v>93</v>
      </c>
      <c r="B51" s="129">
        <v>0</v>
      </c>
      <c r="C51" s="130"/>
      <c r="D51" s="128"/>
      <c r="E51" s="114"/>
      <c r="F51" s="114"/>
    </row>
    <row r="52" spans="1:6" ht="15.95" customHeight="1">
      <c r="A52" s="125" t="s">
        <v>94</v>
      </c>
      <c r="B52" s="129">
        <v>232605.36464353438</v>
      </c>
      <c r="C52" s="130"/>
      <c r="D52" s="128"/>
      <c r="E52" s="114"/>
      <c r="F52" s="114"/>
    </row>
    <row r="53" spans="1:6" ht="15.95" customHeight="1">
      <c r="A53" s="125" t="s">
        <v>90</v>
      </c>
      <c r="B53" s="129">
        <v>141453.70552158565</v>
      </c>
      <c r="C53" s="130"/>
      <c r="D53" s="128"/>
      <c r="E53" s="114"/>
      <c r="F53" s="114"/>
    </row>
    <row r="54" spans="1:6" ht="15.95" customHeight="1">
      <c r="A54" s="125" t="s">
        <v>91</v>
      </c>
      <c r="B54" s="129">
        <v>1476.4833409749067</v>
      </c>
      <c r="C54" s="130"/>
      <c r="D54" s="128"/>
      <c r="E54" s="114"/>
      <c r="F54" s="114"/>
    </row>
    <row r="55" spans="1:6" ht="15.95" customHeight="1">
      <c r="A55" s="125" t="s">
        <v>92</v>
      </c>
      <c r="B55" s="129">
        <v>89675.175780973819</v>
      </c>
      <c r="C55" s="130"/>
      <c r="D55" s="128"/>
      <c r="E55" s="114"/>
      <c r="F55" s="114"/>
    </row>
    <row r="56" spans="1:6" ht="15.95" customHeight="1">
      <c r="A56" s="125" t="s">
        <v>93</v>
      </c>
      <c r="B56" s="129">
        <v>0</v>
      </c>
      <c r="C56" s="130"/>
      <c r="D56" s="128"/>
      <c r="E56" s="114"/>
      <c r="F56" s="114"/>
    </row>
    <row r="57" spans="1:6" ht="15.95" customHeight="1">
      <c r="A57" s="125" t="s">
        <v>101</v>
      </c>
      <c r="B57" s="129"/>
      <c r="C57" s="127">
        <v>118402.15686678558</v>
      </c>
      <c r="D57" s="128"/>
      <c r="E57" s="114"/>
      <c r="F57" s="114"/>
    </row>
    <row r="58" spans="1:6" ht="15.95" customHeight="1">
      <c r="A58" s="125" t="s">
        <v>89</v>
      </c>
      <c r="B58" s="129">
        <v>17004.263470653732</v>
      </c>
      <c r="C58" s="130"/>
      <c r="D58" s="128"/>
      <c r="E58" s="114"/>
      <c r="F58" s="114"/>
    </row>
    <row r="59" spans="1:6" ht="15.95" customHeight="1">
      <c r="A59" s="125" t="s">
        <v>90</v>
      </c>
      <c r="B59" s="129">
        <v>2030.9583277340691</v>
      </c>
      <c r="C59" s="130"/>
      <c r="D59" s="128"/>
      <c r="E59" s="114"/>
      <c r="F59" s="114"/>
    </row>
    <row r="60" spans="1:6" ht="15.95" customHeight="1">
      <c r="A60" s="125" t="s">
        <v>91</v>
      </c>
      <c r="B60" s="129">
        <v>9487.3059495012931</v>
      </c>
      <c r="C60" s="130"/>
      <c r="D60" s="128"/>
      <c r="E60" s="114"/>
      <c r="F60" s="114"/>
    </row>
    <row r="61" spans="1:6" ht="15.95" customHeight="1">
      <c r="A61" s="125" t="s">
        <v>92</v>
      </c>
      <c r="B61" s="129">
        <v>5485.7191934183675</v>
      </c>
      <c r="C61" s="130"/>
      <c r="D61" s="128"/>
      <c r="E61" s="114"/>
      <c r="F61" s="114"/>
    </row>
    <row r="62" spans="1:6" ht="15.95" customHeight="1">
      <c r="A62" s="125" t="s">
        <v>93</v>
      </c>
      <c r="B62" s="129">
        <v>0.28000000000000003</v>
      </c>
      <c r="C62" s="130"/>
      <c r="D62" s="128"/>
      <c r="E62" s="114"/>
      <c r="F62" s="114"/>
    </row>
    <row r="63" spans="1:6" ht="15.95" customHeight="1">
      <c r="A63" s="125" t="s">
        <v>94</v>
      </c>
      <c r="B63" s="129">
        <v>101397.89339613184</v>
      </c>
      <c r="C63" s="130"/>
      <c r="D63" s="128"/>
      <c r="E63" s="114"/>
      <c r="F63" s="114"/>
    </row>
    <row r="64" spans="1:6" ht="15.95" customHeight="1">
      <c r="A64" s="125" t="s">
        <v>90</v>
      </c>
      <c r="B64" s="129">
        <v>60858.985113139832</v>
      </c>
      <c r="C64" s="130"/>
      <c r="D64" s="128"/>
      <c r="E64" s="114"/>
      <c r="F64" s="114"/>
    </row>
    <row r="65" spans="1:6" ht="15.95" customHeight="1">
      <c r="A65" s="125" t="s">
        <v>91</v>
      </c>
      <c r="B65" s="129">
        <v>1976.5570060450191</v>
      </c>
      <c r="C65" s="130"/>
      <c r="D65" s="128"/>
      <c r="E65" s="114"/>
      <c r="F65" s="114"/>
    </row>
    <row r="66" spans="1:6" ht="15.95" customHeight="1">
      <c r="A66" s="125" t="s">
        <v>92</v>
      </c>
      <c r="B66" s="129">
        <v>38562.351276946982</v>
      </c>
      <c r="C66" s="130"/>
      <c r="D66" s="128"/>
      <c r="E66" s="114"/>
      <c r="F66" s="114"/>
    </row>
    <row r="67" spans="1:6" ht="15.95" customHeight="1">
      <c r="A67" s="125" t="s">
        <v>93</v>
      </c>
      <c r="B67" s="129">
        <v>0</v>
      </c>
      <c r="C67" s="130"/>
      <c r="D67" s="128"/>
      <c r="E67" s="114"/>
      <c r="F67" s="114"/>
    </row>
    <row r="68" spans="1:6" ht="15.95" customHeight="1">
      <c r="A68" s="125" t="s">
        <v>102</v>
      </c>
      <c r="B68" s="129"/>
      <c r="C68" s="127">
        <v>17979.455723031657</v>
      </c>
      <c r="D68" s="128"/>
      <c r="E68" s="114"/>
      <c r="F68" s="114"/>
    </row>
    <row r="69" spans="1:6" ht="15.95" customHeight="1">
      <c r="A69" s="125" t="s">
        <v>89</v>
      </c>
      <c r="B69" s="129">
        <v>454.39305061888348</v>
      </c>
      <c r="C69" s="130"/>
      <c r="D69" s="128"/>
      <c r="E69" s="114"/>
      <c r="F69" s="114"/>
    </row>
    <row r="70" spans="1:6" ht="15.95" customHeight="1">
      <c r="A70" s="125" t="s">
        <v>90</v>
      </c>
      <c r="B70" s="129">
        <v>454.39305061888348</v>
      </c>
      <c r="C70" s="130"/>
      <c r="D70" s="128"/>
      <c r="E70" s="114"/>
      <c r="F70" s="114"/>
    </row>
    <row r="71" spans="1:6" ht="15.95" customHeight="1">
      <c r="A71" s="125" t="s">
        <v>91</v>
      </c>
      <c r="B71" s="129">
        <v>0</v>
      </c>
      <c r="C71" s="130"/>
      <c r="D71" s="128"/>
      <c r="E71" s="114"/>
      <c r="F71" s="114"/>
    </row>
    <row r="72" spans="1:6" ht="15.95" customHeight="1">
      <c r="A72" s="125" t="s">
        <v>103</v>
      </c>
      <c r="B72" s="129">
        <v>0</v>
      </c>
      <c r="C72" s="130"/>
      <c r="D72" s="128"/>
      <c r="E72" s="114"/>
      <c r="F72" s="114"/>
    </row>
    <row r="73" spans="1:6" ht="15.95" customHeight="1">
      <c r="A73" s="125" t="s">
        <v>94</v>
      </c>
      <c r="B73" s="129">
        <v>17525.062672412772</v>
      </c>
      <c r="C73" s="130"/>
      <c r="D73" s="128"/>
      <c r="E73" s="114"/>
      <c r="F73" s="114"/>
    </row>
    <row r="74" spans="1:6" ht="15.95" customHeight="1">
      <c r="A74" s="125" t="s">
        <v>90</v>
      </c>
      <c r="B74" s="129">
        <v>2675.9128927092202</v>
      </c>
      <c r="C74" s="130"/>
      <c r="D74" s="128"/>
      <c r="E74" s="114"/>
      <c r="F74" s="114"/>
    </row>
    <row r="75" spans="1:6" ht="15.95" customHeight="1">
      <c r="A75" s="125" t="s">
        <v>91</v>
      </c>
      <c r="B75" s="129">
        <v>0</v>
      </c>
      <c r="C75" s="130"/>
      <c r="D75" s="128"/>
      <c r="E75" s="114"/>
      <c r="F75" s="114"/>
    </row>
    <row r="76" spans="1:6" ht="15.95" customHeight="1">
      <c r="A76" s="125" t="s">
        <v>92</v>
      </c>
      <c r="B76" s="129">
        <v>14849.149779703552</v>
      </c>
      <c r="C76" s="121"/>
      <c r="D76" s="122"/>
      <c r="E76" s="123"/>
      <c r="F76" s="114"/>
    </row>
    <row r="77" spans="1:6" ht="15.95" customHeight="1">
      <c r="A77" s="119" t="s">
        <v>104</v>
      </c>
      <c r="B77" s="120"/>
      <c r="C77" s="127"/>
      <c r="D77" s="122">
        <v>319.9999999965832</v>
      </c>
      <c r="E77" s="123"/>
      <c r="F77" s="114"/>
    </row>
    <row r="78" spans="1:6" ht="15.95" customHeight="1">
      <c r="A78" s="125"/>
      <c r="B78" s="131"/>
      <c r="C78" s="127"/>
      <c r="D78" s="132"/>
      <c r="E78" s="123"/>
      <c r="F78" s="114"/>
    </row>
    <row r="79" spans="1:6" ht="15.95" customHeight="1">
      <c r="A79" s="125"/>
      <c r="B79" s="131"/>
      <c r="C79" s="127"/>
      <c r="D79" s="128"/>
      <c r="E79" s="123"/>
      <c r="F79" s="114"/>
    </row>
    <row r="80" spans="1:6" ht="15.95" customHeight="1">
      <c r="A80" s="119" t="s">
        <v>105</v>
      </c>
      <c r="B80" s="131"/>
      <c r="C80" s="131"/>
      <c r="D80" s="122">
        <v>131210.78663312271</v>
      </c>
      <c r="E80" s="114"/>
      <c r="F80" s="114"/>
    </row>
    <row r="81" spans="1:6" ht="15.95" customHeight="1">
      <c r="A81" s="125" t="s">
        <v>106</v>
      </c>
      <c r="B81" s="129"/>
      <c r="C81" s="127">
        <v>2301.2816555845002</v>
      </c>
      <c r="D81" s="128"/>
      <c r="E81" s="114"/>
      <c r="F81" s="114"/>
    </row>
    <row r="82" spans="1:6" ht="15.95" customHeight="1">
      <c r="A82" s="133" t="s">
        <v>107</v>
      </c>
      <c r="B82" s="129">
        <v>399.59583256000002</v>
      </c>
      <c r="C82" s="121"/>
      <c r="D82" s="128"/>
      <c r="E82" s="114"/>
      <c r="F82" s="114"/>
    </row>
    <row r="83" spans="1:6" ht="15.95" customHeight="1">
      <c r="A83" s="133" t="s">
        <v>108</v>
      </c>
      <c r="B83" s="129">
        <v>0</v>
      </c>
      <c r="C83" s="121"/>
      <c r="D83" s="128"/>
      <c r="E83" s="114"/>
      <c r="F83" s="114"/>
    </row>
    <row r="84" spans="1:6" ht="15.95" customHeight="1">
      <c r="A84" s="133" t="s">
        <v>109</v>
      </c>
      <c r="B84" s="129">
        <v>0</v>
      </c>
      <c r="C84" s="121"/>
      <c r="D84" s="128"/>
      <c r="E84" s="114"/>
      <c r="F84" s="114"/>
    </row>
    <row r="85" spans="1:6" ht="15.95" customHeight="1">
      <c r="A85" s="133" t="s">
        <v>110</v>
      </c>
      <c r="B85" s="129">
        <v>1901.6858230245005</v>
      </c>
      <c r="C85" s="121"/>
      <c r="D85" s="128"/>
      <c r="E85" s="114"/>
      <c r="F85" s="114"/>
    </row>
    <row r="86" spans="1:6" ht="15.95" customHeight="1">
      <c r="A86" s="125" t="s">
        <v>111</v>
      </c>
      <c r="B86" s="129"/>
      <c r="C86" s="127">
        <v>4594.1611249256739</v>
      </c>
      <c r="D86" s="128"/>
      <c r="E86" s="114"/>
      <c r="F86" s="114"/>
    </row>
    <row r="87" spans="1:6" ht="15.95" customHeight="1">
      <c r="A87" s="125" t="s">
        <v>112</v>
      </c>
      <c r="B87" s="129"/>
      <c r="C87" s="127">
        <v>49469.402187750253</v>
      </c>
      <c r="D87" s="128"/>
      <c r="E87" s="114"/>
      <c r="F87" s="114"/>
    </row>
    <row r="88" spans="1:6" ht="15.95" customHeight="1">
      <c r="A88" s="125" t="s">
        <v>113</v>
      </c>
      <c r="B88" s="129"/>
      <c r="C88" s="127">
        <v>66961.315722112311</v>
      </c>
      <c r="D88" s="132"/>
      <c r="E88" s="114"/>
      <c r="F88" s="114"/>
    </row>
    <row r="89" spans="1:6" ht="15.95" customHeight="1">
      <c r="A89" s="125" t="s">
        <v>114</v>
      </c>
      <c r="B89" s="129">
        <v>4258.3230800089714</v>
      </c>
      <c r="C89" s="130"/>
      <c r="D89" s="128"/>
      <c r="E89" s="114"/>
      <c r="F89" s="114"/>
    </row>
    <row r="90" spans="1:6" ht="15.95" customHeight="1">
      <c r="A90" s="125" t="s">
        <v>115</v>
      </c>
      <c r="B90" s="129">
        <v>62702.992642103331</v>
      </c>
      <c r="C90" s="130"/>
      <c r="D90" s="128"/>
      <c r="E90" s="114"/>
      <c r="F90" s="114"/>
    </row>
    <row r="91" spans="1:6" ht="15.95" customHeight="1">
      <c r="A91" s="125" t="s">
        <v>116</v>
      </c>
      <c r="B91" s="129"/>
      <c r="C91" s="127">
        <v>7884.6259427499999</v>
      </c>
      <c r="D91" s="128"/>
      <c r="E91" s="114"/>
      <c r="F91" s="114"/>
    </row>
    <row r="92" spans="1:6" ht="15.95" customHeight="1">
      <c r="A92" s="125" t="s">
        <v>117</v>
      </c>
      <c r="B92" s="129">
        <v>117.5694414</v>
      </c>
      <c r="C92" s="130"/>
      <c r="D92" s="128"/>
      <c r="E92" s="123"/>
      <c r="F92" s="114"/>
    </row>
    <row r="93" spans="1:6" ht="15.95" customHeight="1">
      <c r="A93" s="125" t="s">
        <v>118</v>
      </c>
      <c r="B93" s="129">
        <v>7767.05650135</v>
      </c>
      <c r="C93" s="130"/>
      <c r="D93" s="128"/>
      <c r="E93" s="134"/>
      <c r="F93" s="114"/>
    </row>
    <row r="94" spans="1:6" ht="15.95" customHeight="1">
      <c r="A94" s="119" t="s">
        <v>119</v>
      </c>
      <c r="B94" s="129"/>
      <c r="C94" s="129"/>
      <c r="D94" s="122">
        <v>370.72691066679204</v>
      </c>
      <c r="E94" s="135"/>
      <c r="F94" s="114"/>
    </row>
    <row r="95" spans="1:6" ht="15.95" customHeight="1">
      <c r="A95" s="119" t="s">
        <v>120</v>
      </c>
      <c r="B95" s="120"/>
      <c r="C95" s="121"/>
      <c r="D95" s="122">
        <v>0</v>
      </c>
      <c r="E95" s="114"/>
    </row>
    <row r="96" spans="1:6" ht="15.95" customHeight="1">
      <c r="A96" s="119" t="s">
        <v>121</v>
      </c>
      <c r="B96" s="120"/>
      <c r="C96" s="120"/>
      <c r="D96" s="122">
        <v>54259.519372179522</v>
      </c>
      <c r="E96" s="136"/>
    </row>
    <row r="97" spans="1:6" ht="15.95" customHeight="1">
      <c r="A97" s="119"/>
      <c r="B97" s="137"/>
      <c r="C97" s="121"/>
      <c r="D97" s="132"/>
      <c r="E97" s="136"/>
      <c r="F97" s="136"/>
    </row>
    <row r="98" spans="1:6" ht="15.95" customHeight="1">
      <c r="A98" s="119" t="s">
        <v>122</v>
      </c>
      <c r="B98" s="120"/>
      <c r="C98" s="120"/>
      <c r="D98" s="122">
        <v>1013723.0460604746</v>
      </c>
      <c r="E98" s="138"/>
      <c r="F98" s="138"/>
    </row>
    <row r="99" spans="1:6" ht="15.95" customHeight="1">
      <c r="A99" s="125"/>
      <c r="B99" s="131"/>
      <c r="C99" s="121"/>
      <c r="D99" s="128"/>
      <c r="E99" s="136"/>
      <c r="F99" s="136"/>
    </row>
    <row r="100" spans="1:6" ht="15.95" customHeight="1">
      <c r="A100" s="119" t="s">
        <v>123</v>
      </c>
      <c r="B100" s="131"/>
      <c r="C100" s="121"/>
      <c r="D100" s="122">
        <v>97965.217453160338</v>
      </c>
      <c r="E100" s="139"/>
      <c r="F100" s="136"/>
    </row>
    <row r="101" spans="1:6" ht="15.95" customHeight="1">
      <c r="A101" s="119" t="s">
        <v>124</v>
      </c>
      <c r="B101" s="131"/>
      <c r="C101" s="121"/>
      <c r="D101" s="122">
        <v>7733.2878753862187</v>
      </c>
      <c r="E101" s="136"/>
      <c r="F101" s="136"/>
    </row>
    <row r="102" spans="1:6" ht="15.95" customHeight="1">
      <c r="A102" s="119" t="s">
        <v>125</v>
      </c>
      <c r="B102" s="140"/>
      <c r="C102" s="141"/>
      <c r="D102" s="122">
        <v>13586.865876528851</v>
      </c>
      <c r="E102" s="136"/>
      <c r="F102" s="136"/>
    </row>
    <row r="103" spans="1:6" ht="15.95" customHeight="1" thickBot="1">
      <c r="A103" s="142"/>
      <c r="B103" s="143"/>
      <c r="C103" s="144"/>
      <c r="D103" s="145"/>
    </row>
    <row r="104" spans="1:6" ht="15.95" customHeight="1" thickTop="1">
      <c r="A104" s="131"/>
      <c r="B104" s="140"/>
      <c r="C104" s="141"/>
      <c r="D104" s="146"/>
    </row>
    <row r="105" spans="1:6" ht="15.95" customHeight="1">
      <c r="A105" s="147"/>
      <c r="B105" s="147"/>
      <c r="C105" s="137"/>
      <c r="D105" s="148"/>
    </row>
    <row r="106" spans="1:6" ht="15.95" customHeight="1" thickBot="1">
      <c r="A106" s="137"/>
      <c r="B106" s="147"/>
      <c r="C106" s="137"/>
      <c r="D106" s="109" t="s">
        <v>74</v>
      </c>
    </row>
    <row r="107" spans="1:6" ht="15.95" customHeight="1" thickTop="1">
      <c r="A107" s="149" t="s">
        <v>7</v>
      </c>
      <c r="B107" s="150"/>
      <c r="C107" s="151"/>
      <c r="D107" s="152"/>
    </row>
    <row r="108" spans="1:6" ht="15.95" customHeight="1">
      <c r="A108" s="125"/>
      <c r="B108" s="131"/>
      <c r="C108" s="121"/>
      <c r="D108" s="128"/>
    </row>
    <row r="109" spans="1:6" ht="15.95" customHeight="1">
      <c r="A109" s="119" t="s">
        <v>126</v>
      </c>
      <c r="B109" s="120"/>
      <c r="C109" s="121"/>
      <c r="D109" s="122">
        <v>4659.0554516293196</v>
      </c>
    </row>
    <row r="110" spans="1:6" ht="15.95" customHeight="1">
      <c r="A110" s="119" t="s">
        <v>127</v>
      </c>
      <c r="B110" s="120"/>
      <c r="C110" s="121"/>
      <c r="D110" s="122">
        <v>35450.801770102997</v>
      </c>
    </row>
    <row r="111" spans="1:6" ht="15.95" customHeight="1">
      <c r="A111" s="119" t="s">
        <v>128</v>
      </c>
      <c r="B111" s="120"/>
      <c r="C111" s="121"/>
      <c r="D111" s="122">
        <v>0</v>
      </c>
    </row>
    <row r="112" spans="1:6" ht="15.95" customHeight="1">
      <c r="A112" s="119" t="s">
        <v>129</v>
      </c>
      <c r="B112" s="120"/>
      <c r="C112" s="121"/>
      <c r="D112" s="122">
        <v>17010.5318632323</v>
      </c>
    </row>
    <row r="113" spans="1:4" ht="15.95" customHeight="1">
      <c r="A113" s="119" t="s">
        <v>130</v>
      </c>
      <c r="B113" s="120"/>
      <c r="C113" s="121"/>
      <c r="D113" s="122">
        <v>67295.868540052325</v>
      </c>
    </row>
    <row r="114" spans="1:4" ht="15.95" customHeight="1">
      <c r="A114" s="125" t="s">
        <v>131</v>
      </c>
      <c r="B114" s="131"/>
      <c r="C114" s="127">
        <v>19819.410237617558</v>
      </c>
      <c r="D114" s="128"/>
    </row>
    <row r="115" spans="1:4" ht="15.95" customHeight="1">
      <c r="A115" s="125" t="s">
        <v>132</v>
      </c>
      <c r="B115" s="153"/>
      <c r="C115" s="154">
        <v>0</v>
      </c>
      <c r="D115" s="128"/>
    </row>
    <row r="116" spans="1:4" ht="15.95" customHeight="1">
      <c r="A116" s="133" t="s">
        <v>133</v>
      </c>
      <c r="B116" s="129"/>
      <c r="C116" s="154">
        <v>0</v>
      </c>
      <c r="D116" s="128"/>
    </row>
    <row r="117" spans="1:4" ht="15.95" customHeight="1">
      <c r="A117" s="133" t="s">
        <v>134</v>
      </c>
      <c r="B117" s="129"/>
      <c r="C117" s="154">
        <v>0</v>
      </c>
      <c r="D117" s="128"/>
    </row>
    <row r="118" spans="1:4" ht="15.95" customHeight="1">
      <c r="A118" s="125" t="s">
        <v>135</v>
      </c>
      <c r="B118" s="126"/>
      <c r="C118" s="127">
        <v>47476.458302434759</v>
      </c>
      <c r="D118" s="128"/>
    </row>
    <row r="119" spans="1:4" ht="15.95" customHeight="1">
      <c r="A119" s="155" t="s">
        <v>136</v>
      </c>
      <c r="B119" s="153"/>
      <c r="C119" s="127">
        <v>0</v>
      </c>
      <c r="D119" s="128"/>
    </row>
    <row r="120" spans="1:4" ht="15.95" customHeight="1">
      <c r="A120" s="155" t="s">
        <v>137</v>
      </c>
      <c r="B120" s="126"/>
      <c r="C120" s="127">
        <v>0</v>
      </c>
      <c r="D120" s="128"/>
    </row>
    <row r="121" spans="1:4" ht="15.95" customHeight="1">
      <c r="A121" s="119" t="s">
        <v>138</v>
      </c>
      <c r="B121" s="120"/>
      <c r="C121" s="121"/>
      <c r="D121" s="122">
        <v>320.00000000499449</v>
      </c>
    </row>
    <row r="122" spans="1:4" ht="15.95" customHeight="1">
      <c r="A122" s="125"/>
      <c r="B122" s="120"/>
      <c r="C122" s="127"/>
      <c r="D122" s="132"/>
    </row>
    <row r="123" spans="1:4" ht="15.95" customHeight="1">
      <c r="A123" s="125"/>
      <c r="B123" s="120"/>
      <c r="C123" s="127"/>
      <c r="D123" s="132"/>
    </row>
    <row r="124" spans="1:4" ht="15.95" customHeight="1">
      <c r="A124" s="119" t="s">
        <v>139</v>
      </c>
      <c r="B124" s="120"/>
      <c r="C124" s="121"/>
      <c r="D124" s="122">
        <v>533128.33458562288</v>
      </c>
    </row>
    <row r="125" spans="1:4" ht="15.95" customHeight="1">
      <c r="A125" s="125" t="s">
        <v>140</v>
      </c>
      <c r="B125" s="126"/>
      <c r="C125" s="127">
        <v>116979.21006459271</v>
      </c>
      <c r="D125" s="122"/>
    </row>
    <row r="126" spans="1:4" ht="15.95" customHeight="1">
      <c r="A126" s="125" t="s">
        <v>141</v>
      </c>
      <c r="B126" s="126"/>
      <c r="C126" s="127">
        <v>72066.163295975537</v>
      </c>
      <c r="D126" s="122"/>
    </row>
    <row r="127" spans="1:4" ht="15.95" customHeight="1">
      <c r="A127" s="125" t="s">
        <v>142</v>
      </c>
      <c r="B127" s="126"/>
      <c r="C127" s="127">
        <v>10369.533545288798</v>
      </c>
      <c r="D127" s="128"/>
    </row>
    <row r="128" spans="1:4" ht="15.95" customHeight="1">
      <c r="A128" s="125" t="s">
        <v>143</v>
      </c>
      <c r="B128" s="129">
        <v>9898.5910308087987</v>
      </c>
      <c r="C128" s="137"/>
      <c r="D128" s="128"/>
    </row>
    <row r="129" spans="1:5" ht="15.95" customHeight="1">
      <c r="A129" s="125" t="s">
        <v>144</v>
      </c>
      <c r="B129" s="129">
        <v>913.57073923999997</v>
      </c>
      <c r="C129" s="130"/>
      <c r="D129" s="128"/>
    </row>
    <row r="130" spans="1:5" ht="15.95" customHeight="1">
      <c r="A130" s="125" t="s">
        <v>145</v>
      </c>
      <c r="B130" s="129">
        <v>8985.0202915687987</v>
      </c>
      <c r="C130" s="130"/>
      <c r="D130" s="128"/>
    </row>
    <row r="131" spans="1:5" ht="15.95" customHeight="1">
      <c r="A131" s="125" t="s">
        <v>146</v>
      </c>
      <c r="B131" s="129">
        <v>470.94251447999994</v>
      </c>
      <c r="C131" s="130"/>
      <c r="D131" s="128"/>
    </row>
    <row r="132" spans="1:5" ht="15.95" customHeight="1">
      <c r="A132" s="125" t="s">
        <v>144</v>
      </c>
      <c r="B132" s="129">
        <v>26.597607649999997</v>
      </c>
      <c r="C132" s="130"/>
      <c r="D132" s="128"/>
    </row>
    <row r="133" spans="1:5" ht="15.95" customHeight="1">
      <c r="A133" s="125" t="s">
        <v>145</v>
      </c>
      <c r="B133" s="129">
        <v>444.34490682999996</v>
      </c>
      <c r="C133" s="130"/>
      <c r="D133" s="128"/>
    </row>
    <row r="134" spans="1:5" ht="15.95" customHeight="1">
      <c r="A134" s="125" t="s">
        <v>147</v>
      </c>
      <c r="B134" s="126"/>
      <c r="C134" s="127">
        <v>62255.367329174507</v>
      </c>
      <c r="D134" s="128"/>
    </row>
    <row r="135" spans="1:5" ht="15.95" customHeight="1">
      <c r="A135" s="125" t="s">
        <v>148</v>
      </c>
      <c r="B135" s="126"/>
      <c r="C135" s="127">
        <v>456.95772599887545</v>
      </c>
      <c r="D135" s="128"/>
    </row>
    <row r="136" spans="1:5" ht="15.95" customHeight="1">
      <c r="A136" s="125" t="s">
        <v>149</v>
      </c>
      <c r="B136" s="126"/>
      <c r="C136" s="127">
        <v>269247.48735250247</v>
      </c>
      <c r="D136" s="128"/>
    </row>
    <row r="137" spans="1:5" ht="15.95" customHeight="1">
      <c r="A137" s="125" t="s">
        <v>150</v>
      </c>
      <c r="B137" s="129">
        <v>172738.68007171454</v>
      </c>
      <c r="C137" s="130"/>
      <c r="D137" s="128"/>
    </row>
    <row r="138" spans="1:5" ht="15.95" customHeight="1">
      <c r="A138" s="125" t="s">
        <v>151</v>
      </c>
      <c r="B138" s="129">
        <v>3608.0503130524985</v>
      </c>
      <c r="C138" s="130"/>
      <c r="D138" s="128"/>
    </row>
    <row r="139" spans="1:5" ht="15.95" customHeight="1">
      <c r="A139" s="125" t="s">
        <v>152</v>
      </c>
      <c r="B139" s="129">
        <v>92900.756967735462</v>
      </c>
      <c r="C139" s="130"/>
      <c r="D139" s="128"/>
    </row>
    <row r="140" spans="1:5" ht="15.95" customHeight="1">
      <c r="A140" s="125" t="s">
        <v>153</v>
      </c>
      <c r="B140" s="129"/>
      <c r="C140" s="127">
        <v>1753.6152720899895</v>
      </c>
      <c r="D140" s="128"/>
    </row>
    <row r="141" spans="1:5" ht="15.95" customHeight="1">
      <c r="A141" s="119" t="s">
        <v>154</v>
      </c>
      <c r="B141" s="120"/>
      <c r="C141" s="156"/>
      <c r="D141" s="122">
        <v>264112.82213571842</v>
      </c>
      <c r="E141" s="157"/>
    </row>
    <row r="142" spans="1:5" ht="15.95" customHeight="1">
      <c r="A142" s="125" t="s">
        <v>155</v>
      </c>
      <c r="B142" s="129"/>
      <c r="C142" s="127">
        <v>650.40999287</v>
      </c>
      <c r="D142" s="122"/>
    </row>
    <row r="143" spans="1:5" ht="15.95" customHeight="1">
      <c r="A143" s="125" t="s">
        <v>143</v>
      </c>
      <c r="B143" s="129">
        <v>629.32015328</v>
      </c>
      <c r="C143" s="127"/>
      <c r="D143" s="122"/>
    </row>
    <row r="144" spans="1:5" ht="15.95" customHeight="1">
      <c r="A144" s="125" t="s">
        <v>146</v>
      </c>
      <c r="B144" s="129">
        <v>21.089839589999997</v>
      </c>
      <c r="C144" s="156"/>
      <c r="D144" s="122"/>
    </row>
    <row r="145" spans="1:5" ht="15.95" customHeight="1">
      <c r="A145" s="125" t="s">
        <v>156</v>
      </c>
      <c r="B145" s="129"/>
      <c r="C145" s="127">
        <v>4066.5693370800013</v>
      </c>
      <c r="D145" s="122"/>
    </row>
    <row r="146" spans="1:5" ht="15.95" customHeight="1">
      <c r="A146" s="125" t="s">
        <v>157</v>
      </c>
      <c r="B146" s="120"/>
      <c r="C146" s="127">
        <v>0</v>
      </c>
      <c r="D146" s="158"/>
    </row>
    <row r="147" spans="1:5" ht="15.95" customHeight="1">
      <c r="A147" s="125" t="s">
        <v>158</v>
      </c>
      <c r="B147" s="120"/>
      <c r="C147" s="127">
        <v>0</v>
      </c>
      <c r="D147" s="159"/>
      <c r="E147" s="157"/>
    </row>
    <row r="148" spans="1:5" ht="15.95" customHeight="1">
      <c r="A148" s="125" t="s">
        <v>159</v>
      </c>
      <c r="B148" s="120"/>
      <c r="C148" s="127">
        <v>40554.169341447479</v>
      </c>
      <c r="D148" s="159"/>
    </row>
    <row r="149" spans="1:5" ht="15.95" customHeight="1">
      <c r="A149" s="125" t="s">
        <v>160</v>
      </c>
      <c r="B149" s="120"/>
      <c r="C149" s="127">
        <v>176243.59487940185</v>
      </c>
      <c r="D149" s="159"/>
    </row>
    <row r="150" spans="1:5" ht="15.95" customHeight="1">
      <c r="A150" s="125" t="s">
        <v>161</v>
      </c>
      <c r="B150" s="129"/>
      <c r="C150" s="127">
        <v>39860.596994882704</v>
      </c>
      <c r="D150" s="159"/>
    </row>
    <row r="151" spans="1:5" ht="15.95" customHeight="1">
      <c r="A151" s="125" t="s">
        <v>150</v>
      </c>
      <c r="B151" s="129">
        <v>31415.638738902278</v>
      </c>
      <c r="C151" s="129"/>
      <c r="D151" s="159"/>
    </row>
    <row r="152" spans="1:5" ht="15.95" customHeight="1">
      <c r="A152" s="125" t="s">
        <v>151</v>
      </c>
      <c r="B152" s="129">
        <v>6793.9757314517019</v>
      </c>
      <c r="C152" s="129"/>
      <c r="D152" s="159"/>
    </row>
    <row r="153" spans="1:5" ht="15.95" customHeight="1">
      <c r="A153" s="125" t="s">
        <v>152</v>
      </c>
      <c r="B153" s="129">
        <v>1650.9825245287243</v>
      </c>
      <c r="C153" s="129"/>
      <c r="D153" s="159"/>
    </row>
    <row r="154" spans="1:5" ht="15.95" customHeight="1">
      <c r="A154" s="125" t="s">
        <v>162</v>
      </c>
      <c r="B154" s="129"/>
      <c r="C154" s="127">
        <v>2737.4815900363637</v>
      </c>
      <c r="D154" s="159"/>
    </row>
    <row r="155" spans="1:5" ht="15.95" customHeight="1">
      <c r="A155" s="125" t="s">
        <v>163</v>
      </c>
      <c r="B155" s="129">
        <v>1321.5515878763638</v>
      </c>
      <c r="C155" s="129"/>
      <c r="D155" s="159"/>
    </row>
    <row r="156" spans="1:5" ht="15.95" customHeight="1">
      <c r="A156" s="125" t="s">
        <v>164</v>
      </c>
      <c r="B156" s="129">
        <v>1386.9300021600002</v>
      </c>
      <c r="C156" s="129"/>
      <c r="D156" s="159"/>
    </row>
    <row r="157" spans="1:5" ht="15.95" customHeight="1">
      <c r="A157" s="125" t="s">
        <v>165</v>
      </c>
      <c r="B157" s="129">
        <v>29</v>
      </c>
      <c r="C157" s="120"/>
      <c r="D157" s="158"/>
    </row>
    <row r="158" spans="1:5" ht="15.95" customHeight="1">
      <c r="A158" s="119" t="s">
        <v>166</v>
      </c>
      <c r="B158" s="137"/>
      <c r="C158" s="121"/>
      <c r="D158" s="122">
        <v>3932.1471733810854</v>
      </c>
    </row>
    <row r="159" spans="1:5" ht="15.95" customHeight="1">
      <c r="A159" s="119" t="s">
        <v>167</v>
      </c>
      <c r="B159" s="120"/>
      <c r="C159" s="127"/>
      <c r="D159" s="132"/>
    </row>
    <row r="160" spans="1:5" ht="15.95" customHeight="1">
      <c r="A160" s="125" t="s">
        <v>155</v>
      </c>
      <c r="B160" s="160"/>
      <c r="C160" s="160">
        <v>0</v>
      </c>
      <c r="D160" s="132"/>
    </row>
    <row r="161" spans="1:4" ht="15.95" customHeight="1">
      <c r="A161" s="125" t="s">
        <v>143</v>
      </c>
      <c r="B161" s="161">
        <v>0</v>
      </c>
      <c r="C161" s="160"/>
      <c r="D161" s="132"/>
    </row>
    <row r="162" spans="1:4" ht="15.95" customHeight="1">
      <c r="A162" s="125" t="s">
        <v>146</v>
      </c>
      <c r="B162" s="161">
        <v>0</v>
      </c>
      <c r="C162" s="160"/>
      <c r="D162" s="132"/>
    </row>
    <row r="163" spans="1:4" ht="15.95" customHeight="1">
      <c r="A163" s="125" t="s">
        <v>156</v>
      </c>
      <c r="B163" s="160"/>
      <c r="C163" s="127">
        <v>0</v>
      </c>
      <c r="D163" s="132"/>
    </row>
    <row r="164" spans="1:4" ht="15.95" customHeight="1">
      <c r="A164" s="125" t="s">
        <v>157</v>
      </c>
      <c r="B164" s="160"/>
      <c r="C164" s="127">
        <v>0</v>
      </c>
      <c r="D164" s="132"/>
    </row>
    <row r="165" spans="1:4" ht="15.95" customHeight="1">
      <c r="A165" s="125" t="s">
        <v>158</v>
      </c>
      <c r="B165" s="160"/>
      <c r="C165" s="127">
        <v>0</v>
      </c>
      <c r="D165" s="132"/>
    </row>
    <row r="166" spans="1:4" ht="15.95" customHeight="1">
      <c r="A166" s="125" t="s">
        <v>159</v>
      </c>
      <c r="B166" s="160"/>
      <c r="C166" s="127">
        <v>699.18116842421102</v>
      </c>
      <c r="D166" s="132"/>
    </row>
    <row r="167" spans="1:4" ht="15.95" customHeight="1">
      <c r="A167" s="125" t="s">
        <v>160</v>
      </c>
      <c r="B167" s="160"/>
      <c r="C167" s="127">
        <v>2176.6135614330101</v>
      </c>
      <c r="D167" s="132"/>
    </row>
    <row r="168" spans="1:4" ht="15.95" customHeight="1">
      <c r="A168" s="125" t="s">
        <v>161</v>
      </c>
      <c r="B168" s="160"/>
      <c r="C168" s="127">
        <v>971.50386117885671</v>
      </c>
      <c r="D168" s="132"/>
    </row>
    <row r="169" spans="1:4" ht="15.95" customHeight="1">
      <c r="A169" s="125" t="s">
        <v>150</v>
      </c>
      <c r="B169" s="129">
        <v>777.45160821666673</v>
      </c>
      <c r="C169" s="130"/>
      <c r="D169" s="132"/>
    </row>
    <row r="170" spans="1:4" ht="15.95" customHeight="1">
      <c r="A170" s="125" t="s">
        <v>151</v>
      </c>
      <c r="B170" s="129">
        <v>194.05225296219001</v>
      </c>
      <c r="C170" s="130"/>
      <c r="D170" s="132"/>
    </row>
    <row r="171" spans="1:4" ht="15.95" customHeight="1">
      <c r="A171" s="125" t="s">
        <v>152</v>
      </c>
      <c r="B171" s="129">
        <v>0</v>
      </c>
      <c r="C171" s="130"/>
      <c r="D171" s="132"/>
    </row>
    <row r="172" spans="1:4" ht="15.95" customHeight="1">
      <c r="A172" s="125" t="s">
        <v>162</v>
      </c>
      <c r="B172" s="129"/>
      <c r="C172" s="127">
        <v>84.848582345007415</v>
      </c>
      <c r="D172" s="132"/>
    </row>
    <row r="173" spans="1:4" ht="15.95" customHeight="1">
      <c r="A173" s="125" t="s">
        <v>163</v>
      </c>
      <c r="B173" s="129">
        <v>84.848582345007415</v>
      </c>
      <c r="C173" s="130"/>
      <c r="D173" s="132"/>
    </row>
    <row r="174" spans="1:4" ht="15.95" customHeight="1">
      <c r="A174" s="125" t="s">
        <v>164</v>
      </c>
      <c r="B174" s="129">
        <v>0</v>
      </c>
      <c r="C174" s="130"/>
      <c r="D174" s="132"/>
    </row>
    <row r="175" spans="1:4" ht="15.95" customHeight="1">
      <c r="A175" s="125" t="s">
        <v>165</v>
      </c>
      <c r="B175" s="129">
        <v>0</v>
      </c>
      <c r="C175" s="121"/>
      <c r="D175" s="128"/>
    </row>
    <row r="176" spans="1:4" ht="15.95" customHeight="1">
      <c r="A176" s="119" t="s">
        <v>168</v>
      </c>
      <c r="B176" s="129"/>
      <c r="C176" s="130"/>
      <c r="D176" s="122">
        <v>34493.732392353057</v>
      </c>
    </row>
    <row r="177" spans="1:4" ht="15.95" customHeight="1">
      <c r="A177" s="125" t="s">
        <v>155</v>
      </c>
      <c r="B177" s="161"/>
      <c r="C177" s="160">
        <v>0</v>
      </c>
      <c r="D177" s="122"/>
    </row>
    <row r="178" spans="1:4" ht="15.95" customHeight="1">
      <c r="A178" s="125" t="s">
        <v>143</v>
      </c>
      <c r="B178" s="160">
        <v>0</v>
      </c>
      <c r="C178" s="160"/>
      <c r="D178" s="128"/>
    </row>
    <row r="179" spans="1:4" ht="15.95" customHeight="1">
      <c r="A179" s="125" t="s">
        <v>146</v>
      </c>
      <c r="B179" s="160">
        <v>0</v>
      </c>
      <c r="C179" s="160"/>
      <c r="D179" s="128"/>
    </row>
    <row r="180" spans="1:4" ht="15.95" customHeight="1">
      <c r="A180" s="125" t="s">
        <v>156</v>
      </c>
      <c r="B180" s="161"/>
      <c r="C180" s="127">
        <v>1263.89166146</v>
      </c>
      <c r="D180" s="128"/>
    </row>
    <row r="181" spans="1:4" ht="15.95" customHeight="1">
      <c r="A181" s="125" t="s">
        <v>157</v>
      </c>
      <c r="B181" s="161"/>
      <c r="C181" s="160">
        <v>0</v>
      </c>
      <c r="D181" s="128"/>
    </row>
    <row r="182" spans="1:4" ht="15.95" customHeight="1">
      <c r="A182" s="125" t="s">
        <v>158</v>
      </c>
      <c r="B182" s="161"/>
      <c r="C182" s="160">
        <v>0</v>
      </c>
      <c r="D182" s="128"/>
    </row>
    <row r="183" spans="1:4" ht="15.95" customHeight="1">
      <c r="A183" s="125" t="s">
        <v>159</v>
      </c>
      <c r="B183" s="161"/>
      <c r="C183" s="127">
        <v>15.926239019999999</v>
      </c>
      <c r="D183" s="128"/>
    </row>
    <row r="184" spans="1:4" ht="15.95" customHeight="1">
      <c r="A184" s="125" t="s">
        <v>160</v>
      </c>
      <c r="B184" s="129"/>
      <c r="C184" s="127">
        <v>114.30288148</v>
      </c>
      <c r="D184" s="128"/>
    </row>
    <row r="185" spans="1:4" ht="15.95" customHeight="1">
      <c r="A185" s="125" t="s">
        <v>161</v>
      </c>
      <c r="B185" s="129"/>
      <c r="C185" s="127">
        <v>32463.345736558476</v>
      </c>
      <c r="D185" s="128"/>
    </row>
    <row r="186" spans="1:4" ht="15.95" customHeight="1">
      <c r="A186" s="125" t="s">
        <v>150</v>
      </c>
      <c r="B186" s="129">
        <v>26870.019747041162</v>
      </c>
      <c r="C186" s="127"/>
      <c r="D186" s="128"/>
    </row>
    <row r="187" spans="1:4" ht="15.95" customHeight="1">
      <c r="A187" s="125" t="s">
        <v>151</v>
      </c>
      <c r="B187" s="129">
        <v>5450.8756906303615</v>
      </c>
      <c r="C187" s="127"/>
      <c r="D187" s="128"/>
    </row>
    <row r="188" spans="1:4" ht="15.95" customHeight="1">
      <c r="A188" s="125" t="s">
        <v>165</v>
      </c>
      <c r="B188" s="129">
        <v>142.45029888695333</v>
      </c>
      <c r="C188" s="160"/>
      <c r="D188" s="128"/>
    </row>
    <row r="189" spans="1:4" ht="15.95" customHeight="1">
      <c r="A189" s="125" t="s">
        <v>169</v>
      </c>
      <c r="B189" s="161"/>
      <c r="C189" s="127">
        <v>636.2658738345865</v>
      </c>
      <c r="D189" s="128"/>
    </row>
    <row r="190" spans="1:4" ht="15.95" customHeight="1">
      <c r="A190" s="125" t="s">
        <v>163</v>
      </c>
      <c r="B190" s="129">
        <v>453.29514096458649</v>
      </c>
      <c r="C190" s="160"/>
      <c r="D190" s="128"/>
    </row>
    <row r="191" spans="1:4" ht="15.95" customHeight="1">
      <c r="A191" s="125" t="s">
        <v>164</v>
      </c>
      <c r="B191" s="161">
        <v>0</v>
      </c>
      <c r="C191" s="160"/>
      <c r="D191" s="128"/>
    </row>
    <row r="192" spans="1:4" ht="15.95" customHeight="1">
      <c r="A192" s="125" t="s">
        <v>165</v>
      </c>
      <c r="B192" s="161">
        <v>182.97073287000001</v>
      </c>
      <c r="C192" s="160"/>
      <c r="D192" s="128"/>
    </row>
    <row r="193" spans="1:7" ht="15.95" customHeight="1">
      <c r="A193" s="119" t="s">
        <v>170</v>
      </c>
      <c r="B193" s="120"/>
      <c r="C193" s="121"/>
      <c r="D193" s="122">
        <v>7223.9687150280961</v>
      </c>
    </row>
    <row r="194" spans="1:7" ht="15.95" customHeight="1">
      <c r="A194" s="125" t="s">
        <v>171</v>
      </c>
      <c r="B194" s="131"/>
      <c r="C194" s="127">
        <v>920.13576893797017</v>
      </c>
      <c r="D194" s="132"/>
    </row>
    <row r="195" spans="1:7" ht="15.95" customHeight="1">
      <c r="A195" s="125" t="s">
        <v>172</v>
      </c>
      <c r="B195" s="120"/>
      <c r="C195" s="127">
        <v>88.914884000000001</v>
      </c>
      <c r="D195" s="132"/>
    </row>
    <row r="196" spans="1:7" ht="15.95" customHeight="1">
      <c r="A196" s="125" t="s">
        <v>173</v>
      </c>
      <c r="B196" s="131"/>
      <c r="C196" s="127">
        <v>6214.9180620901261</v>
      </c>
      <c r="D196" s="132"/>
    </row>
    <row r="197" spans="1:7" ht="15.95" customHeight="1">
      <c r="A197" s="119" t="s">
        <v>174</v>
      </c>
      <c r="B197" s="120"/>
      <c r="C197" s="121"/>
      <c r="D197" s="122">
        <v>22357.58592520648</v>
      </c>
    </row>
    <row r="198" spans="1:7" ht="15.95" customHeight="1">
      <c r="A198" s="119" t="s">
        <v>175</v>
      </c>
      <c r="B198" s="120"/>
      <c r="C198" s="121"/>
      <c r="D198" s="122">
        <v>23738.197508142719</v>
      </c>
    </row>
    <row r="199" spans="1:7" ht="15.95" customHeight="1">
      <c r="A199" s="125"/>
      <c r="B199" s="131"/>
      <c r="C199" s="121"/>
      <c r="D199" s="128"/>
    </row>
    <row r="200" spans="1:7" ht="15.95" customHeight="1">
      <c r="A200" s="119" t="s">
        <v>176</v>
      </c>
      <c r="B200" s="120"/>
      <c r="C200" s="121"/>
      <c r="D200" s="122">
        <v>1013723.0460604746</v>
      </c>
      <c r="F200" s="157"/>
      <c r="G200" s="157"/>
    </row>
    <row r="201" spans="1:7" ht="15.95" customHeight="1">
      <c r="A201" s="125"/>
      <c r="B201" s="131"/>
      <c r="C201" s="121"/>
      <c r="D201" s="162"/>
    </row>
    <row r="202" spans="1:7" ht="15.95" customHeight="1">
      <c r="A202" s="119" t="s">
        <v>177</v>
      </c>
      <c r="B202" s="131"/>
      <c r="C202" s="137"/>
      <c r="D202" s="122">
        <v>97965.217452960336</v>
      </c>
    </row>
    <row r="203" spans="1:7" ht="15.95" customHeight="1">
      <c r="A203" s="119" t="s">
        <v>178</v>
      </c>
      <c r="B203" s="131"/>
      <c r="C203" s="121"/>
      <c r="D203" s="122">
        <v>2412.7554788525881</v>
      </c>
    </row>
    <row r="204" spans="1:7" ht="15.95" customHeight="1">
      <c r="A204" s="119" t="s">
        <v>179</v>
      </c>
      <c r="B204" s="131"/>
      <c r="C204" s="121"/>
      <c r="D204" s="122">
        <v>13291.134392325901</v>
      </c>
    </row>
    <row r="205" spans="1:7" ht="13.5" thickBot="1">
      <c r="A205" s="163"/>
      <c r="B205" s="164"/>
      <c r="C205" s="165"/>
      <c r="D205" s="166"/>
    </row>
    <row r="206" spans="1:7" ht="13.5" thickTop="1">
      <c r="A206" s="167" t="s">
        <v>180</v>
      </c>
      <c r="B206" s="137"/>
      <c r="C206" s="137"/>
      <c r="D206" s="148"/>
    </row>
    <row r="207" spans="1:7" ht="13.5">
      <c r="A207" s="168" t="s">
        <v>181</v>
      </c>
      <c r="D207" s="169"/>
    </row>
    <row r="208" spans="1:7" ht="13.5">
      <c r="A208" s="168" t="s">
        <v>182</v>
      </c>
      <c r="D208" s="170"/>
    </row>
    <row r="209" spans="4:4">
      <c r="D209" s="170"/>
    </row>
    <row r="210" spans="4:4">
      <c r="D210" s="170"/>
    </row>
    <row r="211" spans="4:4">
      <c r="D211" s="170"/>
    </row>
    <row r="212" spans="4:4">
      <c r="D212" s="170"/>
    </row>
    <row r="213" spans="4:4">
      <c r="D213" s="170"/>
    </row>
    <row r="214" spans="4:4">
      <c r="D214" s="170"/>
    </row>
    <row r="215" spans="4:4">
      <c r="D215" s="170"/>
    </row>
    <row r="216" spans="4:4">
      <c r="D216" s="170"/>
    </row>
    <row r="217" spans="4:4">
      <c r="D217" s="170"/>
    </row>
    <row r="218" spans="4:4">
      <c r="D218" s="170"/>
    </row>
    <row r="219" spans="4:4">
      <c r="D219" s="170"/>
    </row>
    <row r="220" spans="4:4">
      <c r="D220" s="170"/>
    </row>
    <row r="221" spans="4:4">
      <c r="D221" s="170"/>
    </row>
    <row r="222" spans="4:4">
      <c r="D222" s="170"/>
    </row>
    <row r="223" spans="4:4">
      <c r="D223" s="170"/>
    </row>
    <row r="224" spans="4:4">
      <c r="D224" s="170"/>
    </row>
    <row r="225" spans="4:4">
      <c r="D225" s="170"/>
    </row>
    <row r="226" spans="4:4">
      <c r="D226" s="170"/>
    </row>
    <row r="227" spans="4:4">
      <c r="D227" s="170"/>
    </row>
    <row r="228" spans="4:4">
      <c r="D228" s="170"/>
    </row>
    <row r="229" spans="4:4">
      <c r="D229" s="170"/>
    </row>
    <row r="230" spans="4:4">
      <c r="D230" s="170"/>
    </row>
    <row r="231" spans="4:4">
      <c r="D231" s="170"/>
    </row>
    <row r="232" spans="4:4">
      <c r="D232" s="170"/>
    </row>
    <row r="233" spans="4:4">
      <c r="D233" s="170"/>
    </row>
    <row r="234" spans="4:4">
      <c r="D234" s="170"/>
    </row>
    <row r="235" spans="4:4">
      <c r="D235" s="170"/>
    </row>
    <row r="236" spans="4:4">
      <c r="D236" s="170"/>
    </row>
    <row r="237" spans="4:4">
      <c r="D237" s="170"/>
    </row>
    <row r="238" spans="4:4">
      <c r="D238" s="170"/>
    </row>
    <row r="239" spans="4:4">
      <c r="D239" s="170"/>
    </row>
    <row r="240" spans="4:4">
      <c r="D240" s="170"/>
    </row>
    <row r="241" spans="4:4">
      <c r="D241" s="170"/>
    </row>
    <row r="242" spans="4:4">
      <c r="D242" s="170"/>
    </row>
    <row r="243" spans="4:4">
      <c r="D243" s="170"/>
    </row>
    <row r="244" spans="4:4">
      <c r="D244" s="170"/>
    </row>
    <row r="245" spans="4:4">
      <c r="D245" s="170"/>
    </row>
    <row r="246" spans="4:4">
      <c r="D246" s="170"/>
    </row>
    <row r="247" spans="4:4">
      <c r="D247" s="170"/>
    </row>
    <row r="248" spans="4:4">
      <c r="D248" s="170"/>
    </row>
    <row r="249" spans="4:4">
      <c r="D249" s="170"/>
    </row>
    <row r="250" spans="4:4">
      <c r="D250" s="170"/>
    </row>
    <row r="251" spans="4:4">
      <c r="D251" s="170"/>
    </row>
    <row r="252" spans="4:4">
      <c r="D252" s="170"/>
    </row>
    <row r="253" spans="4:4">
      <c r="D253" s="170"/>
    </row>
    <row r="254" spans="4:4">
      <c r="D254" s="170"/>
    </row>
    <row r="255" spans="4:4">
      <c r="D255" s="170"/>
    </row>
    <row r="256" spans="4:4">
      <c r="D256" s="170"/>
    </row>
    <row r="257" spans="4:4">
      <c r="D257" s="170"/>
    </row>
    <row r="258" spans="4:4">
      <c r="D258" s="170"/>
    </row>
    <row r="259" spans="4:4">
      <c r="D259" s="170"/>
    </row>
    <row r="260" spans="4:4">
      <c r="D260" s="170"/>
    </row>
    <row r="261" spans="4:4">
      <c r="D261" s="170"/>
    </row>
    <row r="262" spans="4:4">
      <c r="D262" s="170"/>
    </row>
    <row r="263" spans="4:4">
      <c r="D263" s="170"/>
    </row>
    <row r="264" spans="4:4">
      <c r="D264" s="170"/>
    </row>
    <row r="265" spans="4:4">
      <c r="D265" s="170"/>
    </row>
    <row r="266" spans="4:4">
      <c r="D266" s="170"/>
    </row>
    <row r="267" spans="4:4">
      <c r="D267" s="170"/>
    </row>
    <row r="268" spans="4:4">
      <c r="D268" s="170"/>
    </row>
    <row r="269" spans="4:4">
      <c r="D269" s="170"/>
    </row>
    <row r="270" spans="4:4">
      <c r="D270" s="170"/>
    </row>
    <row r="271" spans="4:4">
      <c r="D271" s="170"/>
    </row>
    <row r="272" spans="4:4">
      <c r="D272" s="170"/>
    </row>
    <row r="273" spans="4:4">
      <c r="D273" s="170"/>
    </row>
    <row r="274" spans="4:4">
      <c r="D274" s="170"/>
    </row>
    <row r="275" spans="4:4">
      <c r="D275" s="170"/>
    </row>
    <row r="276" spans="4:4">
      <c r="D276" s="170"/>
    </row>
    <row r="277" spans="4:4">
      <c r="D277" s="170"/>
    </row>
    <row r="278" spans="4:4">
      <c r="D278" s="170"/>
    </row>
    <row r="279" spans="4:4">
      <c r="D279" s="170"/>
    </row>
    <row r="280" spans="4:4">
      <c r="D280" s="170"/>
    </row>
    <row r="281" spans="4:4">
      <c r="D281" s="170"/>
    </row>
    <row r="282" spans="4:4">
      <c r="D282" s="170"/>
    </row>
    <row r="283" spans="4:4">
      <c r="D283" s="170"/>
    </row>
    <row r="284" spans="4:4">
      <c r="D284" s="170"/>
    </row>
    <row r="285" spans="4:4">
      <c r="D285" s="170"/>
    </row>
    <row r="286" spans="4:4">
      <c r="D286" s="170"/>
    </row>
    <row r="287" spans="4:4">
      <c r="D287" s="170"/>
    </row>
    <row r="288" spans="4:4">
      <c r="D288" s="170"/>
    </row>
    <row r="289" spans="4:4">
      <c r="D289" s="170"/>
    </row>
    <row r="290" spans="4:4">
      <c r="D290" s="170"/>
    </row>
    <row r="291" spans="4:4">
      <c r="D291" s="170"/>
    </row>
    <row r="292" spans="4:4">
      <c r="D292" s="170"/>
    </row>
    <row r="293" spans="4:4">
      <c r="D293" s="170"/>
    </row>
    <row r="294" spans="4:4">
      <c r="D294" s="170"/>
    </row>
    <row r="295" spans="4:4">
      <c r="D295" s="170"/>
    </row>
    <row r="296" spans="4:4">
      <c r="D296" s="170"/>
    </row>
    <row r="297" spans="4:4">
      <c r="D297" s="170"/>
    </row>
    <row r="298" spans="4:4">
      <c r="D298" s="170"/>
    </row>
    <row r="299" spans="4:4">
      <c r="D299" s="170"/>
    </row>
    <row r="300" spans="4:4">
      <c r="D300" s="170"/>
    </row>
    <row r="301" spans="4:4">
      <c r="D301" s="170"/>
    </row>
    <row r="302" spans="4:4">
      <c r="D302" s="170"/>
    </row>
    <row r="303" spans="4:4">
      <c r="D303" s="170"/>
    </row>
    <row r="304" spans="4:4">
      <c r="D304" s="170"/>
    </row>
    <row r="305" spans="4:4">
      <c r="D305" s="170"/>
    </row>
    <row r="306" spans="4:4">
      <c r="D306" s="170"/>
    </row>
    <row r="307" spans="4:4">
      <c r="D307" s="170"/>
    </row>
    <row r="308" spans="4:4">
      <c r="D308" s="170"/>
    </row>
    <row r="309" spans="4:4">
      <c r="D309" s="170"/>
    </row>
    <row r="310" spans="4:4">
      <c r="D310" s="170"/>
    </row>
    <row r="311" spans="4:4">
      <c r="D311" s="170"/>
    </row>
    <row r="312" spans="4:4">
      <c r="D312" s="170"/>
    </row>
    <row r="313" spans="4:4">
      <c r="D313" s="170"/>
    </row>
    <row r="314" spans="4:4">
      <c r="D314" s="170"/>
    </row>
    <row r="315" spans="4:4">
      <c r="D315" s="170"/>
    </row>
    <row r="316" spans="4:4">
      <c r="D316" s="170"/>
    </row>
    <row r="317" spans="4:4">
      <c r="D317" s="170"/>
    </row>
    <row r="318" spans="4:4">
      <c r="D318" s="170"/>
    </row>
    <row r="319" spans="4:4">
      <c r="D319" s="170"/>
    </row>
    <row r="320" spans="4:4">
      <c r="D320" s="170"/>
    </row>
    <row r="321" spans="4:4">
      <c r="D321" s="170"/>
    </row>
    <row r="322" spans="4:4">
      <c r="D322" s="170"/>
    </row>
    <row r="323" spans="4:4">
      <c r="D323" s="170"/>
    </row>
    <row r="324" spans="4:4">
      <c r="D324" s="170"/>
    </row>
    <row r="325" spans="4:4">
      <c r="D325" s="170"/>
    </row>
    <row r="326" spans="4:4">
      <c r="D326" s="170"/>
    </row>
    <row r="327" spans="4:4">
      <c r="D327" s="170"/>
    </row>
    <row r="328" spans="4:4">
      <c r="D328" s="170"/>
    </row>
    <row r="329" spans="4:4">
      <c r="D329" s="170"/>
    </row>
    <row r="330" spans="4:4">
      <c r="D330" s="170"/>
    </row>
    <row r="331" spans="4:4">
      <c r="D331" s="170"/>
    </row>
    <row r="332" spans="4:4">
      <c r="D332" s="170"/>
    </row>
    <row r="333" spans="4:4">
      <c r="D333" s="170"/>
    </row>
    <row r="334" spans="4:4">
      <c r="D334" s="170"/>
    </row>
    <row r="335" spans="4:4">
      <c r="D335" s="170"/>
    </row>
    <row r="336" spans="4:4">
      <c r="D336" s="170"/>
    </row>
    <row r="337" spans="4:4">
      <c r="D337" s="170"/>
    </row>
    <row r="338" spans="4:4">
      <c r="D338" s="170"/>
    </row>
    <row r="339" spans="4:4">
      <c r="D339" s="170"/>
    </row>
    <row r="340" spans="4:4">
      <c r="D340" s="170"/>
    </row>
    <row r="341" spans="4:4">
      <c r="D341" s="170"/>
    </row>
    <row r="342" spans="4:4">
      <c r="D342" s="170"/>
    </row>
    <row r="343" spans="4:4">
      <c r="D343" s="170"/>
    </row>
    <row r="344" spans="4:4">
      <c r="D344" s="170"/>
    </row>
    <row r="345" spans="4:4">
      <c r="D345" s="170"/>
    </row>
    <row r="346" spans="4:4">
      <c r="D346" s="170"/>
    </row>
    <row r="347" spans="4:4">
      <c r="D347" s="170"/>
    </row>
    <row r="348" spans="4:4">
      <c r="D348" s="170"/>
    </row>
    <row r="349" spans="4:4">
      <c r="D349" s="170"/>
    </row>
    <row r="350" spans="4:4">
      <c r="D350" s="170"/>
    </row>
    <row r="351" spans="4:4">
      <c r="D351" s="170"/>
    </row>
    <row r="352" spans="4:4">
      <c r="D352" s="170"/>
    </row>
    <row r="353" spans="4:4">
      <c r="D353" s="170"/>
    </row>
    <row r="354" spans="4:4">
      <c r="D354" s="170"/>
    </row>
    <row r="355" spans="4:4">
      <c r="D355" s="170"/>
    </row>
    <row r="356" spans="4:4">
      <c r="D356" s="170"/>
    </row>
    <row r="357" spans="4:4">
      <c r="D357" s="170"/>
    </row>
    <row r="358" spans="4:4">
      <c r="D358" s="170"/>
    </row>
    <row r="359" spans="4:4">
      <c r="D359" s="170"/>
    </row>
    <row r="360" spans="4:4">
      <c r="D360" s="170"/>
    </row>
    <row r="361" spans="4:4">
      <c r="D361" s="170"/>
    </row>
    <row r="362" spans="4:4">
      <c r="D362" s="170"/>
    </row>
    <row r="363" spans="4:4">
      <c r="D363" s="170"/>
    </row>
    <row r="364" spans="4:4">
      <c r="D364" s="170"/>
    </row>
    <row r="365" spans="4:4">
      <c r="D365" s="170"/>
    </row>
    <row r="366" spans="4:4">
      <c r="D366" s="170"/>
    </row>
    <row r="367" spans="4:4">
      <c r="D367" s="170"/>
    </row>
    <row r="368" spans="4:4">
      <c r="D368" s="170"/>
    </row>
    <row r="369" spans="4:4">
      <c r="D369" s="170"/>
    </row>
    <row r="370" spans="4:4">
      <c r="D370" s="170"/>
    </row>
    <row r="371" spans="4:4">
      <c r="D371" s="170"/>
    </row>
    <row r="372" spans="4:4">
      <c r="D372" s="170"/>
    </row>
    <row r="373" spans="4:4">
      <c r="D373" s="170"/>
    </row>
    <row r="374" spans="4:4">
      <c r="D374" s="170"/>
    </row>
    <row r="375" spans="4:4">
      <c r="D375" s="170"/>
    </row>
    <row r="376" spans="4:4">
      <c r="D376" s="170"/>
    </row>
    <row r="377" spans="4:4">
      <c r="D377" s="170"/>
    </row>
    <row r="378" spans="4:4">
      <c r="D378" s="170"/>
    </row>
    <row r="379" spans="4:4">
      <c r="D379" s="170"/>
    </row>
    <row r="380" spans="4:4">
      <c r="D380" s="170"/>
    </row>
    <row r="381" spans="4:4">
      <c r="D381" s="170"/>
    </row>
    <row r="382" spans="4:4">
      <c r="D382" s="170"/>
    </row>
    <row r="383" spans="4:4">
      <c r="D383" s="170"/>
    </row>
    <row r="384" spans="4:4">
      <c r="D384" s="170"/>
    </row>
    <row r="385" spans="4:4">
      <c r="D385" s="170"/>
    </row>
    <row r="386" spans="4:4">
      <c r="D386" s="170"/>
    </row>
    <row r="387" spans="4:4">
      <c r="D387" s="170"/>
    </row>
    <row r="388" spans="4:4">
      <c r="D388" s="170"/>
    </row>
    <row r="389" spans="4:4">
      <c r="D389" s="170"/>
    </row>
    <row r="390" spans="4:4">
      <c r="D390" s="170"/>
    </row>
    <row r="391" spans="4:4">
      <c r="D391" s="170"/>
    </row>
    <row r="392" spans="4:4">
      <c r="D392" s="170"/>
    </row>
    <row r="393" spans="4:4">
      <c r="D393" s="170"/>
    </row>
    <row r="394" spans="4:4">
      <c r="D394" s="170"/>
    </row>
    <row r="395" spans="4:4">
      <c r="D395" s="170"/>
    </row>
    <row r="396" spans="4:4">
      <c r="D396" s="170"/>
    </row>
    <row r="397" spans="4:4">
      <c r="D397" s="170"/>
    </row>
    <row r="398" spans="4:4">
      <c r="D398" s="170"/>
    </row>
    <row r="399" spans="4:4">
      <c r="D399" s="170"/>
    </row>
    <row r="400" spans="4:4">
      <c r="D400" s="170"/>
    </row>
    <row r="401" spans="4:4">
      <c r="D401" s="170"/>
    </row>
    <row r="402" spans="4:4">
      <c r="D402" s="170"/>
    </row>
    <row r="403" spans="4:4">
      <c r="D403" s="170"/>
    </row>
    <row r="404" spans="4:4">
      <c r="D404" s="170"/>
    </row>
    <row r="405" spans="4:4">
      <c r="D405" s="170"/>
    </row>
    <row r="406" spans="4:4">
      <c r="D406" s="170"/>
    </row>
    <row r="407" spans="4:4">
      <c r="D407" s="170"/>
    </row>
    <row r="408" spans="4:4">
      <c r="D408" s="170"/>
    </row>
    <row r="409" spans="4:4">
      <c r="D409" s="170"/>
    </row>
    <row r="410" spans="4:4">
      <c r="D410" s="170"/>
    </row>
    <row r="411" spans="4:4">
      <c r="D411" s="170"/>
    </row>
    <row r="412" spans="4:4">
      <c r="D412" s="170"/>
    </row>
    <row r="413" spans="4:4">
      <c r="D413" s="170"/>
    </row>
    <row r="414" spans="4:4">
      <c r="D414" s="170"/>
    </row>
    <row r="415" spans="4:4">
      <c r="D415" s="170"/>
    </row>
    <row r="416" spans="4:4">
      <c r="D416" s="170"/>
    </row>
    <row r="417" spans="4:4">
      <c r="D417" s="170"/>
    </row>
    <row r="418" spans="4:4">
      <c r="D418" s="170"/>
    </row>
    <row r="419" spans="4:4">
      <c r="D419" s="170"/>
    </row>
    <row r="420" spans="4:4">
      <c r="D420" s="170"/>
    </row>
    <row r="421" spans="4:4">
      <c r="D421" s="170"/>
    </row>
    <row r="422" spans="4:4">
      <c r="D422" s="170"/>
    </row>
    <row r="423" spans="4:4">
      <c r="D423" s="170"/>
    </row>
    <row r="424" spans="4:4">
      <c r="D424" s="170"/>
    </row>
    <row r="425" spans="4:4">
      <c r="D425" s="170"/>
    </row>
    <row r="426" spans="4:4">
      <c r="D426" s="170"/>
    </row>
    <row r="427" spans="4:4">
      <c r="D427" s="170"/>
    </row>
    <row r="428" spans="4:4">
      <c r="D428" s="170"/>
    </row>
    <row r="429" spans="4:4">
      <c r="D429" s="170"/>
    </row>
    <row r="430" spans="4:4">
      <c r="D430" s="170"/>
    </row>
    <row r="431" spans="4:4">
      <c r="D431" s="170"/>
    </row>
    <row r="432" spans="4:4">
      <c r="D432" s="170"/>
    </row>
    <row r="433" spans="4:4">
      <c r="D433" s="170"/>
    </row>
    <row r="434" spans="4:4">
      <c r="D434" s="170"/>
    </row>
    <row r="435" spans="4:4">
      <c r="D435" s="170"/>
    </row>
    <row r="436" spans="4:4">
      <c r="D436" s="170"/>
    </row>
    <row r="437" spans="4:4">
      <c r="D437" s="170"/>
    </row>
    <row r="438" spans="4:4">
      <c r="D438" s="170"/>
    </row>
    <row r="439" spans="4:4">
      <c r="D439" s="170"/>
    </row>
    <row r="440" spans="4:4">
      <c r="D440" s="170"/>
    </row>
    <row r="441" spans="4:4">
      <c r="D441" s="170"/>
    </row>
    <row r="442" spans="4:4">
      <c r="D442" s="170"/>
    </row>
    <row r="443" spans="4:4">
      <c r="D443" s="170"/>
    </row>
    <row r="444" spans="4:4">
      <c r="D444" s="170"/>
    </row>
    <row r="445" spans="4:4">
      <c r="D445" s="170"/>
    </row>
    <row r="446" spans="4:4">
      <c r="D446" s="170"/>
    </row>
    <row r="447" spans="4:4">
      <c r="D447" s="170"/>
    </row>
    <row r="448" spans="4:4">
      <c r="D448" s="170"/>
    </row>
    <row r="449" spans="4:4">
      <c r="D449" s="170"/>
    </row>
    <row r="450" spans="4:4">
      <c r="D450" s="170"/>
    </row>
    <row r="451" spans="4:4">
      <c r="D451" s="170"/>
    </row>
    <row r="452" spans="4:4">
      <c r="D452" s="170"/>
    </row>
    <row r="453" spans="4:4">
      <c r="D453" s="170"/>
    </row>
    <row r="454" spans="4:4">
      <c r="D454" s="170"/>
    </row>
    <row r="455" spans="4:4">
      <c r="D455" s="170"/>
    </row>
    <row r="456" spans="4:4">
      <c r="D456" s="170"/>
    </row>
    <row r="457" spans="4:4">
      <c r="D457" s="170"/>
    </row>
    <row r="458" spans="4:4">
      <c r="D458" s="170"/>
    </row>
    <row r="459" spans="4:4">
      <c r="D459" s="170"/>
    </row>
    <row r="460" spans="4:4">
      <c r="D460" s="170"/>
    </row>
    <row r="461" spans="4:4">
      <c r="D461" s="170"/>
    </row>
    <row r="462" spans="4:4">
      <c r="D462" s="170"/>
    </row>
    <row r="463" spans="4:4">
      <c r="D463" s="170"/>
    </row>
    <row r="464" spans="4:4">
      <c r="D464" s="170"/>
    </row>
    <row r="465" spans="4:4">
      <c r="D465" s="170"/>
    </row>
    <row r="466" spans="4:4">
      <c r="D466" s="170"/>
    </row>
    <row r="467" spans="4:4">
      <c r="D467" s="170"/>
    </row>
    <row r="468" spans="4:4">
      <c r="D468" s="170"/>
    </row>
    <row r="469" spans="4:4">
      <c r="D469" s="170"/>
    </row>
    <row r="470" spans="4:4">
      <c r="D470" s="170"/>
    </row>
    <row r="471" spans="4:4">
      <c r="D471" s="170"/>
    </row>
    <row r="472" spans="4:4">
      <c r="D472" s="170"/>
    </row>
    <row r="473" spans="4:4">
      <c r="D473" s="170"/>
    </row>
    <row r="474" spans="4:4">
      <c r="D474" s="170"/>
    </row>
    <row r="475" spans="4:4">
      <c r="D475" s="170"/>
    </row>
    <row r="476" spans="4:4">
      <c r="D476" s="170"/>
    </row>
    <row r="477" spans="4:4">
      <c r="D477" s="170"/>
    </row>
    <row r="478" spans="4:4">
      <c r="D478" s="170"/>
    </row>
    <row r="479" spans="4:4">
      <c r="D479" s="170"/>
    </row>
    <row r="480" spans="4:4">
      <c r="D480" s="170"/>
    </row>
    <row r="481" spans="4:4">
      <c r="D481" s="170"/>
    </row>
    <row r="482" spans="4:4">
      <c r="D482" s="170"/>
    </row>
    <row r="483" spans="4:4">
      <c r="D483" s="170"/>
    </row>
    <row r="484" spans="4:4">
      <c r="D484" s="170"/>
    </row>
    <row r="485" spans="4:4">
      <c r="D485" s="170"/>
    </row>
    <row r="486" spans="4:4">
      <c r="D486" s="170"/>
    </row>
    <row r="487" spans="4:4">
      <c r="D487" s="170"/>
    </row>
    <row r="488" spans="4:4">
      <c r="D488" s="170"/>
    </row>
    <row r="489" spans="4:4">
      <c r="D489" s="170"/>
    </row>
    <row r="490" spans="4:4">
      <c r="D490" s="170"/>
    </row>
    <row r="491" spans="4:4">
      <c r="D491" s="170"/>
    </row>
    <row r="492" spans="4:4">
      <c r="D492" s="170"/>
    </row>
    <row r="493" spans="4:4">
      <c r="D493" s="170"/>
    </row>
    <row r="494" spans="4:4">
      <c r="D494" s="170"/>
    </row>
    <row r="495" spans="4:4">
      <c r="D495" s="170"/>
    </row>
    <row r="496" spans="4:4">
      <c r="D496" s="170"/>
    </row>
    <row r="497" spans="4:4">
      <c r="D497" s="170"/>
    </row>
    <row r="498" spans="4:4">
      <c r="D498" s="170"/>
    </row>
    <row r="499" spans="4:4">
      <c r="D499" s="170"/>
    </row>
    <row r="500" spans="4:4">
      <c r="D500" s="170"/>
    </row>
    <row r="501" spans="4:4">
      <c r="D501" s="170"/>
    </row>
    <row r="502" spans="4:4">
      <c r="D502" s="170"/>
    </row>
    <row r="503" spans="4:4">
      <c r="D503" s="170"/>
    </row>
    <row r="504" spans="4:4">
      <c r="D504" s="170"/>
    </row>
    <row r="505" spans="4:4">
      <c r="D505" s="170"/>
    </row>
    <row r="506" spans="4:4">
      <c r="D506" s="170"/>
    </row>
    <row r="507" spans="4:4">
      <c r="D507" s="170"/>
    </row>
    <row r="508" spans="4:4">
      <c r="D508" s="170"/>
    </row>
    <row r="509" spans="4:4">
      <c r="D509" s="170"/>
    </row>
    <row r="510" spans="4:4">
      <c r="D510" s="170"/>
    </row>
    <row r="511" spans="4:4">
      <c r="D511" s="170"/>
    </row>
    <row r="512" spans="4:4">
      <c r="D512" s="170"/>
    </row>
    <row r="513" spans="4:4">
      <c r="D513" s="170"/>
    </row>
    <row r="514" spans="4:4">
      <c r="D514" s="170"/>
    </row>
    <row r="515" spans="4:4">
      <c r="D515" s="170"/>
    </row>
    <row r="516" spans="4:4">
      <c r="D516" s="170"/>
    </row>
    <row r="517" spans="4:4">
      <c r="D517" s="170"/>
    </row>
    <row r="518" spans="4:4">
      <c r="D518" s="170"/>
    </row>
    <row r="519" spans="4:4">
      <c r="D519" s="170"/>
    </row>
    <row r="520" spans="4:4">
      <c r="D520" s="170"/>
    </row>
    <row r="521" spans="4:4">
      <c r="D521" s="170"/>
    </row>
    <row r="522" spans="4:4">
      <c r="D522" s="170"/>
    </row>
    <row r="523" spans="4:4">
      <c r="D523" s="170"/>
    </row>
    <row r="524" spans="4:4">
      <c r="D524" s="170"/>
    </row>
    <row r="525" spans="4:4">
      <c r="D525" s="170"/>
    </row>
    <row r="526" spans="4:4">
      <c r="D526" s="170"/>
    </row>
    <row r="527" spans="4:4">
      <c r="D527" s="170"/>
    </row>
    <row r="528" spans="4:4">
      <c r="D528" s="170"/>
    </row>
    <row r="529" spans="4:4">
      <c r="D529" s="170"/>
    </row>
    <row r="530" spans="4:4">
      <c r="D530" s="170"/>
    </row>
    <row r="531" spans="4:4">
      <c r="D531" s="170"/>
    </row>
    <row r="532" spans="4:4">
      <c r="D532" s="170"/>
    </row>
    <row r="533" spans="4:4">
      <c r="D533" s="170"/>
    </row>
    <row r="534" spans="4:4">
      <c r="D534" s="170"/>
    </row>
    <row r="535" spans="4:4">
      <c r="D535" s="170"/>
    </row>
    <row r="536" spans="4:4">
      <c r="D536" s="170"/>
    </row>
    <row r="537" spans="4:4">
      <c r="D537" s="170"/>
    </row>
    <row r="538" spans="4:4">
      <c r="D538" s="170"/>
    </row>
    <row r="539" spans="4:4">
      <c r="D539" s="170"/>
    </row>
    <row r="540" spans="4:4">
      <c r="D540" s="170"/>
    </row>
    <row r="541" spans="4:4">
      <c r="D541" s="170"/>
    </row>
    <row r="542" spans="4:4">
      <c r="D542" s="170"/>
    </row>
    <row r="543" spans="4:4">
      <c r="D543" s="170"/>
    </row>
    <row r="544" spans="4:4">
      <c r="D544" s="170"/>
    </row>
    <row r="545" spans="4:4">
      <c r="D545" s="170"/>
    </row>
    <row r="546" spans="4:4">
      <c r="D546" s="170"/>
    </row>
    <row r="547" spans="4:4">
      <c r="D547" s="170"/>
    </row>
    <row r="548" spans="4:4">
      <c r="D548" s="170"/>
    </row>
    <row r="549" spans="4:4">
      <c r="D549" s="170"/>
    </row>
    <row r="550" spans="4:4">
      <c r="D550" s="170"/>
    </row>
    <row r="551" spans="4:4">
      <c r="D551" s="170"/>
    </row>
    <row r="552" spans="4:4">
      <c r="D552" s="170"/>
    </row>
    <row r="553" spans="4:4">
      <c r="D553" s="170"/>
    </row>
    <row r="554" spans="4:4">
      <c r="D554" s="170"/>
    </row>
    <row r="555" spans="4:4">
      <c r="D555" s="170"/>
    </row>
    <row r="556" spans="4:4">
      <c r="D556" s="170"/>
    </row>
    <row r="557" spans="4:4">
      <c r="D557" s="170"/>
    </row>
    <row r="558" spans="4:4">
      <c r="D558" s="170"/>
    </row>
    <row r="559" spans="4:4">
      <c r="D559" s="170"/>
    </row>
    <row r="560" spans="4:4">
      <c r="D560" s="170"/>
    </row>
    <row r="561" spans="4:4">
      <c r="D561" s="170"/>
    </row>
    <row r="562" spans="4:4">
      <c r="D562" s="170"/>
    </row>
    <row r="563" spans="4:4">
      <c r="D563" s="170"/>
    </row>
    <row r="564" spans="4:4">
      <c r="D564" s="170"/>
    </row>
    <row r="565" spans="4:4">
      <c r="D565" s="170"/>
    </row>
    <row r="566" spans="4:4">
      <c r="D566" s="170"/>
    </row>
    <row r="567" spans="4:4">
      <c r="D567" s="170"/>
    </row>
    <row r="568" spans="4:4">
      <c r="D568" s="170"/>
    </row>
    <row r="569" spans="4:4">
      <c r="D569" s="170"/>
    </row>
    <row r="570" spans="4:4">
      <c r="D570" s="170"/>
    </row>
    <row r="571" spans="4:4">
      <c r="D571" s="170"/>
    </row>
    <row r="572" spans="4:4">
      <c r="D572" s="170"/>
    </row>
    <row r="573" spans="4:4">
      <c r="D573" s="170"/>
    </row>
    <row r="574" spans="4:4">
      <c r="D574" s="170"/>
    </row>
    <row r="575" spans="4:4">
      <c r="D575" s="170"/>
    </row>
    <row r="576" spans="4:4">
      <c r="D576" s="170"/>
    </row>
    <row r="577" spans="4:4">
      <c r="D577" s="170"/>
    </row>
    <row r="578" spans="4:4">
      <c r="D578" s="170"/>
    </row>
    <row r="579" spans="4:4">
      <c r="D579" s="170"/>
    </row>
    <row r="580" spans="4:4">
      <c r="D580" s="170"/>
    </row>
    <row r="581" spans="4:4">
      <c r="D581" s="170"/>
    </row>
    <row r="582" spans="4:4">
      <c r="D582" s="170"/>
    </row>
    <row r="583" spans="4:4">
      <c r="D583" s="170"/>
    </row>
    <row r="584" spans="4:4">
      <c r="D584" s="170"/>
    </row>
    <row r="585" spans="4:4">
      <c r="D585" s="170"/>
    </row>
    <row r="586" spans="4:4">
      <c r="D586" s="170"/>
    </row>
    <row r="587" spans="4:4">
      <c r="D587" s="170"/>
    </row>
    <row r="588" spans="4:4">
      <c r="D588" s="170"/>
    </row>
    <row r="589" spans="4:4">
      <c r="D589" s="170"/>
    </row>
    <row r="590" spans="4:4">
      <c r="D590" s="170"/>
    </row>
    <row r="591" spans="4:4">
      <c r="D591" s="170"/>
    </row>
    <row r="592" spans="4:4">
      <c r="D592" s="170"/>
    </row>
    <row r="593" spans="4:4">
      <c r="D593" s="170"/>
    </row>
    <row r="594" spans="4:4">
      <c r="D594" s="170"/>
    </row>
    <row r="595" spans="4:4">
      <c r="D595" s="170"/>
    </row>
    <row r="596" spans="4:4">
      <c r="D596" s="170"/>
    </row>
    <row r="597" spans="4:4">
      <c r="D597" s="170"/>
    </row>
    <row r="598" spans="4:4">
      <c r="D598" s="170"/>
    </row>
    <row r="599" spans="4:4">
      <c r="D599" s="170"/>
    </row>
    <row r="600" spans="4:4">
      <c r="D600" s="170"/>
    </row>
    <row r="601" spans="4:4">
      <c r="D601" s="170"/>
    </row>
    <row r="602" spans="4:4">
      <c r="D602" s="170"/>
    </row>
    <row r="603" spans="4:4">
      <c r="D603" s="170"/>
    </row>
    <row r="604" spans="4:4">
      <c r="D604" s="170"/>
    </row>
    <row r="605" spans="4:4">
      <c r="D605" s="170"/>
    </row>
    <row r="606" spans="4:4">
      <c r="D606" s="170"/>
    </row>
    <row r="607" spans="4:4">
      <c r="D607" s="170"/>
    </row>
    <row r="608" spans="4:4">
      <c r="D608" s="170"/>
    </row>
    <row r="609" spans="4:4">
      <c r="D609" s="170"/>
    </row>
    <row r="610" spans="4:4">
      <c r="D610" s="170"/>
    </row>
    <row r="611" spans="4:4">
      <c r="D611" s="170"/>
    </row>
    <row r="612" spans="4:4">
      <c r="D612" s="170"/>
    </row>
    <row r="613" spans="4:4">
      <c r="D613" s="170"/>
    </row>
    <row r="614" spans="4:4">
      <c r="D614" s="170"/>
    </row>
    <row r="615" spans="4:4">
      <c r="D615" s="170"/>
    </row>
    <row r="616" spans="4:4">
      <c r="D616" s="170"/>
    </row>
    <row r="617" spans="4:4">
      <c r="D617" s="170"/>
    </row>
    <row r="618" spans="4:4">
      <c r="D618" s="170"/>
    </row>
    <row r="619" spans="4:4">
      <c r="D619" s="170"/>
    </row>
    <row r="620" spans="4:4">
      <c r="D620" s="170"/>
    </row>
    <row r="621" spans="4:4">
      <c r="D621" s="170"/>
    </row>
    <row r="622" spans="4:4">
      <c r="D622" s="170"/>
    </row>
    <row r="623" spans="4:4">
      <c r="D623" s="170"/>
    </row>
    <row r="624" spans="4:4">
      <c r="D624" s="170"/>
    </row>
    <row r="625" spans="4:4">
      <c r="D625" s="170"/>
    </row>
    <row r="626" spans="4:4">
      <c r="D626" s="170"/>
    </row>
    <row r="627" spans="4:4">
      <c r="D627" s="170"/>
    </row>
    <row r="628" spans="4:4">
      <c r="D628" s="170"/>
    </row>
    <row r="629" spans="4:4">
      <c r="D629" s="170"/>
    </row>
    <row r="630" spans="4:4">
      <c r="D630" s="170"/>
    </row>
    <row r="631" spans="4:4">
      <c r="D631" s="170"/>
    </row>
    <row r="632" spans="4:4">
      <c r="D632" s="170"/>
    </row>
    <row r="633" spans="4:4">
      <c r="D633" s="170"/>
    </row>
    <row r="634" spans="4:4">
      <c r="D634" s="170"/>
    </row>
    <row r="635" spans="4:4">
      <c r="D635" s="170"/>
    </row>
    <row r="636" spans="4:4">
      <c r="D636" s="170"/>
    </row>
    <row r="637" spans="4:4">
      <c r="D637" s="170"/>
    </row>
    <row r="638" spans="4:4">
      <c r="D638" s="170"/>
    </row>
    <row r="639" spans="4:4">
      <c r="D639" s="170"/>
    </row>
    <row r="640" spans="4:4">
      <c r="D640" s="170"/>
    </row>
    <row r="641" spans="4:4">
      <c r="D641" s="170"/>
    </row>
    <row r="642" spans="4:4">
      <c r="D642" s="170"/>
    </row>
    <row r="643" spans="4:4">
      <c r="D643" s="170"/>
    </row>
    <row r="644" spans="4:4">
      <c r="D644" s="170"/>
    </row>
    <row r="645" spans="4:4">
      <c r="D645" s="170"/>
    </row>
    <row r="646" spans="4:4">
      <c r="D646" s="170"/>
    </row>
    <row r="647" spans="4:4">
      <c r="D647" s="170"/>
    </row>
    <row r="648" spans="4:4">
      <c r="D648" s="170"/>
    </row>
    <row r="649" spans="4:4">
      <c r="D649" s="170"/>
    </row>
    <row r="650" spans="4:4">
      <c r="D650" s="170"/>
    </row>
    <row r="651" spans="4:4">
      <c r="D651" s="170"/>
    </row>
    <row r="652" spans="4:4">
      <c r="D652" s="170"/>
    </row>
    <row r="653" spans="4:4">
      <c r="D653" s="170"/>
    </row>
    <row r="654" spans="4:4">
      <c r="D654" s="170"/>
    </row>
    <row r="655" spans="4:4">
      <c r="D655" s="170"/>
    </row>
    <row r="656" spans="4:4">
      <c r="D656" s="170"/>
    </row>
    <row r="657" spans="4:4">
      <c r="D657" s="170"/>
    </row>
    <row r="658" spans="4:4">
      <c r="D658" s="170"/>
    </row>
    <row r="659" spans="4:4">
      <c r="D659" s="170"/>
    </row>
    <row r="660" spans="4:4">
      <c r="D660" s="170"/>
    </row>
    <row r="661" spans="4:4">
      <c r="D661" s="170"/>
    </row>
    <row r="662" spans="4:4">
      <c r="D662" s="170"/>
    </row>
    <row r="663" spans="4:4">
      <c r="D663" s="170"/>
    </row>
    <row r="664" spans="4:4">
      <c r="D664" s="170"/>
    </row>
    <row r="665" spans="4:4">
      <c r="D665" s="170"/>
    </row>
    <row r="666" spans="4:4">
      <c r="D666" s="170"/>
    </row>
    <row r="667" spans="4:4">
      <c r="D667" s="170"/>
    </row>
    <row r="668" spans="4:4">
      <c r="D668" s="170"/>
    </row>
    <row r="669" spans="4:4">
      <c r="D669" s="170"/>
    </row>
    <row r="670" spans="4:4">
      <c r="D670" s="170"/>
    </row>
    <row r="671" spans="4:4">
      <c r="D671" s="170"/>
    </row>
    <row r="672" spans="4:4">
      <c r="D672" s="170"/>
    </row>
    <row r="673" spans="4:4">
      <c r="D673" s="170"/>
    </row>
    <row r="674" spans="4:4">
      <c r="D674" s="170"/>
    </row>
    <row r="675" spans="4:4">
      <c r="D675" s="170"/>
    </row>
    <row r="676" spans="4:4">
      <c r="D676" s="170"/>
    </row>
    <row r="677" spans="4:4">
      <c r="D677" s="170"/>
    </row>
    <row r="678" spans="4:4">
      <c r="D678" s="170"/>
    </row>
    <row r="679" spans="4:4">
      <c r="D679" s="170"/>
    </row>
    <row r="680" spans="4:4">
      <c r="D680" s="170"/>
    </row>
    <row r="681" spans="4:4">
      <c r="D681" s="170"/>
    </row>
    <row r="682" spans="4:4">
      <c r="D682" s="170"/>
    </row>
    <row r="683" spans="4:4">
      <c r="D683" s="170"/>
    </row>
    <row r="684" spans="4:4">
      <c r="D684" s="170"/>
    </row>
    <row r="685" spans="4:4">
      <c r="D685" s="170"/>
    </row>
    <row r="686" spans="4:4">
      <c r="D686" s="170"/>
    </row>
    <row r="687" spans="4:4">
      <c r="D687" s="170"/>
    </row>
    <row r="688" spans="4:4">
      <c r="D688" s="170"/>
    </row>
    <row r="689" spans="4:4">
      <c r="D689" s="170"/>
    </row>
    <row r="690" spans="4:4">
      <c r="D690" s="170"/>
    </row>
    <row r="691" spans="4:4">
      <c r="D691" s="170"/>
    </row>
    <row r="692" spans="4:4">
      <c r="D692" s="170"/>
    </row>
    <row r="693" spans="4:4">
      <c r="D693" s="170"/>
    </row>
    <row r="694" spans="4:4">
      <c r="D694" s="170"/>
    </row>
    <row r="695" spans="4:4">
      <c r="D695" s="170"/>
    </row>
    <row r="696" spans="4:4">
      <c r="D696" s="170"/>
    </row>
    <row r="697" spans="4:4">
      <c r="D697" s="170"/>
    </row>
    <row r="698" spans="4:4">
      <c r="D698" s="170"/>
    </row>
    <row r="699" spans="4:4">
      <c r="D699" s="170"/>
    </row>
    <row r="700" spans="4:4">
      <c r="D700" s="170"/>
    </row>
    <row r="701" spans="4:4">
      <c r="D701" s="170"/>
    </row>
    <row r="702" spans="4:4">
      <c r="D702" s="170"/>
    </row>
    <row r="703" spans="4:4">
      <c r="D703" s="170"/>
    </row>
    <row r="704" spans="4:4">
      <c r="D704" s="170"/>
    </row>
    <row r="705" spans="4:4">
      <c r="D705" s="170"/>
    </row>
    <row r="706" spans="4:4">
      <c r="D706" s="170"/>
    </row>
    <row r="707" spans="4:4">
      <c r="D707" s="170"/>
    </row>
    <row r="708" spans="4:4">
      <c r="D708" s="170"/>
    </row>
    <row r="709" spans="4:4">
      <c r="D709" s="170"/>
    </row>
    <row r="710" spans="4:4">
      <c r="D710" s="170"/>
    </row>
    <row r="711" spans="4:4">
      <c r="D711" s="170"/>
    </row>
    <row r="712" spans="4:4">
      <c r="D712" s="170"/>
    </row>
    <row r="713" spans="4:4">
      <c r="D713" s="170"/>
    </row>
    <row r="714" spans="4:4">
      <c r="D714" s="170"/>
    </row>
    <row r="715" spans="4:4">
      <c r="D715" s="170"/>
    </row>
    <row r="716" spans="4:4">
      <c r="D716" s="170"/>
    </row>
    <row r="717" spans="4:4">
      <c r="D717" s="170"/>
    </row>
    <row r="718" spans="4:4">
      <c r="D718" s="170"/>
    </row>
    <row r="719" spans="4:4">
      <c r="D719" s="170"/>
    </row>
    <row r="720" spans="4:4">
      <c r="D720" s="170"/>
    </row>
    <row r="721" spans="4:4">
      <c r="D721" s="170"/>
    </row>
    <row r="722" spans="4:4">
      <c r="D722" s="170"/>
    </row>
    <row r="723" spans="4:4">
      <c r="D723" s="170"/>
    </row>
    <row r="724" spans="4:4">
      <c r="D724" s="170"/>
    </row>
    <row r="725" spans="4:4">
      <c r="D725" s="170"/>
    </row>
    <row r="726" spans="4:4">
      <c r="D726" s="170"/>
    </row>
    <row r="727" spans="4:4">
      <c r="D727" s="170"/>
    </row>
    <row r="728" spans="4:4">
      <c r="D728" s="170"/>
    </row>
    <row r="729" spans="4:4">
      <c r="D729" s="170"/>
    </row>
    <row r="730" spans="4:4">
      <c r="D730" s="170"/>
    </row>
    <row r="731" spans="4:4">
      <c r="D731" s="170"/>
    </row>
    <row r="732" spans="4:4">
      <c r="D732" s="170"/>
    </row>
    <row r="733" spans="4:4">
      <c r="D733" s="170"/>
    </row>
    <row r="734" spans="4:4">
      <c r="D734" s="170"/>
    </row>
    <row r="735" spans="4:4">
      <c r="D735" s="170"/>
    </row>
    <row r="736" spans="4:4">
      <c r="D736" s="170"/>
    </row>
    <row r="737" spans="4:4">
      <c r="D737" s="170"/>
    </row>
    <row r="738" spans="4:4">
      <c r="D738" s="170"/>
    </row>
    <row r="739" spans="4:4">
      <c r="D739" s="170"/>
    </row>
    <row r="740" spans="4:4">
      <c r="D740" s="170"/>
    </row>
    <row r="741" spans="4:4">
      <c r="D741" s="170"/>
    </row>
    <row r="742" spans="4:4">
      <c r="D742" s="170"/>
    </row>
    <row r="743" spans="4:4">
      <c r="D743" s="170"/>
    </row>
    <row r="744" spans="4:4">
      <c r="D744" s="170"/>
    </row>
    <row r="745" spans="4:4">
      <c r="D745" s="170"/>
    </row>
    <row r="746" spans="4:4">
      <c r="D746" s="170"/>
    </row>
    <row r="747" spans="4:4">
      <c r="D747" s="170"/>
    </row>
    <row r="748" spans="4:4">
      <c r="D748" s="170"/>
    </row>
    <row r="749" spans="4:4">
      <c r="D749" s="170"/>
    </row>
    <row r="750" spans="4:4">
      <c r="D750" s="170"/>
    </row>
    <row r="751" spans="4:4">
      <c r="D751" s="170"/>
    </row>
    <row r="752" spans="4:4">
      <c r="D752" s="170"/>
    </row>
    <row r="753" spans="4:4">
      <c r="D753" s="170"/>
    </row>
    <row r="754" spans="4:4">
      <c r="D754" s="170"/>
    </row>
    <row r="755" spans="4:4">
      <c r="D755" s="170"/>
    </row>
    <row r="756" spans="4:4">
      <c r="D756" s="170"/>
    </row>
    <row r="757" spans="4:4">
      <c r="D757" s="170"/>
    </row>
    <row r="758" spans="4:4">
      <c r="D758" s="170"/>
    </row>
    <row r="759" spans="4:4">
      <c r="D759" s="170"/>
    </row>
    <row r="760" spans="4:4">
      <c r="D760" s="170"/>
    </row>
    <row r="761" spans="4:4">
      <c r="D761" s="170"/>
    </row>
    <row r="762" spans="4:4">
      <c r="D762" s="170"/>
    </row>
    <row r="763" spans="4:4">
      <c r="D763" s="170"/>
    </row>
    <row r="764" spans="4:4">
      <c r="D764" s="170"/>
    </row>
    <row r="765" spans="4:4">
      <c r="D765" s="170"/>
    </row>
    <row r="766" spans="4:4">
      <c r="D766" s="170"/>
    </row>
    <row r="767" spans="4:4">
      <c r="D767" s="170"/>
    </row>
    <row r="768" spans="4:4">
      <c r="D768" s="170"/>
    </row>
    <row r="769" spans="4:4">
      <c r="D769" s="170"/>
    </row>
    <row r="770" spans="4:4">
      <c r="D770" s="170"/>
    </row>
    <row r="771" spans="4:4">
      <c r="D771" s="170"/>
    </row>
    <row r="772" spans="4:4">
      <c r="D772" s="170"/>
    </row>
    <row r="773" spans="4:4">
      <c r="D773" s="170"/>
    </row>
    <row r="774" spans="4:4">
      <c r="D774" s="170"/>
    </row>
    <row r="775" spans="4:4">
      <c r="D775" s="170"/>
    </row>
    <row r="776" spans="4:4">
      <c r="D776" s="170"/>
    </row>
    <row r="777" spans="4:4">
      <c r="D777" s="170"/>
    </row>
    <row r="778" spans="4:4">
      <c r="D778" s="170"/>
    </row>
  </sheetData>
  <printOptions horizontalCentered="1" verticalCentered="1"/>
  <pageMargins left="0" right="0" top="0" bottom="0" header="0" footer="0"/>
  <pageSetup paperSize="9" scale="51"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290"/>
  <sheetViews>
    <sheetView showGridLines="0" zoomScaleNormal="100" workbookViewId="0">
      <selection activeCell="EB21" sqref="EB21"/>
    </sheetView>
  </sheetViews>
  <sheetFormatPr defaultRowHeight="15"/>
  <cols>
    <col min="1" max="1" width="18.42578125" style="2446" customWidth="1"/>
    <col min="2" max="2" width="9.5703125" style="2498" hidden="1" customWidth="1"/>
    <col min="3" max="37" width="9.140625" style="2446" hidden="1" customWidth="1"/>
    <col min="38" max="38" width="9.7109375" style="2446" hidden="1" customWidth="1"/>
    <col min="39" max="39" width="10.140625" style="2446" hidden="1" customWidth="1"/>
    <col min="40" max="41" width="9.28515625" style="2446" hidden="1" customWidth="1"/>
    <col min="42" max="42" width="9.85546875" style="2446" hidden="1" customWidth="1"/>
    <col min="43" max="43" width="9.140625" style="2446" hidden="1" customWidth="1"/>
    <col min="44" max="44" width="7.7109375" style="2446" hidden="1" customWidth="1"/>
    <col min="45" max="45" width="9.85546875" style="2446" hidden="1" customWidth="1"/>
    <col min="46" max="46" width="9.7109375" style="2446" hidden="1" customWidth="1"/>
    <col min="47" max="47" width="9.42578125" style="2446" hidden="1" customWidth="1"/>
    <col min="48" max="48" width="10" style="2446" hidden="1" customWidth="1"/>
    <col min="49" max="49" width="10.28515625" style="2446" hidden="1" customWidth="1"/>
    <col min="50" max="50" width="10" style="2446" hidden="1" customWidth="1"/>
    <col min="51" max="51" width="10.5703125" style="2446" hidden="1" customWidth="1"/>
    <col min="52" max="52" width="9.5703125" style="2446" hidden="1" customWidth="1"/>
    <col min="53" max="53" width="9.42578125" style="2446" hidden="1" customWidth="1"/>
    <col min="54" max="54" width="10.140625" style="2446" hidden="1" customWidth="1"/>
    <col min="55" max="55" width="10" style="2446" hidden="1" customWidth="1"/>
    <col min="56" max="56" width="9.85546875" style="2446" hidden="1" customWidth="1"/>
    <col min="57" max="57" width="10.28515625" style="2446" hidden="1" customWidth="1"/>
    <col min="58" max="58" width="10" style="2446" hidden="1" customWidth="1"/>
    <col min="59" max="59" width="9.42578125" style="2446" hidden="1" customWidth="1"/>
    <col min="60" max="60" width="10" style="2446" hidden="1" customWidth="1"/>
    <col min="61" max="61" width="10.140625" style="2446" hidden="1" customWidth="1"/>
    <col min="62" max="62" width="9.85546875" style="2446" hidden="1" customWidth="1"/>
    <col min="63" max="63" width="10.28515625" style="2446" hidden="1" customWidth="1"/>
    <col min="64" max="65" width="9.42578125" style="2446" hidden="1" customWidth="1"/>
    <col min="66" max="66" width="10" style="2446" hidden="1" customWidth="1"/>
    <col min="67" max="67" width="9.85546875" style="2446" hidden="1" customWidth="1"/>
    <col min="68" max="68" width="9.5703125" style="2446" hidden="1" customWidth="1"/>
    <col min="69" max="69" width="9.85546875" style="2446" hidden="1" customWidth="1"/>
    <col min="70" max="70" width="9.7109375" style="2446" hidden="1" customWidth="1"/>
    <col min="71" max="94" width="9.140625" style="2446" hidden="1" customWidth="1"/>
    <col min="95" max="95" width="6.5703125" style="2446" hidden="1" customWidth="1"/>
    <col min="96" max="106" width="7.42578125" style="2446" hidden="1" customWidth="1"/>
    <col min="107" max="114" width="9.140625" style="2446" hidden="1" customWidth="1"/>
    <col min="115" max="130" width="0" style="2446" hidden="1" customWidth="1"/>
    <col min="131" max="256" width="9.140625" style="2446"/>
    <col min="257" max="257" width="18.42578125" style="2446" customWidth="1"/>
    <col min="258" max="381" width="0" style="2446" hidden="1" customWidth="1"/>
    <col min="382" max="512" width="9.140625" style="2446"/>
    <col min="513" max="513" width="18.42578125" style="2446" customWidth="1"/>
    <col min="514" max="637" width="0" style="2446" hidden="1" customWidth="1"/>
    <col min="638" max="768" width="9.140625" style="2446"/>
    <col min="769" max="769" width="18.42578125" style="2446" customWidth="1"/>
    <col min="770" max="893" width="0" style="2446" hidden="1" customWidth="1"/>
    <col min="894" max="1024" width="9.140625" style="2446"/>
    <col min="1025" max="1025" width="18.42578125" style="2446" customWidth="1"/>
    <col min="1026" max="1149" width="0" style="2446" hidden="1" customWidth="1"/>
    <col min="1150" max="1280" width="9.140625" style="2446"/>
    <col min="1281" max="1281" width="18.42578125" style="2446" customWidth="1"/>
    <col min="1282" max="1405" width="0" style="2446" hidden="1" customWidth="1"/>
    <col min="1406" max="1536" width="9.140625" style="2446"/>
    <col min="1537" max="1537" width="18.42578125" style="2446" customWidth="1"/>
    <col min="1538" max="1661" width="0" style="2446" hidden="1" customWidth="1"/>
    <col min="1662" max="1792" width="9.140625" style="2446"/>
    <col min="1793" max="1793" width="18.42578125" style="2446" customWidth="1"/>
    <col min="1794" max="1917" width="0" style="2446" hidden="1" customWidth="1"/>
    <col min="1918" max="2048" width="9.140625" style="2446"/>
    <col min="2049" max="2049" width="18.42578125" style="2446" customWidth="1"/>
    <col min="2050" max="2173" width="0" style="2446" hidden="1" customWidth="1"/>
    <col min="2174" max="2304" width="9.140625" style="2446"/>
    <col min="2305" max="2305" width="18.42578125" style="2446" customWidth="1"/>
    <col min="2306" max="2429" width="0" style="2446" hidden="1" customWidth="1"/>
    <col min="2430" max="2560" width="9.140625" style="2446"/>
    <col min="2561" max="2561" width="18.42578125" style="2446" customWidth="1"/>
    <col min="2562" max="2685" width="0" style="2446" hidden="1" customWidth="1"/>
    <col min="2686" max="2816" width="9.140625" style="2446"/>
    <col min="2817" max="2817" width="18.42578125" style="2446" customWidth="1"/>
    <col min="2818" max="2941" width="0" style="2446" hidden="1" customWidth="1"/>
    <col min="2942" max="3072" width="9.140625" style="2446"/>
    <col min="3073" max="3073" width="18.42578125" style="2446" customWidth="1"/>
    <col min="3074" max="3197" width="0" style="2446" hidden="1" customWidth="1"/>
    <col min="3198" max="3328" width="9.140625" style="2446"/>
    <col min="3329" max="3329" width="18.42578125" style="2446" customWidth="1"/>
    <col min="3330" max="3453" width="0" style="2446" hidden="1" customWidth="1"/>
    <col min="3454" max="3584" width="9.140625" style="2446"/>
    <col min="3585" max="3585" width="18.42578125" style="2446" customWidth="1"/>
    <col min="3586" max="3709" width="0" style="2446" hidden="1" customWidth="1"/>
    <col min="3710" max="3840" width="9.140625" style="2446"/>
    <col min="3841" max="3841" width="18.42578125" style="2446" customWidth="1"/>
    <col min="3842" max="3965" width="0" style="2446" hidden="1" customWidth="1"/>
    <col min="3966" max="4096" width="9.140625" style="2446"/>
    <col min="4097" max="4097" width="18.42578125" style="2446" customWidth="1"/>
    <col min="4098" max="4221" width="0" style="2446" hidden="1" customWidth="1"/>
    <col min="4222" max="4352" width="9.140625" style="2446"/>
    <col min="4353" max="4353" width="18.42578125" style="2446" customWidth="1"/>
    <col min="4354" max="4477" width="0" style="2446" hidden="1" customWidth="1"/>
    <col min="4478" max="4608" width="9.140625" style="2446"/>
    <col min="4609" max="4609" width="18.42578125" style="2446" customWidth="1"/>
    <col min="4610" max="4733" width="0" style="2446" hidden="1" customWidth="1"/>
    <col min="4734" max="4864" width="9.140625" style="2446"/>
    <col min="4865" max="4865" width="18.42578125" style="2446" customWidth="1"/>
    <col min="4866" max="4989" width="0" style="2446" hidden="1" customWidth="1"/>
    <col min="4990" max="5120" width="9.140625" style="2446"/>
    <col min="5121" max="5121" width="18.42578125" style="2446" customWidth="1"/>
    <col min="5122" max="5245" width="0" style="2446" hidden="1" customWidth="1"/>
    <col min="5246" max="5376" width="9.140625" style="2446"/>
    <col min="5377" max="5377" width="18.42578125" style="2446" customWidth="1"/>
    <col min="5378" max="5501" width="0" style="2446" hidden="1" customWidth="1"/>
    <col min="5502" max="5632" width="9.140625" style="2446"/>
    <col min="5633" max="5633" width="18.42578125" style="2446" customWidth="1"/>
    <col min="5634" max="5757" width="0" style="2446" hidden="1" customWidth="1"/>
    <col min="5758" max="5888" width="9.140625" style="2446"/>
    <col min="5889" max="5889" width="18.42578125" style="2446" customWidth="1"/>
    <col min="5890" max="6013" width="0" style="2446" hidden="1" customWidth="1"/>
    <col min="6014" max="6144" width="9.140625" style="2446"/>
    <col min="6145" max="6145" width="18.42578125" style="2446" customWidth="1"/>
    <col min="6146" max="6269" width="0" style="2446" hidden="1" customWidth="1"/>
    <col min="6270" max="6400" width="9.140625" style="2446"/>
    <col min="6401" max="6401" width="18.42578125" style="2446" customWidth="1"/>
    <col min="6402" max="6525" width="0" style="2446" hidden="1" customWidth="1"/>
    <col min="6526" max="6656" width="9.140625" style="2446"/>
    <col min="6657" max="6657" width="18.42578125" style="2446" customWidth="1"/>
    <col min="6658" max="6781" width="0" style="2446" hidden="1" customWidth="1"/>
    <col min="6782" max="6912" width="9.140625" style="2446"/>
    <col min="6913" max="6913" width="18.42578125" style="2446" customWidth="1"/>
    <col min="6914" max="7037" width="0" style="2446" hidden="1" customWidth="1"/>
    <col min="7038" max="7168" width="9.140625" style="2446"/>
    <col min="7169" max="7169" width="18.42578125" style="2446" customWidth="1"/>
    <col min="7170" max="7293" width="0" style="2446" hidden="1" customWidth="1"/>
    <col min="7294" max="7424" width="9.140625" style="2446"/>
    <col min="7425" max="7425" width="18.42578125" style="2446" customWidth="1"/>
    <col min="7426" max="7549" width="0" style="2446" hidden="1" customWidth="1"/>
    <col min="7550" max="7680" width="9.140625" style="2446"/>
    <col min="7681" max="7681" width="18.42578125" style="2446" customWidth="1"/>
    <col min="7682" max="7805" width="0" style="2446" hidden="1" customWidth="1"/>
    <col min="7806" max="7936" width="9.140625" style="2446"/>
    <col min="7937" max="7937" width="18.42578125" style="2446" customWidth="1"/>
    <col min="7938" max="8061" width="0" style="2446" hidden="1" customWidth="1"/>
    <col min="8062" max="8192" width="9.140625" style="2446"/>
    <col min="8193" max="8193" width="18.42578125" style="2446" customWidth="1"/>
    <col min="8194" max="8317" width="0" style="2446" hidden="1" customWidth="1"/>
    <col min="8318" max="8448" width="9.140625" style="2446"/>
    <col min="8449" max="8449" width="18.42578125" style="2446" customWidth="1"/>
    <col min="8450" max="8573" width="0" style="2446" hidden="1" customWidth="1"/>
    <col min="8574" max="8704" width="9.140625" style="2446"/>
    <col min="8705" max="8705" width="18.42578125" style="2446" customWidth="1"/>
    <col min="8706" max="8829" width="0" style="2446" hidden="1" customWidth="1"/>
    <col min="8830" max="8960" width="9.140625" style="2446"/>
    <col min="8961" max="8961" width="18.42578125" style="2446" customWidth="1"/>
    <col min="8962" max="9085" width="0" style="2446" hidden="1" customWidth="1"/>
    <col min="9086" max="9216" width="9.140625" style="2446"/>
    <col min="9217" max="9217" width="18.42578125" style="2446" customWidth="1"/>
    <col min="9218" max="9341" width="0" style="2446" hidden="1" customWidth="1"/>
    <col min="9342" max="9472" width="9.140625" style="2446"/>
    <col min="9473" max="9473" width="18.42578125" style="2446" customWidth="1"/>
    <col min="9474" max="9597" width="0" style="2446" hidden="1" customWidth="1"/>
    <col min="9598" max="9728" width="9.140625" style="2446"/>
    <col min="9729" max="9729" width="18.42578125" style="2446" customWidth="1"/>
    <col min="9730" max="9853" width="0" style="2446" hidden="1" customWidth="1"/>
    <col min="9854" max="9984" width="9.140625" style="2446"/>
    <col min="9985" max="9985" width="18.42578125" style="2446" customWidth="1"/>
    <col min="9986" max="10109" width="0" style="2446" hidden="1" customWidth="1"/>
    <col min="10110" max="10240" width="9.140625" style="2446"/>
    <col min="10241" max="10241" width="18.42578125" style="2446" customWidth="1"/>
    <col min="10242" max="10365" width="0" style="2446" hidden="1" customWidth="1"/>
    <col min="10366" max="10496" width="9.140625" style="2446"/>
    <col min="10497" max="10497" width="18.42578125" style="2446" customWidth="1"/>
    <col min="10498" max="10621" width="0" style="2446" hidden="1" customWidth="1"/>
    <col min="10622" max="10752" width="9.140625" style="2446"/>
    <col min="10753" max="10753" width="18.42578125" style="2446" customWidth="1"/>
    <col min="10754" max="10877" width="0" style="2446" hidden="1" customWidth="1"/>
    <col min="10878" max="11008" width="9.140625" style="2446"/>
    <col min="11009" max="11009" width="18.42578125" style="2446" customWidth="1"/>
    <col min="11010" max="11133" width="0" style="2446" hidden="1" customWidth="1"/>
    <col min="11134" max="11264" width="9.140625" style="2446"/>
    <col min="11265" max="11265" width="18.42578125" style="2446" customWidth="1"/>
    <col min="11266" max="11389" width="0" style="2446" hidden="1" customWidth="1"/>
    <col min="11390" max="11520" width="9.140625" style="2446"/>
    <col min="11521" max="11521" width="18.42578125" style="2446" customWidth="1"/>
    <col min="11522" max="11645" width="0" style="2446" hidden="1" customWidth="1"/>
    <col min="11646" max="11776" width="9.140625" style="2446"/>
    <col min="11777" max="11777" width="18.42578125" style="2446" customWidth="1"/>
    <col min="11778" max="11901" width="0" style="2446" hidden="1" customWidth="1"/>
    <col min="11902" max="12032" width="9.140625" style="2446"/>
    <col min="12033" max="12033" width="18.42578125" style="2446" customWidth="1"/>
    <col min="12034" max="12157" width="0" style="2446" hidden="1" customWidth="1"/>
    <col min="12158" max="12288" width="9.140625" style="2446"/>
    <col min="12289" max="12289" width="18.42578125" style="2446" customWidth="1"/>
    <col min="12290" max="12413" width="0" style="2446" hidden="1" customWidth="1"/>
    <col min="12414" max="12544" width="9.140625" style="2446"/>
    <col min="12545" max="12545" width="18.42578125" style="2446" customWidth="1"/>
    <col min="12546" max="12669" width="0" style="2446" hidden="1" customWidth="1"/>
    <col min="12670" max="12800" width="9.140625" style="2446"/>
    <col min="12801" max="12801" width="18.42578125" style="2446" customWidth="1"/>
    <col min="12802" max="12925" width="0" style="2446" hidden="1" customWidth="1"/>
    <col min="12926" max="13056" width="9.140625" style="2446"/>
    <col min="13057" max="13057" width="18.42578125" style="2446" customWidth="1"/>
    <col min="13058" max="13181" width="0" style="2446" hidden="1" customWidth="1"/>
    <col min="13182" max="13312" width="9.140625" style="2446"/>
    <col min="13313" max="13313" width="18.42578125" style="2446" customWidth="1"/>
    <col min="13314" max="13437" width="0" style="2446" hidden="1" customWidth="1"/>
    <col min="13438" max="13568" width="9.140625" style="2446"/>
    <col min="13569" max="13569" width="18.42578125" style="2446" customWidth="1"/>
    <col min="13570" max="13693" width="0" style="2446" hidden="1" customWidth="1"/>
    <col min="13694" max="13824" width="9.140625" style="2446"/>
    <col min="13825" max="13825" width="18.42578125" style="2446" customWidth="1"/>
    <col min="13826" max="13949" width="0" style="2446" hidden="1" customWidth="1"/>
    <col min="13950" max="14080" width="9.140625" style="2446"/>
    <col min="14081" max="14081" width="18.42578125" style="2446" customWidth="1"/>
    <col min="14082" max="14205" width="0" style="2446" hidden="1" customWidth="1"/>
    <col min="14206" max="14336" width="9.140625" style="2446"/>
    <col min="14337" max="14337" width="18.42578125" style="2446" customWidth="1"/>
    <col min="14338" max="14461" width="0" style="2446" hidden="1" customWidth="1"/>
    <col min="14462" max="14592" width="9.140625" style="2446"/>
    <col min="14593" max="14593" width="18.42578125" style="2446" customWidth="1"/>
    <col min="14594" max="14717" width="0" style="2446" hidden="1" customWidth="1"/>
    <col min="14718" max="14848" width="9.140625" style="2446"/>
    <col min="14849" max="14849" width="18.42578125" style="2446" customWidth="1"/>
    <col min="14850" max="14973" width="0" style="2446" hidden="1" customWidth="1"/>
    <col min="14974" max="15104" width="9.140625" style="2446"/>
    <col min="15105" max="15105" width="18.42578125" style="2446" customWidth="1"/>
    <col min="15106" max="15229" width="0" style="2446" hidden="1" customWidth="1"/>
    <col min="15230" max="15360" width="9.140625" style="2446"/>
    <col min="15361" max="15361" width="18.42578125" style="2446" customWidth="1"/>
    <col min="15362" max="15485" width="0" style="2446" hidden="1" customWidth="1"/>
    <col min="15486" max="15616" width="9.140625" style="2446"/>
    <col min="15617" max="15617" width="18.42578125" style="2446" customWidth="1"/>
    <col min="15618" max="15741" width="0" style="2446" hidden="1" customWidth="1"/>
    <col min="15742" max="15872" width="9.140625" style="2446"/>
    <col min="15873" max="15873" width="18.42578125" style="2446" customWidth="1"/>
    <col min="15874" max="15997" width="0" style="2446" hidden="1" customWidth="1"/>
    <col min="15998" max="16128" width="9.140625" style="2446"/>
    <col min="16129" max="16129" width="18.42578125" style="2446" customWidth="1"/>
    <col min="16130" max="16253" width="0" style="2446" hidden="1" customWidth="1"/>
    <col min="16254" max="16384" width="9.140625" style="2446"/>
  </cols>
  <sheetData>
    <row r="1" spans="1:143" ht="19.899999999999999" customHeight="1">
      <c r="A1" s="2444" t="s">
        <v>3632</v>
      </c>
      <c r="B1" s="2445"/>
    </row>
    <row r="2" spans="1:143" ht="12.75" customHeight="1" thickBot="1">
      <c r="B2" s="2447"/>
    </row>
    <row r="3" spans="1:143" ht="12.75" customHeight="1" thickTop="1" thickBot="1">
      <c r="B3" s="2445"/>
    </row>
    <row r="4" spans="1:143">
      <c r="A4" s="2448" t="s">
        <v>3633</v>
      </c>
      <c r="B4" s="2449">
        <v>37258</v>
      </c>
      <c r="C4" s="2450">
        <v>37348</v>
      </c>
      <c r="D4" s="2450">
        <v>37378</v>
      </c>
      <c r="E4" s="2450">
        <v>37409</v>
      </c>
      <c r="F4" s="2450">
        <v>37439</v>
      </c>
      <c r="G4" s="2450">
        <v>37470</v>
      </c>
      <c r="H4" s="2450">
        <v>37501</v>
      </c>
      <c r="I4" s="2450">
        <v>37531</v>
      </c>
      <c r="J4" s="2450">
        <v>37562</v>
      </c>
      <c r="K4" s="2450">
        <v>37592</v>
      </c>
      <c r="L4" s="2450">
        <v>37623</v>
      </c>
      <c r="M4" s="2450">
        <v>37654</v>
      </c>
      <c r="N4" s="2450">
        <v>37682</v>
      </c>
      <c r="O4" s="2450">
        <v>37713</v>
      </c>
      <c r="P4" s="2450">
        <v>37743</v>
      </c>
      <c r="Q4" s="2450">
        <v>37774</v>
      </c>
      <c r="R4" s="2450">
        <v>37804</v>
      </c>
      <c r="S4" s="2450">
        <v>37835</v>
      </c>
      <c r="T4" s="2450">
        <v>37866</v>
      </c>
      <c r="U4" s="2450">
        <v>37896</v>
      </c>
      <c r="V4" s="2450">
        <v>37927</v>
      </c>
      <c r="W4" s="2450">
        <v>37957</v>
      </c>
      <c r="X4" s="2451">
        <v>37988</v>
      </c>
      <c r="Y4" s="2451">
        <v>38019</v>
      </c>
      <c r="Z4" s="2451">
        <v>38048</v>
      </c>
      <c r="AA4" s="2451">
        <v>38079</v>
      </c>
      <c r="AB4" s="2451">
        <v>38109</v>
      </c>
      <c r="AC4" s="2452">
        <v>38140</v>
      </c>
      <c r="AD4" s="2453">
        <v>38170</v>
      </c>
      <c r="AE4" s="2453">
        <v>38201</v>
      </c>
      <c r="AF4" s="2453">
        <v>38232</v>
      </c>
      <c r="AG4" s="2453">
        <v>38262</v>
      </c>
      <c r="AH4" s="2453">
        <v>38293</v>
      </c>
      <c r="AI4" s="2453">
        <v>38323</v>
      </c>
      <c r="AJ4" s="2453">
        <v>38354</v>
      </c>
      <c r="AK4" s="2453">
        <v>38413</v>
      </c>
      <c r="AL4" s="2454">
        <v>38444</v>
      </c>
      <c r="AM4" s="2453">
        <v>38474</v>
      </c>
      <c r="AN4" s="2453">
        <v>38505</v>
      </c>
      <c r="AO4" s="2453">
        <v>38535</v>
      </c>
      <c r="AP4" s="2453">
        <v>38565</v>
      </c>
      <c r="AQ4" s="2455">
        <v>38596</v>
      </c>
      <c r="AR4" s="2453">
        <v>38626</v>
      </c>
      <c r="AS4" s="2455">
        <v>38657</v>
      </c>
      <c r="AT4" s="2454">
        <v>38687</v>
      </c>
      <c r="AU4" s="2454">
        <v>38718</v>
      </c>
      <c r="AV4" s="2453">
        <v>38749</v>
      </c>
      <c r="AW4" s="2456">
        <v>38777</v>
      </c>
      <c r="AX4" s="2455">
        <v>38808</v>
      </c>
      <c r="AY4" s="2454">
        <v>38838</v>
      </c>
      <c r="AZ4" s="2453">
        <v>38869</v>
      </c>
      <c r="BA4" s="2455">
        <v>38899</v>
      </c>
      <c r="BB4" s="2454">
        <v>38930</v>
      </c>
      <c r="BC4" s="2453">
        <v>38961</v>
      </c>
      <c r="BD4" s="2455">
        <v>38991</v>
      </c>
      <c r="BE4" s="2454">
        <v>39022</v>
      </c>
      <c r="BF4" s="2454">
        <v>39052</v>
      </c>
      <c r="BG4" s="2454">
        <v>39083</v>
      </c>
      <c r="BH4" s="2454">
        <v>39114</v>
      </c>
      <c r="BI4" s="2454">
        <v>39142</v>
      </c>
      <c r="BJ4" s="2454">
        <v>39173</v>
      </c>
      <c r="BK4" s="2454">
        <v>39203</v>
      </c>
      <c r="BL4" s="2454">
        <v>39234</v>
      </c>
      <c r="BM4" s="2454">
        <v>39264</v>
      </c>
      <c r="BN4" s="2453">
        <v>39295</v>
      </c>
      <c r="BO4" s="2453">
        <v>39326</v>
      </c>
      <c r="BP4" s="2453">
        <v>39356</v>
      </c>
      <c r="BQ4" s="2453">
        <v>39387</v>
      </c>
      <c r="BR4" s="2453">
        <v>39417</v>
      </c>
      <c r="BS4" s="2453">
        <v>39448</v>
      </c>
      <c r="BT4" s="2453">
        <v>39479</v>
      </c>
      <c r="BU4" s="2454">
        <v>39508</v>
      </c>
      <c r="BV4" s="2454">
        <v>39539</v>
      </c>
      <c r="BW4" s="2454">
        <v>39569</v>
      </c>
      <c r="BX4" s="2454">
        <v>39600</v>
      </c>
      <c r="BY4" s="2454">
        <v>39630</v>
      </c>
      <c r="BZ4" s="2453">
        <v>39661</v>
      </c>
      <c r="CA4" s="2453">
        <v>39692</v>
      </c>
      <c r="CB4" s="2453">
        <v>39722</v>
      </c>
      <c r="CC4" s="2453">
        <v>39753</v>
      </c>
      <c r="CD4" s="2453">
        <v>39783</v>
      </c>
      <c r="CE4" s="2453">
        <v>39814</v>
      </c>
      <c r="CF4" s="2453">
        <v>39845</v>
      </c>
      <c r="CG4" s="2453">
        <v>39873</v>
      </c>
      <c r="CH4" s="2453">
        <v>39904</v>
      </c>
      <c r="CI4" s="2457">
        <v>39934</v>
      </c>
      <c r="CJ4" s="2457">
        <v>39965</v>
      </c>
      <c r="CK4" s="2457">
        <v>39995</v>
      </c>
      <c r="CL4" s="2451">
        <v>40026</v>
      </c>
      <c r="CM4" s="2451">
        <v>40057</v>
      </c>
      <c r="CN4" s="2451">
        <v>40087</v>
      </c>
      <c r="CO4" s="2451">
        <v>40118</v>
      </c>
      <c r="CP4" s="2451">
        <v>40299</v>
      </c>
      <c r="CQ4" s="2451">
        <v>40360</v>
      </c>
      <c r="CR4" s="2451">
        <v>40391</v>
      </c>
      <c r="CS4" s="2451">
        <v>40422</v>
      </c>
      <c r="CT4" s="2451">
        <v>40452</v>
      </c>
      <c r="CU4" s="2451">
        <v>40483</v>
      </c>
      <c r="CV4" s="2451">
        <v>40513</v>
      </c>
      <c r="CW4" s="2451">
        <v>40544</v>
      </c>
      <c r="CX4" s="2451">
        <v>40575</v>
      </c>
      <c r="CY4" s="2451">
        <v>40603</v>
      </c>
      <c r="CZ4" s="2451">
        <v>40634</v>
      </c>
      <c r="DA4" s="2451">
        <v>40664</v>
      </c>
      <c r="DB4" s="2451">
        <v>40695</v>
      </c>
      <c r="DC4" s="2451">
        <v>40725</v>
      </c>
      <c r="DD4" s="2451">
        <v>40756</v>
      </c>
      <c r="DE4" s="2451">
        <v>40787</v>
      </c>
      <c r="DF4" s="2451">
        <v>40817</v>
      </c>
      <c r="DG4" s="2451">
        <v>40848</v>
      </c>
      <c r="DH4" s="2451">
        <v>40878</v>
      </c>
      <c r="DI4" s="2451">
        <v>40909</v>
      </c>
      <c r="DJ4" s="2451">
        <v>40940</v>
      </c>
      <c r="DK4" s="2451">
        <v>40969</v>
      </c>
      <c r="DL4" s="2451">
        <v>41000</v>
      </c>
      <c r="DM4" s="2451">
        <v>41030</v>
      </c>
      <c r="DN4" s="2451">
        <v>41061</v>
      </c>
      <c r="DO4" s="2451">
        <v>41091</v>
      </c>
      <c r="DP4" s="2451">
        <v>41122</v>
      </c>
      <c r="DQ4" s="2451">
        <v>41153</v>
      </c>
      <c r="DR4" s="2458">
        <v>41183</v>
      </c>
      <c r="DS4" s="2453">
        <f t="shared" ref="DS4:EM4" si="0">DR4+31</f>
        <v>41214</v>
      </c>
      <c r="DT4" s="2453">
        <f t="shared" si="0"/>
        <v>41245</v>
      </c>
      <c r="DU4" s="2453">
        <f t="shared" si="0"/>
        <v>41276</v>
      </c>
      <c r="DV4" s="2453">
        <f t="shared" si="0"/>
        <v>41307</v>
      </c>
      <c r="DW4" s="2453">
        <f t="shared" si="0"/>
        <v>41338</v>
      </c>
      <c r="DX4" s="2453">
        <f t="shared" si="0"/>
        <v>41369</v>
      </c>
      <c r="DY4" s="2453">
        <f t="shared" si="0"/>
        <v>41400</v>
      </c>
      <c r="DZ4" s="2453">
        <f t="shared" si="0"/>
        <v>41431</v>
      </c>
      <c r="EA4" s="2453">
        <f t="shared" si="0"/>
        <v>41462</v>
      </c>
      <c r="EB4" s="2453">
        <f t="shared" si="0"/>
        <v>41493</v>
      </c>
      <c r="EC4" s="2453">
        <f t="shared" si="0"/>
        <v>41524</v>
      </c>
      <c r="ED4" s="2453">
        <f t="shared" si="0"/>
        <v>41555</v>
      </c>
      <c r="EE4" s="2453">
        <f t="shared" si="0"/>
        <v>41586</v>
      </c>
      <c r="EF4" s="2453">
        <f t="shared" si="0"/>
        <v>41617</v>
      </c>
      <c r="EG4" s="2453">
        <f t="shared" si="0"/>
        <v>41648</v>
      </c>
      <c r="EH4" s="2453">
        <f t="shared" si="0"/>
        <v>41679</v>
      </c>
      <c r="EI4" s="2453">
        <f t="shared" si="0"/>
        <v>41710</v>
      </c>
      <c r="EJ4" s="2453">
        <f t="shared" si="0"/>
        <v>41741</v>
      </c>
      <c r="EK4" s="2453">
        <f t="shared" si="0"/>
        <v>41772</v>
      </c>
      <c r="EL4" s="2453">
        <f t="shared" si="0"/>
        <v>41803</v>
      </c>
      <c r="EM4" s="2457">
        <f t="shared" si="0"/>
        <v>41834</v>
      </c>
    </row>
    <row r="5" spans="1:143" ht="13.5" customHeight="1" thickBot="1">
      <c r="A5" s="2459" t="s">
        <v>3634</v>
      </c>
      <c r="B5" s="2460"/>
      <c r="C5" s="2461"/>
      <c r="D5" s="2461"/>
      <c r="E5" s="2461"/>
      <c r="F5" s="2461"/>
      <c r="G5" s="2461"/>
      <c r="H5" s="2461"/>
      <c r="I5" s="2461"/>
      <c r="J5" s="2461"/>
      <c r="K5" s="2461"/>
      <c r="L5" s="2461"/>
      <c r="M5" s="2461"/>
      <c r="N5" s="2461"/>
      <c r="O5" s="2461"/>
      <c r="P5" s="2461"/>
      <c r="Q5" s="2461"/>
      <c r="R5" s="2461"/>
      <c r="S5" s="2461"/>
      <c r="T5" s="2461"/>
      <c r="U5" s="2461"/>
      <c r="V5" s="2461"/>
      <c r="W5" s="2461"/>
      <c r="X5" s="2462"/>
      <c r="Y5" s="2462"/>
      <c r="Z5" s="2462"/>
      <c r="AA5" s="2462"/>
      <c r="AB5" s="2462"/>
      <c r="AC5" s="2463"/>
      <c r="AD5" s="2464"/>
      <c r="AE5" s="2464"/>
      <c r="AF5" s="2464"/>
      <c r="AG5" s="2464"/>
      <c r="AH5" s="2464"/>
      <c r="AI5" s="2464"/>
      <c r="AJ5" s="2464"/>
      <c r="AK5" s="2464"/>
      <c r="AL5" s="2465"/>
      <c r="AM5" s="2464"/>
      <c r="AN5" s="2464"/>
      <c r="AO5" s="2464"/>
      <c r="AP5" s="2464"/>
      <c r="AQ5" s="2466"/>
      <c r="AR5" s="2464"/>
      <c r="AS5" s="2466"/>
      <c r="AT5" s="2465"/>
      <c r="AU5" s="2465"/>
      <c r="AV5" s="2464"/>
      <c r="AW5" s="2467"/>
      <c r="AX5" s="2466"/>
      <c r="AY5" s="2465"/>
      <c r="AZ5" s="2464"/>
      <c r="BA5" s="2466"/>
      <c r="BB5" s="2465"/>
      <c r="BC5" s="2464"/>
      <c r="BD5" s="2464"/>
      <c r="BE5" s="2466"/>
      <c r="BF5" s="2465"/>
      <c r="BG5" s="2465"/>
      <c r="BH5" s="2465"/>
      <c r="BI5" s="2465"/>
      <c r="BJ5" s="2465"/>
      <c r="BK5" s="2465"/>
      <c r="BL5" s="2465"/>
      <c r="BM5" s="2465"/>
      <c r="BN5" s="2464"/>
      <c r="BO5" s="2464"/>
      <c r="BP5" s="2464"/>
      <c r="BQ5" s="2464"/>
      <c r="BR5" s="2464"/>
      <c r="BS5" s="2464"/>
      <c r="BT5" s="2464"/>
      <c r="BU5" s="2465"/>
      <c r="BV5" s="2465"/>
      <c r="BW5" s="2465"/>
      <c r="BX5" s="2465"/>
      <c r="BY5" s="2465"/>
      <c r="BZ5" s="2464"/>
      <c r="CA5" s="2464"/>
      <c r="CB5" s="2464"/>
      <c r="CC5" s="2464"/>
      <c r="CD5" s="2464"/>
      <c r="CE5" s="2464"/>
      <c r="CF5" s="2464"/>
      <c r="CG5" s="2464"/>
      <c r="CH5" s="2464"/>
      <c r="CI5" s="2468"/>
      <c r="CJ5" s="2468"/>
      <c r="CK5" s="2468"/>
      <c r="CL5" s="2462"/>
      <c r="CM5" s="2462"/>
      <c r="CN5" s="2462"/>
      <c r="CO5" s="2462"/>
      <c r="CP5" s="2462"/>
      <c r="CQ5" s="2462"/>
      <c r="CR5" s="2462"/>
      <c r="CS5" s="2462"/>
      <c r="CT5" s="2462"/>
      <c r="CU5" s="2462"/>
      <c r="CV5" s="2462"/>
      <c r="CW5" s="2462"/>
      <c r="CX5" s="2462"/>
      <c r="CY5" s="2462"/>
      <c r="CZ5" s="2462"/>
      <c r="DA5" s="2462"/>
      <c r="DB5" s="2462"/>
      <c r="DC5" s="2462"/>
      <c r="DD5" s="2462"/>
      <c r="DE5" s="2462"/>
      <c r="DF5" s="2462"/>
      <c r="DG5" s="2462"/>
      <c r="DH5" s="2462"/>
      <c r="DI5" s="2462"/>
      <c r="DJ5" s="2462"/>
      <c r="DK5" s="2462"/>
      <c r="DL5" s="2462"/>
      <c r="DM5" s="2462"/>
      <c r="DN5" s="2462"/>
      <c r="DO5" s="2462"/>
      <c r="DP5" s="2462"/>
      <c r="DQ5" s="2462"/>
      <c r="DR5" s="2469"/>
      <c r="DS5" s="2464"/>
      <c r="DT5" s="2464"/>
      <c r="DU5" s="2464"/>
      <c r="DV5" s="2464"/>
      <c r="DW5" s="2464"/>
      <c r="DX5" s="2464"/>
      <c r="DY5" s="2464"/>
      <c r="DZ5" s="2464"/>
      <c r="EA5" s="2464"/>
      <c r="EB5" s="2464"/>
      <c r="EC5" s="2464"/>
      <c r="ED5" s="2464"/>
      <c r="EE5" s="2464"/>
      <c r="EF5" s="2464"/>
      <c r="EG5" s="2464"/>
      <c r="EH5" s="2464"/>
      <c r="EI5" s="2464"/>
      <c r="EJ5" s="2464"/>
      <c r="EK5" s="2464"/>
      <c r="EL5" s="2464"/>
      <c r="EM5" s="2468"/>
    </row>
    <row r="6" spans="1:143" ht="21.75" customHeight="1">
      <c r="A6" s="2470" t="s">
        <v>3635</v>
      </c>
      <c r="B6" s="2471">
        <v>15.56</v>
      </c>
      <c r="C6" s="2472">
        <v>16.52</v>
      </c>
      <c r="D6" s="2472">
        <v>17.329999999999998</v>
      </c>
      <c r="E6" s="2472">
        <v>17.13</v>
      </c>
      <c r="F6" s="2472">
        <v>16.48</v>
      </c>
      <c r="G6" s="2472">
        <v>16.59</v>
      </c>
      <c r="H6" s="2472">
        <v>16.309999999999999</v>
      </c>
      <c r="I6" s="2472">
        <v>16.600000000000001</v>
      </c>
      <c r="J6" s="2472">
        <v>16.739999999999998</v>
      </c>
      <c r="K6" s="2472">
        <v>16.73</v>
      </c>
      <c r="L6" s="2472">
        <v>16.89</v>
      </c>
      <c r="M6" s="2472">
        <v>17.05</v>
      </c>
      <c r="N6" s="2472">
        <v>16.79</v>
      </c>
      <c r="O6" s="2472">
        <v>17.3</v>
      </c>
      <c r="P6" s="2472">
        <v>18.260000000000002</v>
      </c>
      <c r="Q6" s="2472">
        <v>19.75</v>
      </c>
      <c r="R6" s="2472">
        <v>19.510000000000002</v>
      </c>
      <c r="S6" s="2472">
        <v>18.89</v>
      </c>
      <c r="T6" s="2472">
        <v>19.77</v>
      </c>
      <c r="U6" s="2472">
        <v>20.38</v>
      </c>
      <c r="V6" s="2472">
        <v>20.54</v>
      </c>
      <c r="W6" s="2472">
        <v>20.149999999999999</v>
      </c>
      <c r="X6" s="2472">
        <v>20.03</v>
      </c>
      <c r="Y6" s="2472">
        <v>20.13</v>
      </c>
      <c r="Z6" s="2472">
        <v>20.420000000000002</v>
      </c>
      <c r="AA6" s="2472">
        <v>20.190000000000001</v>
      </c>
      <c r="AB6" s="2472">
        <v>20.37</v>
      </c>
      <c r="AC6" s="2473">
        <v>19.649999999999999</v>
      </c>
      <c r="AD6" s="2474">
        <v>20.03</v>
      </c>
      <c r="AE6" s="2474">
        <v>20.239999999999998</v>
      </c>
      <c r="AF6" s="2474">
        <v>20.7</v>
      </c>
      <c r="AG6" s="2474">
        <v>21.53</v>
      </c>
      <c r="AH6" s="2474">
        <v>22.38</v>
      </c>
      <c r="AI6" s="2474">
        <v>22.26</v>
      </c>
      <c r="AJ6" s="2474">
        <v>22.38</v>
      </c>
      <c r="AK6" s="2474">
        <v>22.68</v>
      </c>
      <c r="AL6" s="2475">
        <v>22.9</v>
      </c>
      <c r="AM6" s="2476">
        <v>22.36</v>
      </c>
      <c r="AN6" s="2474">
        <v>22.69</v>
      </c>
      <c r="AO6" s="2474">
        <v>22.76</v>
      </c>
      <c r="AP6" s="2474">
        <v>22.49</v>
      </c>
      <c r="AQ6" s="2477">
        <v>23.29</v>
      </c>
      <c r="AR6" s="2476">
        <v>22.97</v>
      </c>
      <c r="AS6" s="2477">
        <v>22.82</v>
      </c>
      <c r="AT6" s="2478">
        <v>22.69</v>
      </c>
      <c r="AU6" s="2478">
        <v>23.25</v>
      </c>
      <c r="AV6" s="2474">
        <v>22.91</v>
      </c>
      <c r="AW6" s="2479">
        <v>22.29</v>
      </c>
      <c r="AX6" s="2477">
        <v>23.52</v>
      </c>
      <c r="AY6" s="2478">
        <v>23.79</v>
      </c>
      <c r="AZ6" s="2474">
        <v>23.13</v>
      </c>
      <c r="BA6" s="2477">
        <v>24.28</v>
      </c>
      <c r="BB6" s="2478">
        <v>25.02</v>
      </c>
      <c r="BC6" s="2474">
        <v>24.76</v>
      </c>
      <c r="BD6" s="2474">
        <v>25.8</v>
      </c>
      <c r="BE6" s="2477">
        <v>26.61</v>
      </c>
      <c r="BF6" s="2478">
        <v>26.95</v>
      </c>
      <c r="BG6" s="2478">
        <v>26.36</v>
      </c>
      <c r="BH6" s="2478">
        <v>26.64</v>
      </c>
      <c r="BI6" s="2478">
        <v>26.78</v>
      </c>
      <c r="BJ6" s="2478">
        <v>26.87</v>
      </c>
      <c r="BK6" s="2478">
        <v>26.29</v>
      </c>
      <c r="BL6" s="2478">
        <v>27.22</v>
      </c>
      <c r="BM6" s="2478">
        <v>27.39</v>
      </c>
      <c r="BN6" s="2474">
        <v>26.0532</v>
      </c>
      <c r="BO6" s="2474">
        <v>27.4922</v>
      </c>
      <c r="BP6" s="2474">
        <v>28.593599999999999</v>
      </c>
      <c r="BQ6" s="2474">
        <v>27.143999999999998</v>
      </c>
      <c r="BR6" s="2474">
        <v>25.668299999999999</v>
      </c>
      <c r="BS6" s="2474">
        <v>26.1235</v>
      </c>
      <c r="BT6" s="2474">
        <v>26.605399999999999</v>
      </c>
      <c r="BU6" s="2478">
        <v>24.6096</v>
      </c>
      <c r="BV6" s="2478">
        <v>24.8872</v>
      </c>
      <c r="BW6" s="2478">
        <v>27.118300000000001</v>
      </c>
      <c r="BX6" s="2478">
        <v>26.8184</v>
      </c>
      <c r="BY6" s="2478">
        <v>25.786799999999999</v>
      </c>
      <c r="BZ6" s="2474">
        <v>24.9757</v>
      </c>
      <c r="CA6" s="2474">
        <v>23.229199999999999</v>
      </c>
      <c r="CB6" s="2474">
        <v>22.044899999999998</v>
      </c>
      <c r="CC6" s="2474">
        <v>21.433499999999999</v>
      </c>
      <c r="CD6" s="2474">
        <v>22.654699999999998</v>
      </c>
      <c r="CE6" s="2474">
        <v>21.716699999999999</v>
      </c>
      <c r="CF6" s="2474">
        <v>22.553599999999999</v>
      </c>
      <c r="CG6" s="2474">
        <v>23.6126</v>
      </c>
      <c r="CH6" s="2474">
        <v>25.0962</v>
      </c>
      <c r="CI6" s="2474">
        <v>26.360900000000001</v>
      </c>
      <c r="CJ6" s="2474">
        <v>26.9573</v>
      </c>
      <c r="CK6" s="2474">
        <v>27.3185</v>
      </c>
      <c r="CL6" s="2480">
        <v>27.529699999999998</v>
      </c>
      <c r="CM6" s="2480">
        <v>27.882899999999999</v>
      </c>
      <c r="CN6" s="2480">
        <v>28.681100000000001</v>
      </c>
      <c r="CO6" s="2480">
        <v>28.164999999999999</v>
      </c>
      <c r="CP6" s="2480">
        <v>29.251000000000001</v>
      </c>
      <c r="CQ6" s="2480">
        <v>28.16612344759616</v>
      </c>
      <c r="CR6" s="2480">
        <v>28.499452496458929</v>
      </c>
      <c r="CS6" s="2480">
        <v>30.072427729575537</v>
      </c>
      <c r="CT6" s="2480">
        <v>29.940966177511076</v>
      </c>
      <c r="CU6" s="2480">
        <v>30.225972652943568</v>
      </c>
      <c r="CV6" s="2480">
        <v>31.850720017085713</v>
      </c>
      <c r="CW6" s="2480">
        <v>30.407761025539997</v>
      </c>
      <c r="CX6" s="2480">
        <v>30.856948067410002</v>
      </c>
      <c r="CY6" s="2480">
        <v>30.524032067954291</v>
      </c>
      <c r="CZ6" s="2480">
        <v>31.015875573434645</v>
      </c>
      <c r="DA6" s="2480">
        <v>30.808352357991776</v>
      </c>
      <c r="DB6" s="2480">
        <v>31.199055418040707</v>
      </c>
      <c r="DC6" s="2480">
        <v>31.640197820362499</v>
      </c>
      <c r="DD6" s="2480">
        <v>30.636825936685359</v>
      </c>
      <c r="DE6" s="2480">
        <v>29.047015291165362</v>
      </c>
      <c r="DF6" s="2480">
        <v>31.14696479228607</v>
      </c>
      <c r="DG6" s="2480">
        <v>30.016604410962859</v>
      </c>
      <c r="DH6" s="2480">
        <v>30.653454635537496</v>
      </c>
      <c r="DI6" s="2480">
        <v>31.78951233469142</v>
      </c>
      <c r="DJ6" s="2480">
        <v>32.031724399628217</v>
      </c>
      <c r="DK6" s="2480">
        <v>30.898686488191782</v>
      </c>
      <c r="DL6" s="2480">
        <v>31.132376976534285</v>
      </c>
      <c r="DM6" s="2480">
        <v>29.776268937628931</v>
      </c>
      <c r="DN6" s="2480">
        <v>32.116625134594635</v>
      </c>
      <c r="DO6" s="2480">
        <v>33.371623722129996</v>
      </c>
      <c r="DP6" s="2480">
        <v>32.202497256828565</v>
      </c>
      <c r="DQ6" s="2480">
        <v>32.544694504626854</v>
      </c>
      <c r="DR6" s="2480">
        <v>32.824064693024859</v>
      </c>
      <c r="DS6" s="2480">
        <v>32.862170824724437</v>
      </c>
      <c r="DT6" s="2480">
        <v>32.391319341800006</v>
      </c>
      <c r="DU6" s="2480">
        <v>32.120387970051432</v>
      </c>
      <c r="DV6" s="2480">
        <v>32.161973845968575</v>
      </c>
      <c r="DW6" s="2480">
        <v>33.017899227804911</v>
      </c>
      <c r="DX6" s="2480">
        <v>32.650179029661359</v>
      </c>
      <c r="DY6" s="2480">
        <v>30.508328271160714</v>
      </c>
      <c r="DZ6" s="2480">
        <v>29.219234642313637</v>
      </c>
      <c r="EA6" s="2480">
        <v>28.402400038163925</v>
      </c>
      <c r="EB6" s="2480">
        <v>28.121851271808289</v>
      </c>
      <c r="EC6" s="2480">
        <v>29.030171696165354</v>
      </c>
      <c r="ED6" s="2480">
        <v>29.197605977405573</v>
      </c>
      <c r="EE6" s="2480">
        <v>28.093810899874203</v>
      </c>
      <c r="EF6" s="2480">
        <v>27.423530487067431</v>
      </c>
      <c r="EG6" s="2480">
        <v>26.868356833097202</v>
      </c>
      <c r="EH6" s="2480">
        <v>27.51289510131857</v>
      </c>
      <c r="EI6" s="2480">
        <v>28.447808963130882</v>
      </c>
      <c r="EJ6" s="2480">
        <v>28.441322898389053</v>
      </c>
      <c r="EK6" s="2480">
        <v>28.738349329908999</v>
      </c>
      <c r="EL6" s="2480">
        <v>29.040735419048563</v>
      </c>
      <c r="EM6" s="2481">
        <v>28.91185272831196</v>
      </c>
    </row>
    <row r="7" spans="1:143" ht="21" customHeight="1">
      <c r="A7" s="2470" t="s">
        <v>3636</v>
      </c>
      <c r="B7" s="2471">
        <v>3.95</v>
      </c>
      <c r="C7" s="2472">
        <v>3.94</v>
      </c>
      <c r="D7" s="2482">
        <v>3.93</v>
      </c>
      <c r="E7" s="2482">
        <v>3.9</v>
      </c>
      <c r="F7" s="2483">
        <v>3.88</v>
      </c>
      <c r="G7" s="2483">
        <v>3.87</v>
      </c>
      <c r="H7" s="2482">
        <v>3.87</v>
      </c>
      <c r="I7" s="2482">
        <v>3.87</v>
      </c>
      <c r="J7" s="2482">
        <v>3.85</v>
      </c>
      <c r="K7" s="2482">
        <v>3.81</v>
      </c>
      <c r="L7" s="2482">
        <v>3.7</v>
      </c>
      <c r="M7" s="2482">
        <v>3.63</v>
      </c>
      <c r="N7" s="2482">
        <v>3.59</v>
      </c>
      <c r="O7" s="2482">
        <v>3.58</v>
      </c>
      <c r="P7" s="2482">
        <v>3.61</v>
      </c>
      <c r="Q7" s="2482">
        <v>3.82</v>
      </c>
      <c r="R7" s="2482">
        <v>3.85</v>
      </c>
      <c r="S7" s="2482">
        <v>3.81</v>
      </c>
      <c r="T7" s="2482">
        <v>3.78</v>
      </c>
      <c r="U7" s="2482">
        <v>3.75</v>
      </c>
      <c r="V7" s="2482">
        <v>3.69</v>
      </c>
      <c r="W7" s="2482">
        <v>3.5</v>
      </c>
      <c r="X7" s="2482">
        <v>3.41</v>
      </c>
      <c r="Y7" s="2482">
        <v>3.39</v>
      </c>
      <c r="Z7" s="2482">
        <v>3.48</v>
      </c>
      <c r="AA7" s="2482">
        <v>3.62</v>
      </c>
      <c r="AB7" s="2482">
        <v>3.69</v>
      </c>
      <c r="AC7" s="2484">
        <v>3.68</v>
      </c>
      <c r="AD7" s="2485">
        <v>3.7</v>
      </c>
      <c r="AE7" s="2485">
        <v>3.72</v>
      </c>
      <c r="AF7" s="2485">
        <v>3.73</v>
      </c>
      <c r="AG7" s="2485">
        <v>3.74</v>
      </c>
      <c r="AH7" s="2485">
        <v>3.73</v>
      </c>
      <c r="AI7" s="2485">
        <v>3.7</v>
      </c>
      <c r="AJ7" s="2485">
        <v>3.73</v>
      </c>
      <c r="AK7" s="2485">
        <v>3.79</v>
      </c>
      <c r="AL7" s="2486">
        <v>3.8</v>
      </c>
      <c r="AM7" s="2485">
        <v>3.82</v>
      </c>
      <c r="AN7" s="2485">
        <v>3.85</v>
      </c>
      <c r="AO7" s="2485">
        <v>3.88</v>
      </c>
      <c r="AP7" s="2485">
        <v>3.9</v>
      </c>
      <c r="AQ7" s="2487">
        <v>3.96</v>
      </c>
      <c r="AR7" s="2485">
        <v>3.99</v>
      </c>
      <c r="AS7" s="2487">
        <v>4.0199999999999996</v>
      </c>
      <c r="AT7" s="2486">
        <v>4.03</v>
      </c>
      <c r="AU7" s="2486">
        <v>4.03</v>
      </c>
      <c r="AV7" s="2485">
        <v>4.04</v>
      </c>
      <c r="AW7" s="2488">
        <v>4.05</v>
      </c>
      <c r="AX7" s="2487">
        <v>4.0599999999999996</v>
      </c>
      <c r="AY7" s="2486">
        <v>4.05</v>
      </c>
      <c r="AZ7" s="2485">
        <v>4.0599999999999996</v>
      </c>
      <c r="BA7" s="2487">
        <v>4.1100000000000003</v>
      </c>
      <c r="BB7" s="2486">
        <v>4.25</v>
      </c>
      <c r="BC7" s="2485">
        <v>4.26</v>
      </c>
      <c r="BD7" s="2485">
        <v>4.3099999999999996</v>
      </c>
      <c r="BE7" s="2487">
        <v>4.34</v>
      </c>
      <c r="BF7" s="2486">
        <v>4.37</v>
      </c>
      <c r="BG7" s="2486">
        <v>4.3499999999999996</v>
      </c>
      <c r="BH7" s="2486">
        <v>4.3099999999999996</v>
      </c>
      <c r="BI7" s="2486">
        <v>4.2699999999999996</v>
      </c>
      <c r="BJ7" s="2486">
        <v>4.18</v>
      </c>
      <c r="BK7" s="2486">
        <v>4.12</v>
      </c>
      <c r="BL7" s="2486">
        <v>4.13</v>
      </c>
      <c r="BM7" s="2486">
        <v>4.09</v>
      </c>
      <c r="BN7" s="2485">
        <v>4.0932000000000004</v>
      </c>
      <c r="BO7" s="2485">
        <v>4.0366999999999997</v>
      </c>
      <c r="BP7" s="2485">
        <v>4.0175999999999998</v>
      </c>
      <c r="BQ7" s="2485">
        <v>3.948</v>
      </c>
      <c r="BR7" s="2485">
        <v>3.7471999999999999</v>
      </c>
      <c r="BS7" s="2485">
        <v>3.7690999999999999</v>
      </c>
      <c r="BT7" s="2485">
        <v>3.6236000000000002</v>
      </c>
      <c r="BU7" s="2486">
        <v>3.4592000000000001</v>
      </c>
      <c r="BV7" s="2486">
        <v>3.4264999999999999</v>
      </c>
      <c r="BW7" s="2486">
        <v>3.6351</v>
      </c>
      <c r="BX7" s="2486">
        <v>3.5863999999999998</v>
      </c>
      <c r="BY7" s="2486">
        <v>3.5167000000000002</v>
      </c>
      <c r="BZ7" s="2485">
        <v>3.7092000000000001</v>
      </c>
      <c r="CA7" s="2485">
        <v>3.7442000000000002</v>
      </c>
      <c r="CB7" s="2485">
        <v>4.2183999999999999</v>
      </c>
      <c r="CC7" s="2485">
        <v>4.2065000000000001</v>
      </c>
      <c r="CD7" s="2485">
        <v>4.2130000000000001</v>
      </c>
      <c r="CE7" s="2485">
        <v>4.3268000000000004</v>
      </c>
      <c r="CF7" s="2485">
        <v>4.5053999999999998</v>
      </c>
      <c r="CG7" s="2485">
        <v>4.4272</v>
      </c>
      <c r="CH7" s="2485">
        <v>4.4598000000000004</v>
      </c>
      <c r="CI7" s="2485">
        <v>4.3163</v>
      </c>
      <c r="CJ7" s="2485">
        <v>4.2948000000000004</v>
      </c>
      <c r="CK7" s="2485">
        <v>4.2535999999999996</v>
      </c>
      <c r="CL7" s="2489">
        <v>4.2291999999999996</v>
      </c>
      <c r="CM7" s="2489">
        <v>4.0975999999999999</v>
      </c>
      <c r="CN7" s="2489">
        <v>4.0427</v>
      </c>
      <c r="CO7" s="2489">
        <v>3.9632999999999998</v>
      </c>
      <c r="CP7" s="2489">
        <v>4.4180000000000001</v>
      </c>
      <c r="CQ7" s="2489">
        <v>4.032487560373756</v>
      </c>
      <c r="CR7" s="2489">
        <v>4.0969714264583965</v>
      </c>
      <c r="CS7" s="2489">
        <v>4.0047722008282394</v>
      </c>
      <c r="CT7" s="2489">
        <v>3.9543564370945878</v>
      </c>
      <c r="CU7" s="2489">
        <v>4.0426005138951515</v>
      </c>
      <c r="CV7" s="2489">
        <v>4.0278040434054869</v>
      </c>
      <c r="CW7" s="2489">
        <v>3.9279889267950394</v>
      </c>
      <c r="CX7" s="2489">
        <v>3.8959044275968897</v>
      </c>
      <c r="CY7" s="2489">
        <v>3.7942924247204624</v>
      </c>
      <c r="CZ7" s="2489">
        <v>3.6576214562405553</v>
      </c>
      <c r="DA7" s="2489">
        <v>3.6971726456905682</v>
      </c>
      <c r="DB7" s="2489">
        <v>3.7294413698932494</v>
      </c>
      <c r="DC7" s="2489">
        <v>3.6934897257530364</v>
      </c>
      <c r="DD7" s="2489">
        <v>3.6818912762427973</v>
      </c>
      <c r="DE7" s="2489">
        <v>3.8179949005074763</v>
      </c>
      <c r="DF7" s="2489">
        <v>3.8047301396428601</v>
      </c>
      <c r="DG7" s="2489">
        <v>3.8422869353282501</v>
      </c>
      <c r="DH7" s="2489">
        <v>3.8844088727125103</v>
      </c>
      <c r="DI7" s="2489">
        <v>3.8513244997920633</v>
      </c>
      <c r="DJ7" s="2489">
        <v>3.8175666094278706</v>
      </c>
      <c r="DK7" s="2489">
        <v>3.8251777537822003</v>
      </c>
      <c r="DL7" s="2489">
        <v>3.8342347896408513</v>
      </c>
      <c r="DM7" s="2489">
        <v>3.9417741110028013</v>
      </c>
      <c r="DN7" s="2489">
        <v>4.0708354957761896</v>
      </c>
      <c r="DO7" s="2489">
        <v>4.0905709470138962</v>
      </c>
      <c r="DP7" s="2489">
        <v>4.030456479785907</v>
      </c>
      <c r="DQ7" s="2489">
        <v>4.0078231107034785</v>
      </c>
      <c r="DR7" s="2489">
        <v>4.0806980113313447</v>
      </c>
      <c r="DS7" s="2489">
        <v>4.0671373455316617</v>
      </c>
      <c r="DT7" s="2489">
        <v>4.0231595015807393</v>
      </c>
      <c r="DU7" s="2489">
        <v>3.9837583570262205</v>
      </c>
      <c r="DV7" s="2489">
        <v>4.028247168938881</v>
      </c>
      <c r="DW7" s="2489">
        <v>4.0768341388566833</v>
      </c>
      <c r="DX7" s="2489">
        <v>4.0628685596363976</v>
      </c>
      <c r="DY7" s="2489">
        <v>4.0762222476361059</v>
      </c>
      <c r="DZ7" s="2489">
        <v>4.0615859662385274</v>
      </c>
      <c r="EA7" s="2489">
        <v>4.0526861410180075</v>
      </c>
      <c r="EB7" s="2489">
        <v>4.0540417623135312</v>
      </c>
      <c r="EC7" s="2489">
        <v>4.0257424481660626</v>
      </c>
      <c r="ED7" s="2489">
        <v>3.9721481226092061</v>
      </c>
      <c r="EE7" s="2489">
        <v>3.9915340622676623</v>
      </c>
      <c r="EF7" s="2489">
        <v>3.961008416987966</v>
      </c>
      <c r="EG7" s="2489">
        <v>3.96232685422873</v>
      </c>
      <c r="EH7" s="2489">
        <v>3.9605346166013895</v>
      </c>
      <c r="EI7" s="2489">
        <v>3.9588024734141762</v>
      </c>
      <c r="EJ7" s="2489">
        <v>3.9540965649064481</v>
      </c>
      <c r="EK7" s="2489">
        <v>3.9757805111719478</v>
      </c>
      <c r="EL7" s="2489">
        <v>3.9760763116678146</v>
      </c>
      <c r="EM7" s="2490">
        <v>4.0028902580014192</v>
      </c>
    </row>
    <row r="8" spans="1:143" ht="21" customHeight="1">
      <c r="A8" s="2470" t="s">
        <v>3637</v>
      </c>
      <c r="B8" s="2471">
        <v>64</v>
      </c>
      <c r="C8" s="2482">
        <v>64</v>
      </c>
      <c r="D8" s="2482">
        <v>63</v>
      </c>
      <c r="E8" s="2482">
        <v>63</v>
      </c>
      <c r="F8" s="2483">
        <v>63</v>
      </c>
      <c r="G8" s="2482">
        <v>63</v>
      </c>
      <c r="H8" s="2482">
        <v>63</v>
      </c>
      <c r="I8" s="2482">
        <v>63</v>
      </c>
      <c r="J8" s="2482">
        <v>63</v>
      </c>
      <c r="K8" s="2482">
        <v>63</v>
      </c>
      <c r="L8" s="2482">
        <v>61</v>
      </c>
      <c r="M8" s="2482">
        <v>60</v>
      </c>
      <c r="N8" s="2482">
        <v>60</v>
      </c>
      <c r="O8" s="2482">
        <v>60</v>
      </c>
      <c r="P8" s="2482">
        <v>60</v>
      </c>
      <c r="Q8" s="2482">
        <v>65</v>
      </c>
      <c r="R8" s="2482">
        <v>66</v>
      </c>
      <c r="S8" s="2482">
        <v>65</v>
      </c>
      <c r="T8" s="2482">
        <v>64</v>
      </c>
      <c r="U8" s="2482">
        <v>65</v>
      </c>
      <c r="V8" s="2482">
        <v>63</v>
      </c>
      <c r="W8" s="2482">
        <v>60</v>
      </c>
      <c r="X8" s="2482">
        <v>59</v>
      </c>
      <c r="Y8" s="2482">
        <v>59</v>
      </c>
      <c r="Z8" s="2482">
        <v>62</v>
      </c>
      <c r="AA8" s="2482">
        <v>64</v>
      </c>
      <c r="AB8" s="2482">
        <v>64</v>
      </c>
      <c r="AC8" s="2484">
        <v>63</v>
      </c>
      <c r="AD8" s="2485">
        <v>63</v>
      </c>
      <c r="AE8" s="2485">
        <v>63</v>
      </c>
      <c r="AF8" s="2485">
        <v>64</v>
      </c>
      <c r="AG8" s="2485">
        <v>64</v>
      </c>
      <c r="AH8" s="2485">
        <v>65</v>
      </c>
      <c r="AI8" s="2485">
        <v>67</v>
      </c>
      <c r="AJ8" s="2485">
        <v>67</v>
      </c>
      <c r="AK8" s="2485">
        <v>68</v>
      </c>
      <c r="AL8" s="2486">
        <v>68</v>
      </c>
      <c r="AM8" s="2485">
        <v>69</v>
      </c>
      <c r="AN8" s="2485">
        <v>69</v>
      </c>
      <c r="AO8" s="2485">
        <v>70</v>
      </c>
      <c r="AP8" s="2485">
        <v>69</v>
      </c>
      <c r="AQ8" s="2487">
        <v>71</v>
      </c>
      <c r="AR8" s="2485">
        <v>69</v>
      </c>
      <c r="AS8" s="2487">
        <v>68</v>
      </c>
      <c r="AT8" s="2486">
        <v>69</v>
      </c>
      <c r="AU8" s="2486">
        <v>71</v>
      </c>
      <c r="AV8" s="2485">
        <v>71</v>
      </c>
      <c r="AW8" s="2488">
        <v>71</v>
      </c>
      <c r="AX8" s="2487">
        <v>70</v>
      </c>
      <c r="AY8" s="2486">
        <v>68</v>
      </c>
      <c r="AZ8" s="2485">
        <v>68</v>
      </c>
      <c r="BA8" s="2487">
        <v>69</v>
      </c>
      <c r="BB8" s="2486">
        <v>71</v>
      </c>
      <c r="BC8" s="2485">
        <v>72</v>
      </c>
      <c r="BD8" s="2485">
        <v>74</v>
      </c>
      <c r="BE8" s="2487">
        <v>76</v>
      </c>
      <c r="BF8" s="2486">
        <v>77</v>
      </c>
      <c r="BG8" s="2486">
        <v>77</v>
      </c>
      <c r="BH8" s="2486">
        <v>76</v>
      </c>
      <c r="BI8" s="2486">
        <v>77</v>
      </c>
      <c r="BJ8" s="2486">
        <v>79</v>
      </c>
      <c r="BK8" s="2486">
        <v>79</v>
      </c>
      <c r="BL8" s="2486">
        <v>79</v>
      </c>
      <c r="BM8" s="2486">
        <v>79</v>
      </c>
      <c r="BN8" s="2485">
        <v>78.05</v>
      </c>
      <c r="BO8" s="2485">
        <v>78.83</v>
      </c>
      <c r="BP8" s="2485">
        <v>79.45</v>
      </c>
      <c r="BQ8" s="2485">
        <v>77.67</v>
      </c>
      <c r="BR8" s="2485">
        <v>74.400000000000006</v>
      </c>
      <c r="BS8" s="2485">
        <v>74.81</v>
      </c>
      <c r="BT8" s="2485">
        <v>70.86</v>
      </c>
      <c r="BU8" s="2486">
        <v>67.650000000000006</v>
      </c>
      <c r="BV8" s="2486">
        <v>66.27</v>
      </c>
      <c r="BW8" s="2486">
        <v>66.94</v>
      </c>
      <c r="BX8" s="2486">
        <v>65.48</v>
      </c>
      <c r="BY8" s="2486">
        <v>64.739999999999995</v>
      </c>
      <c r="BZ8" s="2485">
        <v>66.5</v>
      </c>
      <c r="CA8" s="2485">
        <v>62.61</v>
      </c>
      <c r="CB8" s="2485">
        <v>66.86</v>
      </c>
      <c r="CC8" s="2485">
        <v>66.55</v>
      </c>
      <c r="CD8" s="2485">
        <v>68.040000000000006</v>
      </c>
      <c r="CE8" s="2485">
        <v>69.03</v>
      </c>
      <c r="CF8" s="2485">
        <v>69.55</v>
      </c>
      <c r="CG8" s="2485">
        <v>67.95</v>
      </c>
      <c r="CH8" s="2485">
        <v>69.77</v>
      </c>
      <c r="CI8" s="2485">
        <v>70.95</v>
      </c>
      <c r="CJ8" s="2485">
        <v>70.099999999999994</v>
      </c>
      <c r="CK8" s="2485">
        <v>68.75</v>
      </c>
      <c r="CL8" s="2489">
        <v>67.5</v>
      </c>
      <c r="CM8" s="2489">
        <v>66.58</v>
      </c>
      <c r="CN8" s="2489">
        <v>67.03</v>
      </c>
      <c r="CO8" s="2489">
        <v>66.52</v>
      </c>
      <c r="CP8" s="2489">
        <v>74.162000000000006</v>
      </c>
      <c r="CQ8" s="2489">
        <v>67.621465930757452</v>
      </c>
      <c r="CR8" s="2489">
        <v>68.015153579793093</v>
      </c>
      <c r="CS8" s="2489">
        <v>69.901770337746854</v>
      </c>
      <c r="CT8" s="2489">
        <v>69.083785246121522</v>
      </c>
      <c r="CU8" s="2489">
        <v>68.509426016998361</v>
      </c>
      <c r="CV8" s="2489">
        <v>69.996160890346346</v>
      </c>
      <c r="CW8" s="2489">
        <v>66.909526631273181</v>
      </c>
      <c r="CX8" s="2489">
        <v>67.264028800817499</v>
      </c>
      <c r="CY8" s="2489">
        <v>66.332525645814272</v>
      </c>
      <c r="CZ8" s="2489">
        <v>64.215241661898332</v>
      </c>
      <c r="DA8" s="2489">
        <v>64.096356697877539</v>
      </c>
      <c r="DB8" s="2489">
        <v>65.064923392718725</v>
      </c>
      <c r="DC8" s="2489">
        <v>65.514984532269622</v>
      </c>
      <c r="DD8" s="2489">
        <v>62.609482794946224</v>
      </c>
      <c r="DE8" s="2489">
        <v>60.925183705943788</v>
      </c>
      <c r="DF8" s="2489">
        <v>60.805336797674201</v>
      </c>
      <c r="DG8" s="2489">
        <v>57.766111715162715</v>
      </c>
      <c r="DH8" s="2489">
        <v>56.978143790512256</v>
      </c>
      <c r="DI8" s="2489">
        <v>60.469953757124337</v>
      </c>
      <c r="DJ8" s="2489">
        <v>60.776811663977739</v>
      </c>
      <c r="DK8" s="2489">
        <v>58.417736942427155</v>
      </c>
      <c r="DL8" s="2489">
        <v>56.970322258528853</v>
      </c>
      <c r="DM8" s="2489">
        <v>54.647744322051103</v>
      </c>
      <c r="DN8" s="2489">
        <v>56.436876067778485</v>
      </c>
      <c r="DO8" s="2489">
        <v>57.51169353670614</v>
      </c>
      <c r="DP8" s="2489">
        <v>56.436974802987415</v>
      </c>
      <c r="DQ8" s="2489">
        <v>59.337635921788724</v>
      </c>
      <c r="DR8" s="2489">
        <v>58.708532587011099</v>
      </c>
      <c r="DS8" s="2489">
        <v>57.981841042910823</v>
      </c>
      <c r="DT8" s="2489">
        <v>57.267521762874281</v>
      </c>
      <c r="DU8" s="2489">
        <v>58.453915276575344</v>
      </c>
      <c r="DV8" s="2489">
        <v>58.559244870373362</v>
      </c>
      <c r="DW8" s="2489">
        <v>58.55820232609873</v>
      </c>
      <c r="DX8" s="2489">
        <v>58.431138629502399</v>
      </c>
      <c r="DY8" s="2489">
        <v>56.22528491220492</v>
      </c>
      <c r="DZ8" s="2489">
        <v>52.989112348896327</v>
      </c>
      <c r="EA8" s="2489">
        <v>51.85604770778842</v>
      </c>
      <c r="EB8" s="2489">
        <v>47.221571906416195</v>
      </c>
      <c r="EC8" s="2489">
        <v>50.014158464413903</v>
      </c>
      <c r="ED8" s="2489">
        <v>50.409903941346613</v>
      </c>
      <c r="EE8" s="2489">
        <v>49.914315470957582</v>
      </c>
      <c r="EF8" s="2489">
        <v>49.837389293521611</v>
      </c>
      <c r="EG8" s="2489">
        <v>49.299081949840065</v>
      </c>
      <c r="EH8" s="2489">
        <v>49.786150536251107</v>
      </c>
      <c r="EI8" s="2489">
        <v>51.347800238420724</v>
      </c>
      <c r="EJ8" s="2489">
        <v>51.08716923012463</v>
      </c>
      <c r="EK8" s="2489">
        <v>52.503314757371811</v>
      </c>
      <c r="EL8" s="2489">
        <v>51.54664824967994</v>
      </c>
      <c r="EM8" s="2490">
        <v>51.75824170232719</v>
      </c>
    </row>
    <row r="9" spans="1:143" ht="21" customHeight="1">
      <c r="A9" s="2470" t="s">
        <v>3638</v>
      </c>
      <c r="B9" s="2471">
        <v>23.05</v>
      </c>
      <c r="C9" s="2472">
        <v>23.86</v>
      </c>
      <c r="D9" s="2472">
        <v>24.71</v>
      </c>
      <c r="E9" s="2472">
        <v>25.31</v>
      </c>
      <c r="F9" s="2472">
        <v>25.07</v>
      </c>
      <c r="G9" s="2472">
        <v>25.44</v>
      </c>
      <c r="H9" s="2491">
        <v>24.65</v>
      </c>
      <c r="I9" s="2491">
        <v>24.4</v>
      </c>
      <c r="J9" s="2491">
        <v>24.37</v>
      </c>
      <c r="K9" s="2491">
        <v>24.87</v>
      </c>
      <c r="L9" s="2491">
        <v>24.09</v>
      </c>
      <c r="M9" s="2491">
        <v>23.88</v>
      </c>
      <c r="N9" s="2491">
        <v>23.26</v>
      </c>
      <c r="O9" s="2491">
        <v>23.22</v>
      </c>
      <c r="P9" s="2491">
        <v>23.6</v>
      </c>
      <c r="Q9" s="2491">
        <v>24.66</v>
      </c>
      <c r="R9" s="2491">
        <v>24.82</v>
      </c>
      <c r="S9" s="2491">
        <v>25.17</v>
      </c>
      <c r="T9" s="2491">
        <v>26.15</v>
      </c>
      <c r="U9" s="2491">
        <v>26.51</v>
      </c>
      <c r="V9" s="2491">
        <v>25.98</v>
      </c>
      <c r="W9" s="2491">
        <v>25.21</v>
      </c>
      <c r="X9" s="2491">
        <v>24.75</v>
      </c>
      <c r="Y9" s="2491">
        <v>23.83</v>
      </c>
      <c r="Z9" s="2491">
        <v>25.83</v>
      </c>
      <c r="AA9" s="2491">
        <v>25.41</v>
      </c>
      <c r="AB9" s="2491">
        <v>25.96</v>
      </c>
      <c r="AC9" s="2492">
        <v>26.24</v>
      </c>
      <c r="AD9" s="2489">
        <v>25.55</v>
      </c>
      <c r="AE9" s="2489">
        <v>26.25</v>
      </c>
      <c r="AF9" s="2489">
        <v>26.03</v>
      </c>
      <c r="AG9" s="2489">
        <v>27.15</v>
      </c>
      <c r="AH9" s="2489">
        <v>27.88</v>
      </c>
      <c r="AI9" s="2489">
        <v>27.79</v>
      </c>
      <c r="AJ9" s="2489">
        <v>27.89</v>
      </c>
      <c r="AK9" s="2489">
        <v>27.36</v>
      </c>
      <c r="AL9" s="2493">
        <v>27.78</v>
      </c>
      <c r="AM9" s="2489">
        <v>27.29</v>
      </c>
      <c r="AN9" s="2489">
        <v>26.92</v>
      </c>
      <c r="AO9" s="2489">
        <v>26.67</v>
      </c>
      <c r="AP9" s="2489">
        <v>27.01</v>
      </c>
      <c r="AQ9" s="2494">
        <v>27.02</v>
      </c>
      <c r="AR9" s="2489">
        <v>26.48</v>
      </c>
      <c r="AS9" s="2494">
        <v>25.83</v>
      </c>
      <c r="AT9" s="2493">
        <v>26.37</v>
      </c>
      <c r="AU9" s="2493">
        <v>26.32</v>
      </c>
      <c r="AV9" s="2489">
        <v>26.66</v>
      </c>
      <c r="AW9" s="2495">
        <v>26.52</v>
      </c>
      <c r="AX9" s="2494">
        <v>27.26</v>
      </c>
      <c r="AY9" s="2493">
        <v>27.8</v>
      </c>
      <c r="AZ9" s="2489">
        <v>27.19</v>
      </c>
      <c r="BA9" s="2494">
        <v>27.76</v>
      </c>
      <c r="BB9" s="2493">
        <v>28.02</v>
      </c>
      <c r="BC9" s="2489">
        <v>28.11</v>
      </c>
      <c r="BD9" s="2489">
        <v>28.6</v>
      </c>
      <c r="BE9" s="2494">
        <v>29.37</v>
      </c>
      <c r="BF9" s="2493">
        <v>28.84</v>
      </c>
      <c r="BG9" s="2493">
        <v>28.25</v>
      </c>
      <c r="BH9" s="2493">
        <v>28.58</v>
      </c>
      <c r="BI9" s="2493">
        <v>28.46</v>
      </c>
      <c r="BJ9" s="2493">
        <v>27.4</v>
      </c>
      <c r="BK9" s="2493">
        <v>26.4</v>
      </c>
      <c r="BL9" s="2493">
        <v>26.07</v>
      </c>
      <c r="BM9" s="2493">
        <v>26.84</v>
      </c>
      <c r="BN9" s="2489">
        <v>27.363700000000001</v>
      </c>
      <c r="BO9" s="2489">
        <v>27.070799999999998</v>
      </c>
      <c r="BP9" s="2489">
        <v>27.028600000000001</v>
      </c>
      <c r="BQ9" s="2489">
        <v>27.75</v>
      </c>
      <c r="BR9" s="2489">
        <v>26.030200000000001</v>
      </c>
      <c r="BS9" s="2489">
        <v>27.543900000000001</v>
      </c>
      <c r="BT9" s="2489">
        <v>26.832599999999999</v>
      </c>
      <c r="BU9" s="2493">
        <v>26.9102</v>
      </c>
      <c r="BV9" s="2493">
        <v>25.618500000000001</v>
      </c>
      <c r="BW9" s="2493">
        <v>26.8565</v>
      </c>
      <c r="BX9" s="2493">
        <v>26.243600000000001</v>
      </c>
      <c r="BY9" s="2493">
        <v>25.290500000000002</v>
      </c>
      <c r="BZ9" s="2489">
        <v>26.493600000000001</v>
      </c>
      <c r="CA9" s="2489">
        <v>27.8292</v>
      </c>
      <c r="CB9" s="2489">
        <v>33.240400000000001</v>
      </c>
      <c r="CC9" s="2489">
        <v>34.240400000000001</v>
      </c>
      <c r="CD9" s="2489">
        <v>36.168199999999999</v>
      </c>
      <c r="CE9" s="2489">
        <v>37.496499999999997</v>
      </c>
      <c r="CF9" s="2489">
        <v>35.847799999999999</v>
      </c>
      <c r="CG9" s="2489">
        <v>34.9191</v>
      </c>
      <c r="CH9" s="2489">
        <v>35.516800000000003</v>
      </c>
      <c r="CI9" s="2489">
        <v>34.719099999999997</v>
      </c>
      <c r="CJ9" s="2489">
        <v>34.7348</v>
      </c>
      <c r="CK9" s="2489">
        <v>34.563699999999997</v>
      </c>
      <c r="CL9" s="2489">
        <v>35.354500000000002</v>
      </c>
      <c r="CM9" s="2489">
        <v>35.363900000000001</v>
      </c>
      <c r="CN9" s="2489">
        <v>34.321399999999997</v>
      </c>
      <c r="CO9" s="2489">
        <v>35.4818</v>
      </c>
      <c r="CP9" s="2489">
        <v>37.631</v>
      </c>
      <c r="CQ9" s="2489">
        <v>36.192216935872509</v>
      </c>
      <c r="CR9" s="2489">
        <v>37.821877308377502</v>
      </c>
      <c r="CS9" s="2489">
        <v>37.219917508368873</v>
      </c>
      <c r="CT9" s="2489">
        <v>38.030318317742591</v>
      </c>
      <c r="CU9" s="2489">
        <v>37.397090542433666</v>
      </c>
      <c r="CV9" s="2489">
        <v>38.398233090495204</v>
      </c>
      <c r="CW9" s="2489">
        <v>37.330712340682318</v>
      </c>
      <c r="CX9" s="2489">
        <v>37.162393104391363</v>
      </c>
      <c r="CY9" s="2489">
        <v>35.747713129363255</v>
      </c>
      <c r="CZ9" s="2489">
        <v>34.869090701984298</v>
      </c>
      <c r="DA9" s="2489">
        <v>35.450514349747344</v>
      </c>
      <c r="DB9" s="2489">
        <v>36.120491087199873</v>
      </c>
      <c r="DC9" s="2489">
        <v>37.154141270855305</v>
      </c>
      <c r="DD9" s="2489">
        <v>37.349127179501671</v>
      </c>
      <c r="DE9" s="2489">
        <v>38.851794048499187</v>
      </c>
      <c r="DF9" s="2489">
        <v>37.451097051576163</v>
      </c>
      <c r="DG9" s="2489">
        <v>38.436976986220429</v>
      </c>
      <c r="DH9" s="2489">
        <v>38.923089766284477</v>
      </c>
      <c r="DI9" s="2489">
        <v>39.202769408927452</v>
      </c>
      <c r="DJ9" s="2489">
        <v>36.854965424509523</v>
      </c>
      <c r="DK9" s="2489">
        <v>36.236119514273106</v>
      </c>
      <c r="DL9" s="2489">
        <v>37.138350371748196</v>
      </c>
      <c r="DM9" s="2489">
        <v>38.936352352371884</v>
      </c>
      <c r="DN9" s="2489">
        <v>39.920747363666543</v>
      </c>
      <c r="DO9" s="2489">
        <v>40.605514524767266</v>
      </c>
      <c r="DP9" s="2489">
        <v>39.877171772575444</v>
      </c>
      <c r="DQ9" s="2489">
        <v>40.135376081692662</v>
      </c>
      <c r="DR9" s="2489">
        <v>39.767120968869634</v>
      </c>
      <c r="DS9" s="2489">
        <v>38.236477661312456</v>
      </c>
      <c r="DT9" s="2489">
        <v>36.266761483454907</v>
      </c>
      <c r="DU9" s="2489">
        <v>34.07411397709302</v>
      </c>
      <c r="DV9" s="2489">
        <v>33.970538491751711</v>
      </c>
      <c r="DW9" s="2489">
        <v>33.697482595387164</v>
      </c>
      <c r="DX9" s="2489">
        <v>32.230965810489437</v>
      </c>
      <c r="DY9" s="2489">
        <v>31.388335783391476</v>
      </c>
      <c r="DZ9" s="2489">
        <v>31.92442258285098</v>
      </c>
      <c r="EA9" s="2489">
        <v>32.110977551623179</v>
      </c>
      <c r="EB9" s="2489">
        <v>32.027660234362443</v>
      </c>
      <c r="EC9" s="2489">
        <v>31.884550718549914</v>
      </c>
      <c r="ED9" s="2489">
        <v>31.347868020467789</v>
      </c>
      <c r="EE9" s="2489">
        <v>30.27992693005519</v>
      </c>
      <c r="EF9" s="2489">
        <v>29.302344743655862</v>
      </c>
      <c r="EG9" s="2489">
        <v>30.1024054923767</v>
      </c>
      <c r="EH9" s="2489">
        <v>30.254649525692013</v>
      </c>
      <c r="EI9" s="2489">
        <v>30.114528189356157</v>
      </c>
      <c r="EJ9" s="2489">
        <v>29.979010822972629</v>
      </c>
      <c r="EK9" s="2489">
        <v>30.401556704455686</v>
      </c>
      <c r="EL9" s="2489">
        <v>30.473484408435827</v>
      </c>
      <c r="EM9" s="2490">
        <v>30.239180374258986</v>
      </c>
    </row>
    <row r="10" spans="1:143" ht="21" customHeight="1">
      <c r="A10" s="2470" t="s">
        <v>3639</v>
      </c>
      <c r="B10" s="2471">
        <v>39.5</v>
      </c>
      <c r="C10" s="2472">
        <v>39.53</v>
      </c>
      <c r="D10" s="2472">
        <v>39.369999999999997</v>
      </c>
      <c r="E10" s="2472">
        <v>38.880000000000003</v>
      </c>
      <c r="F10" s="2472">
        <v>38.69</v>
      </c>
      <c r="G10" s="2491">
        <v>38.61</v>
      </c>
      <c r="H10" s="2496">
        <v>38.42</v>
      </c>
      <c r="I10" s="2496">
        <v>38.11</v>
      </c>
      <c r="J10" s="2496">
        <v>37.68</v>
      </c>
      <c r="K10" s="2496">
        <v>38.72</v>
      </c>
      <c r="L10" s="2496">
        <v>37.39</v>
      </c>
      <c r="M10" s="2496">
        <v>37.200000000000003</v>
      </c>
      <c r="N10" s="2496">
        <v>36.71</v>
      </c>
      <c r="O10" s="2496">
        <v>37.770000000000003</v>
      </c>
      <c r="P10" s="2496">
        <v>39.159999999999997</v>
      </c>
      <c r="Q10" s="2496">
        <v>40.520000000000003</v>
      </c>
      <c r="R10" s="2496">
        <v>40.22</v>
      </c>
      <c r="S10" s="2496">
        <v>39.08</v>
      </c>
      <c r="T10" s="2496">
        <v>37.67</v>
      </c>
      <c r="U10" s="2496">
        <v>37.450000000000003</v>
      </c>
      <c r="V10" s="2496">
        <v>37.92</v>
      </c>
      <c r="W10" s="2496">
        <v>35.92</v>
      </c>
      <c r="X10" s="2496">
        <v>35.01</v>
      </c>
      <c r="Y10" s="2496">
        <v>34.89</v>
      </c>
      <c r="Z10" s="2496">
        <v>35.369999999999997</v>
      </c>
      <c r="AA10" s="2496">
        <v>36.479999999999997</v>
      </c>
      <c r="AB10" s="2496">
        <v>36.630000000000003</v>
      </c>
      <c r="AC10" s="2492">
        <v>36.6</v>
      </c>
      <c r="AD10" s="2489">
        <v>36.32</v>
      </c>
      <c r="AE10" s="2489">
        <v>36.69</v>
      </c>
      <c r="AF10" s="2489">
        <v>36.270000000000003</v>
      </c>
      <c r="AG10" s="2489">
        <v>36.159999999999997</v>
      </c>
      <c r="AH10" s="2489">
        <v>36.06</v>
      </c>
      <c r="AI10" s="2489">
        <v>37.68</v>
      </c>
      <c r="AJ10" s="2489">
        <v>38.229999999999997</v>
      </c>
      <c r="AK10" s="2489">
        <v>39.9</v>
      </c>
      <c r="AL10" s="2493">
        <v>39.07</v>
      </c>
      <c r="AM10" s="2489">
        <v>39.06</v>
      </c>
      <c r="AN10" s="2489">
        <v>39.67</v>
      </c>
      <c r="AO10" s="2489">
        <v>40.1</v>
      </c>
      <c r="AP10" s="2489">
        <v>40.44</v>
      </c>
      <c r="AQ10" s="2494">
        <v>41.97</v>
      </c>
      <c r="AR10" s="2489">
        <v>42.34</v>
      </c>
      <c r="AS10" s="2494">
        <v>42.2</v>
      </c>
      <c r="AT10" s="2493">
        <v>43.46</v>
      </c>
      <c r="AU10" s="2493">
        <v>43.72</v>
      </c>
      <c r="AV10" s="2489">
        <v>43.05</v>
      </c>
      <c r="AW10" s="2495">
        <v>44.19</v>
      </c>
      <c r="AX10" s="2494">
        <v>44.69</v>
      </c>
      <c r="AY10" s="2493">
        <v>43.96</v>
      </c>
      <c r="AZ10" s="2489">
        <v>43.06</v>
      </c>
      <c r="BA10" s="2494">
        <v>43.77</v>
      </c>
      <c r="BB10" s="2493">
        <v>46.09</v>
      </c>
      <c r="BC10" s="2489">
        <v>46.26</v>
      </c>
      <c r="BD10" s="2489">
        <v>46.86</v>
      </c>
      <c r="BE10" s="2494">
        <v>48.75</v>
      </c>
      <c r="BF10" s="2493">
        <v>49.24</v>
      </c>
      <c r="BG10" s="2493">
        <v>48.73</v>
      </c>
      <c r="BH10" s="2493">
        <v>48.8</v>
      </c>
      <c r="BI10" s="2493">
        <v>48.86</v>
      </c>
      <c r="BJ10" s="2493">
        <v>48.2</v>
      </c>
      <c r="BK10" s="2493">
        <v>48.52</v>
      </c>
      <c r="BL10" s="2493">
        <v>49.31</v>
      </c>
      <c r="BM10" s="2493">
        <v>47.73</v>
      </c>
      <c r="BN10" s="2489">
        <v>48.086100000000002</v>
      </c>
      <c r="BO10" s="2489">
        <v>46.983499999999999</v>
      </c>
      <c r="BP10" s="2489">
        <v>46.712400000000002</v>
      </c>
      <c r="BQ10" s="2489">
        <v>48.061999999999998</v>
      </c>
      <c r="BR10" s="2489">
        <v>46.351199999999999</v>
      </c>
      <c r="BS10" s="2489">
        <v>42.833500000000001</v>
      </c>
      <c r="BT10" s="2489">
        <v>41.456099999999999</v>
      </c>
      <c r="BU10" s="2493">
        <v>43.562100000000001</v>
      </c>
      <c r="BV10" s="2493">
        <v>43.444899999999997</v>
      </c>
      <c r="BW10" s="2493">
        <v>46.621499999999997</v>
      </c>
      <c r="BX10" s="2493">
        <v>43.881500000000003</v>
      </c>
      <c r="BY10" s="2493">
        <v>41.286200000000001</v>
      </c>
      <c r="BZ10" s="2489">
        <v>42.832299999999996</v>
      </c>
      <c r="CA10" s="2489">
        <v>40.188099999999999</v>
      </c>
      <c r="CB10" s="2489">
        <v>41.925800000000002</v>
      </c>
      <c r="CC10" s="2489">
        <v>42.5319</v>
      </c>
      <c r="CD10" s="2489">
        <v>42.685299999999998</v>
      </c>
      <c r="CE10" s="2489">
        <v>42.953899999999997</v>
      </c>
      <c r="CF10" s="2489">
        <v>44.591799999999999</v>
      </c>
      <c r="CG10" s="2489">
        <v>43.173200000000001</v>
      </c>
      <c r="CH10" s="2489">
        <v>44.6023</v>
      </c>
      <c r="CI10" s="2489">
        <v>43.169600000000003</v>
      </c>
      <c r="CJ10" s="2489">
        <v>43.700699999999998</v>
      </c>
      <c r="CK10" s="2489">
        <v>43.552500000000002</v>
      </c>
      <c r="CL10" s="2489">
        <v>43.598599999999998</v>
      </c>
      <c r="CM10" s="2489">
        <v>42.632599999999996</v>
      </c>
      <c r="CN10" s="2489">
        <v>42.175199999999997</v>
      </c>
      <c r="CO10" s="2489">
        <v>41.384399999999999</v>
      </c>
      <c r="CP10" s="2489">
        <v>43.67</v>
      </c>
      <c r="CQ10" s="2489">
        <v>39.448201547168935</v>
      </c>
      <c r="CR10" s="2489">
        <v>39.807171491282311</v>
      </c>
      <c r="CS10" s="2489">
        <v>38.940702517048976</v>
      </c>
      <c r="CT10" s="2489">
        <v>38.357676988847587</v>
      </c>
      <c r="CU10" s="2489">
        <v>39.309670401978977</v>
      </c>
      <c r="CV10" s="2489">
        <v>39.246129680337006</v>
      </c>
      <c r="CW10" s="2489">
        <v>38.149468486249788</v>
      </c>
      <c r="CX10" s="2489">
        <v>37.183644760024301</v>
      </c>
      <c r="CY10" s="2489">
        <v>35.816256987951803</v>
      </c>
      <c r="CZ10" s="2489">
        <v>34.477882160048139</v>
      </c>
      <c r="DA10" s="2489">
        <v>33.865590774155997</v>
      </c>
      <c r="DB10" s="2489">
        <v>32.66852165460282</v>
      </c>
      <c r="DC10" s="2489">
        <v>31.954230491382464</v>
      </c>
      <c r="DD10" s="2489">
        <v>30.867356745335403</v>
      </c>
      <c r="DE10" s="2489">
        <v>30.221697560238344</v>
      </c>
      <c r="DF10" s="2489">
        <v>30.178709401172526</v>
      </c>
      <c r="DG10" s="2489">
        <v>33.62739457612939</v>
      </c>
      <c r="DH10" s="2489">
        <v>35.734081954259914</v>
      </c>
      <c r="DI10" s="2489">
        <v>35.48793805414352</v>
      </c>
      <c r="DJ10" s="2489">
        <v>36.013985038337374</v>
      </c>
      <c r="DK10" s="2489">
        <v>36.115987691686847</v>
      </c>
      <c r="DL10" s="2489">
        <v>36.033456365461852</v>
      </c>
      <c r="DM10" s="2489">
        <v>35.55844419374759</v>
      </c>
      <c r="DN10" s="2489">
        <v>37.986345356006368</v>
      </c>
      <c r="DO10" s="2489">
        <v>37.886444081551858</v>
      </c>
      <c r="DP10" s="2489">
        <v>37.308728804994054</v>
      </c>
      <c r="DQ10" s="2489">
        <v>36.717520231807505</v>
      </c>
      <c r="DR10" s="2489">
        <v>37.432022630238933</v>
      </c>
      <c r="DS10" s="2489">
        <v>36.767619413407822</v>
      </c>
      <c r="DT10" s="2489">
        <v>36.517736578751105</v>
      </c>
      <c r="DU10" s="2489">
        <v>35.514635228848817</v>
      </c>
      <c r="DV10" s="2489">
        <v>36.574475718197725</v>
      </c>
      <c r="DW10" s="2489">
        <v>37.291945083088955</v>
      </c>
      <c r="DX10" s="2489">
        <v>37.914640898203594</v>
      </c>
      <c r="DY10" s="2489">
        <v>37.485402302991581</v>
      </c>
      <c r="DZ10" s="2489">
        <v>36.943646837407833</v>
      </c>
      <c r="EA10" s="2489">
        <v>36.229906972916744</v>
      </c>
      <c r="EB10" s="2489">
        <v>36.115347599771439</v>
      </c>
      <c r="EC10" s="2489">
        <v>36.265731638744462</v>
      </c>
      <c r="ED10" s="2489">
        <v>36.433260847058826</v>
      </c>
      <c r="EE10" s="2489">
        <v>35.79830679178211</v>
      </c>
      <c r="EF10" s="2489">
        <v>35.808276566125294</v>
      </c>
      <c r="EG10" s="2489">
        <v>36.065237773776971</v>
      </c>
      <c r="EH10" s="2489">
        <v>35.872774966760751</v>
      </c>
      <c r="EI10" s="2489">
        <v>35.728443351112084</v>
      </c>
      <c r="EJ10" s="2489">
        <v>35.500689623456935</v>
      </c>
      <c r="EK10" s="2489">
        <v>35.38919677655678</v>
      </c>
      <c r="EL10" s="2489">
        <v>35.485694226741309</v>
      </c>
      <c r="EM10" s="2490">
        <v>35.611374769673148</v>
      </c>
    </row>
    <row r="11" spans="1:143" ht="21" customHeight="1">
      <c r="A11" s="2470" t="s">
        <v>3640</v>
      </c>
      <c r="B11" s="2471">
        <v>12.75</v>
      </c>
      <c r="C11" s="2472">
        <v>13.77</v>
      </c>
      <c r="D11" s="2472">
        <v>14.71</v>
      </c>
      <c r="E11" s="2472">
        <v>14.88</v>
      </c>
      <c r="F11" s="2491">
        <v>14.22</v>
      </c>
      <c r="G11" s="2496">
        <v>14.18</v>
      </c>
      <c r="H11" s="2496">
        <v>14.15</v>
      </c>
      <c r="I11" s="2496">
        <v>14.55</v>
      </c>
      <c r="J11" s="2496">
        <v>14.9</v>
      </c>
      <c r="K11" s="2496">
        <v>15.62</v>
      </c>
      <c r="L11" s="2496">
        <v>15.77</v>
      </c>
      <c r="M11" s="2496">
        <v>15.92</v>
      </c>
      <c r="N11" s="2496">
        <v>15.48</v>
      </c>
      <c r="O11" s="2496">
        <v>15.59</v>
      </c>
      <c r="P11" s="2496">
        <v>16.22</v>
      </c>
      <c r="Q11" s="2496">
        <v>17.29</v>
      </c>
      <c r="R11" s="2496">
        <v>17.46</v>
      </c>
      <c r="S11" s="2496">
        <v>16.96</v>
      </c>
      <c r="T11" s="2496">
        <v>17.38</v>
      </c>
      <c r="U11" s="2496">
        <v>17.75</v>
      </c>
      <c r="V11" s="2496">
        <v>18.29</v>
      </c>
      <c r="W11" s="2496">
        <v>17.739999999999998</v>
      </c>
      <c r="X11" s="2496">
        <v>17.7</v>
      </c>
      <c r="Y11" s="2496">
        <v>18.079999999999998</v>
      </c>
      <c r="Z11" s="2496">
        <v>17.95</v>
      </c>
      <c r="AA11" s="2496">
        <v>17.57</v>
      </c>
      <c r="AB11" s="2496">
        <v>18.11</v>
      </c>
      <c r="AC11" s="2492">
        <v>18.02</v>
      </c>
      <c r="AD11" s="2489">
        <v>18.239999999999998</v>
      </c>
      <c r="AE11" s="2489">
        <v>18.899999999999999</v>
      </c>
      <c r="AF11" s="2489">
        <v>19.440000000000001</v>
      </c>
      <c r="AG11" s="2489">
        <v>19.8</v>
      </c>
      <c r="AH11" s="2489">
        <v>20.64</v>
      </c>
      <c r="AI11" s="2489">
        <v>20.65</v>
      </c>
      <c r="AJ11" s="2489">
        <v>20.65</v>
      </c>
      <c r="AK11" s="2489">
        <v>20.91</v>
      </c>
      <c r="AL11" s="2493">
        <v>21.53</v>
      </c>
      <c r="AM11" s="2489">
        <v>21.03</v>
      </c>
      <c r="AN11" s="2489">
        <v>20.93</v>
      </c>
      <c r="AO11" s="2489">
        <v>20.56</v>
      </c>
      <c r="AP11" s="2489">
        <v>20.84</v>
      </c>
      <c r="AQ11" s="2494">
        <v>21.28</v>
      </c>
      <c r="AR11" s="2489">
        <v>21.66</v>
      </c>
      <c r="AS11" s="2494">
        <v>21.78</v>
      </c>
      <c r="AT11" s="2493">
        <v>21.26</v>
      </c>
      <c r="AU11" s="2493">
        <v>21.21</v>
      </c>
      <c r="AV11" s="2489">
        <v>20.61</v>
      </c>
      <c r="AW11" s="2495">
        <v>19.170000000000002</v>
      </c>
      <c r="AX11" s="2494">
        <v>19.87</v>
      </c>
      <c r="AY11" s="2493">
        <v>20.12</v>
      </c>
      <c r="AZ11" s="2489">
        <v>19.09</v>
      </c>
      <c r="BA11" s="2494">
        <v>19.739999999999998</v>
      </c>
      <c r="BB11" s="2493">
        <v>21.42</v>
      </c>
      <c r="BC11" s="2489">
        <v>21.56</v>
      </c>
      <c r="BD11" s="2489">
        <v>22.13</v>
      </c>
      <c r="BE11" s="2494">
        <v>22.78</v>
      </c>
      <c r="BF11" s="2493">
        <v>23.78</v>
      </c>
      <c r="BG11" s="2493">
        <v>23.25</v>
      </c>
      <c r="BH11" s="2493">
        <v>23.43</v>
      </c>
      <c r="BI11" s="2493">
        <v>23.61</v>
      </c>
      <c r="BJ11" s="2493">
        <v>23.96</v>
      </c>
      <c r="BK11" s="2493">
        <v>23.37</v>
      </c>
      <c r="BL11" s="2493">
        <v>24.71</v>
      </c>
      <c r="BM11" s="2493">
        <v>24.59</v>
      </c>
      <c r="BN11" s="2489">
        <v>22.378499999999999</v>
      </c>
      <c r="BO11" s="2489">
        <v>23.5595</v>
      </c>
      <c r="BP11" s="2489">
        <v>23.744900000000001</v>
      </c>
      <c r="BQ11" s="2489">
        <v>23.664000000000001</v>
      </c>
      <c r="BR11" s="2489">
        <v>22.620100000000001</v>
      </c>
      <c r="BS11" s="2489">
        <v>22.884499999999999</v>
      </c>
      <c r="BT11" s="2489">
        <v>22.8843</v>
      </c>
      <c r="BU11" s="2493">
        <v>21.301300000000001</v>
      </c>
      <c r="BV11" s="2493">
        <v>20.659300000000002</v>
      </c>
      <c r="BW11" s="2493">
        <v>22.065799999999999</v>
      </c>
      <c r="BX11" s="2493">
        <v>21.183299999999999</v>
      </c>
      <c r="BY11" s="2493">
        <v>19.969200000000001</v>
      </c>
      <c r="BZ11" s="2489">
        <v>20.2379</v>
      </c>
      <c r="CA11" s="2489">
        <v>19.410599999999999</v>
      </c>
      <c r="CB11" s="2489">
        <v>19.113299999999999</v>
      </c>
      <c r="CC11" s="2489">
        <v>17.889099999999999</v>
      </c>
      <c r="CD11" s="2489">
        <v>18.799499999999998</v>
      </c>
      <c r="CE11" s="2489">
        <v>17.034300000000002</v>
      </c>
      <c r="CF11" s="2489">
        <v>17.554300000000001</v>
      </c>
      <c r="CG11" s="2489">
        <v>19.397200000000002</v>
      </c>
      <c r="CH11" s="2489">
        <v>19.4407</v>
      </c>
      <c r="CI11" s="2489">
        <v>20.904</v>
      </c>
      <c r="CJ11" s="2489">
        <v>21.625800000000002</v>
      </c>
      <c r="CK11" s="2489">
        <v>21.570499999999999</v>
      </c>
      <c r="CL11" s="2489">
        <v>22.291499999999999</v>
      </c>
      <c r="CM11" s="2489">
        <v>22.784600000000001</v>
      </c>
      <c r="CN11" s="2489">
        <v>22.831800000000001</v>
      </c>
      <c r="CO11" s="2489">
        <v>22.0383</v>
      </c>
      <c r="CP11" s="2489">
        <v>23.433</v>
      </c>
      <c r="CQ11" s="2489">
        <v>22.51049273070306</v>
      </c>
      <c r="CR11" s="2489">
        <v>22.336767871231114</v>
      </c>
      <c r="CS11" s="2489">
        <v>22.793092906244446</v>
      </c>
      <c r="CT11" s="2489">
        <v>23.060329477308553</v>
      </c>
      <c r="CU11" s="2489">
        <v>23.337104069673778</v>
      </c>
      <c r="CV11" s="2489">
        <v>24.118294648096278</v>
      </c>
      <c r="CW11" s="2489">
        <v>23.589894136371111</v>
      </c>
      <c r="CX11" s="2489">
        <v>22.795094819590112</v>
      </c>
      <c r="CY11" s="2489">
        <v>22.416091104349775</v>
      </c>
      <c r="CZ11" s="2489">
        <v>22.725342012365555</v>
      </c>
      <c r="DA11" s="2489">
        <v>23.661131014326443</v>
      </c>
      <c r="DB11" s="2489">
        <v>24.056207648872835</v>
      </c>
      <c r="DC11" s="2489">
        <v>24.924314847970226</v>
      </c>
      <c r="DD11" s="2489">
        <v>24.388963015491996</v>
      </c>
      <c r="DE11" s="2489">
        <v>22.70873714052378</v>
      </c>
      <c r="DF11" s="2489">
        <v>23.871387011537891</v>
      </c>
      <c r="DG11" s="2489">
        <v>22.792030638855557</v>
      </c>
      <c r="DH11" s="2489">
        <v>23.24533933484139</v>
      </c>
      <c r="DI11" s="2489">
        <v>24.529134306086224</v>
      </c>
      <c r="DJ11" s="2489">
        <v>24.848610985568889</v>
      </c>
      <c r="DK11" s="2489">
        <v>24.240495011753776</v>
      </c>
      <c r="DL11" s="2489">
        <v>24.386561242900221</v>
      </c>
      <c r="DM11" s="2489">
        <v>22.994650279172497</v>
      </c>
      <c r="DN11" s="2489">
        <v>25.090290364783996</v>
      </c>
      <c r="DO11" s="2489">
        <v>25.666515317183556</v>
      </c>
      <c r="DP11" s="2489">
        <v>24.988856378657555</v>
      </c>
      <c r="DQ11" s="2489">
        <v>25.917974672244668</v>
      </c>
      <c r="DR11" s="2489">
        <v>25.930719278911337</v>
      </c>
      <c r="DS11" s="2489">
        <v>25.869438811000002</v>
      </c>
      <c r="DT11" s="2489">
        <v>25.712930900833335</v>
      </c>
      <c r="DU11" s="2489">
        <v>25.786687684722221</v>
      </c>
      <c r="DV11" s="2489">
        <v>25.993485631277778</v>
      </c>
      <c r="DW11" s="2489">
        <v>26.439144016611113</v>
      </c>
      <c r="DX11" s="2489">
        <v>26.966896213611111</v>
      </c>
      <c r="DY11" s="2489">
        <v>25.538747780277777</v>
      </c>
      <c r="DZ11" s="2489">
        <v>24.589657090833335</v>
      </c>
      <c r="EA11" s="2489">
        <v>25.075136399722222</v>
      </c>
      <c r="EB11" s="2489">
        <v>24.438111794388888</v>
      </c>
      <c r="EC11" s="2489">
        <v>25.846341576055554</v>
      </c>
      <c r="ED11" s="2489">
        <v>25.441311304833334</v>
      </c>
      <c r="EE11" s="2489">
        <v>25.097562516388887</v>
      </c>
      <c r="EF11" s="2489">
        <v>25.265607173611116</v>
      </c>
      <c r="EG11" s="2489">
        <v>25.208304772833337</v>
      </c>
      <c r="EH11" s="2489">
        <v>25.829731957499998</v>
      </c>
      <c r="EI11" s="2489">
        <v>26.674977349277782</v>
      </c>
      <c r="EJ11" s="2489">
        <v>26.255111351833335</v>
      </c>
      <c r="EK11" s="2489">
        <v>26.230697952915552</v>
      </c>
      <c r="EL11" s="2489">
        <v>27.007198896257776</v>
      </c>
      <c r="EM11" s="2490">
        <v>26.397489492166667</v>
      </c>
    </row>
    <row r="12" spans="1:143" ht="21" customHeight="1">
      <c r="A12" s="2470" t="s">
        <v>3641</v>
      </c>
      <c r="B12" s="2471">
        <v>16.850000000000001</v>
      </c>
      <c r="C12" s="2472">
        <v>17.010000000000002</v>
      </c>
      <c r="D12" s="2472">
        <v>17.2</v>
      </c>
      <c r="E12" s="2491">
        <v>17.27</v>
      </c>
      <c r="F12" s="2496">
        <v>17.170000000000002</v>
      </c>
      <c r="G12" s="2496">
        <v>17.29</v>
      </c>
      <c r="H12" s="2496">
        <v>16.989999999999998</v>
      </c>
      <c r="I12" s="2496">
        <v>17.09</v>
      </c>
      <c r="J12" s="2496">
        <v>17.05</v>
      </c>
      <c r="K12" s="2496">
        <v>17.14</v>
      </c>
      <c r="L12" s="2496">
        <v>16.64</v>
      </c>
      <c r="M12" s="2496">
        <v>16.309999999999999</v>
      </c>
      <c r="N12" s="2496">
        <v>15.88</v>
      </c>
      <c r="O12" s="2496">
        <v>15.78</v>
      </c>
      <c r="P12" s="2496">
        <v>16.29</v>
      </c>
      <c r="Q12" s="2496">
        <v>16.98</v>
      </c>
      <c r="R12" s="2496">
        <v>17.11</v>
      </c>
      <c r="S12" s="2496">
        <v>16.95</v>
      </c>
      <c r="T12" s="2496">
        <v>16.96</v>
      </c>
      <c r="U12" s="2496">
        <v>16.8</v>
      </c>
      <c r="V12" s="2496">
        <v>16.64</v>
      </c>
      <c r="W12" s="2496">
        <v>16.010000000000002</v>
      </c>
      <c r="X12" s="2496">
        <v>15.57</v>
      </c>
      <c r="Y12" s="2496">
        <v>15.47</v>
      </c>
      <c r="Z12" s="2496">
        <v>16.2</v>
      </c>
      <c r="AA12" s="2496">
        <v>16.579999999999998</v>
      </c>
      <c r="AB12" s="2496">
        <v>16.940000000000001</v>
      </c>
      <c r="AC12" s="2492">
        <v>16.760000000000002</v>
      </c>
      <c r="AD12" s="2489">
        <v>16.75</v>
      </c>
      <c r="AE12" s="2489">
        <v>16.95</v>
      </c>
      <c r="AF12" s="2489">
        <v>17.22</v>
      </c>
      <c r="AG12" s="2489">
        <v>17.48</v>
      </c>
      <c r="AH12" s="2489">
        <v>17.66</v>
      </c>
      <c r="AI12" s="2489">
        <v>17.62</v>
      </c>
      <c r="AJ12" s="2489">
        <v>17.760000000000002</v>
      </c>
      <c r="AK12" s="2489">
        <v>17.940000000000001</v>
      </c>
      <c r="AL12" s="2493">
        <v>18</v>
      </c>
      <c r="AM12" s="2489">
        <v>17.89</v>
      </c>
      <c r="AN12" s="2489">
        <v>17.77</v>
      </c>
      <c r="AO12" s="2489">
        <v>18.16</v>
      </c>
      <c r="AP12" s="2489">
        <v>17.98</v>
      </c>
      <c r="AQ12" s="2494">
        <v>18.22</v>
      </c>
      <c r="AR12" s="2489">
        <v>18.25</v>
      </c>
      <c r="AS12" s="2494">
        <v>18.37</v>
      </c>
      <c r="AT12" s="2493">
        <v>18.72</v>
      </c>
      <c r="AU12" s="2493">
        <v>19.16</v>
      </c>
      <c r="AV12" s="2489">
        <v>19.239999999999998</v>
      </c>
      <c r="AW12" s="2495">
        <v>19.36</v>
      </c>
      <c r="AX12" s="2494">
        <v>19.82</v>
      </c>
      <c r="AY12" s="2493">
        <v>19.899999999999999</v>
      </c>
      <c r="AZ12" s="2489">
        <v>19.75</v>
      </c>
      <c r="BA12" s="2494">
        <v>20.18</v>
      </c>
      <c r="BB12" s="2493">
        <v>20.92</v>
      </c>
      <c r="BC12" s="2489">
        <v>20.84</v>
      </c>
      <c r="BD12" s="2489">
        <v>21.32</v>
      </c>
      <c r="BE12" s="2494">
        <v>21.82</v>
      </c>
      <c r="BF12" s="2493">
        <v>22.09</v>
      </c>
      <c r="BG12" s="2493">
        <v>22.16</v>
      </c>
      <c r="BH12" s="2493">
        <v>22.06</v>
      </c>
      <c r="BI12" s="2493">
        <v>22.04</v>
      </c>
      <c r="BJ12" s="2493">
        <v>21.58</v>
      </c>
      <c r="BK12" s="2493">
        <v>21.06</v>
      </c>
      <c r="BL12" s="2493">
        <v>21.09</v>
      </c>
      <c r="BM12" s="2493">
        <v>21.22</v>
      </c>
      <c r="BN12" s="2489">
        <v>20.9954</v>
      </c>
      <c r="BO12" s="2489">
        <v>21.017099999999999</v>
      </c>
      <c r="BP12" s="2489">
        <v>21.5122</v>
      </c>
      <c r="BQ12" s="2489">
        <v>21.28</v>
      </c>
      <c r="BR12" s="2489">
        <v>20.305299999999999</v>
      </c>
      <c r="BS12" s="2489">
        <v>20.776700000000002</v>
      </c>
      <c r="BT12" s="2489">
        <v>20.2807</v>
      </c>
      <c r="BU12" s="2493">
        <v>19.541499999999999</v>
      </c>
      <c r="BV12" s="2493">
        <v>19.653500000000001</v>
      </c>
      <c r="BW12" s="2493">
        <v>20.8475</v>
      </c>
      <c r="BX12" s="2493">
        <v>20.518699999999999</v>
      </c>
      <c r="BY12" s="2493">
        <v>20.022099999999998</v>
      </c>
      <c r="BZ12" s="2489">
        <v>20.439599999999999</v>
      </c>
      <c r="CA12" s="2489">
        <v>20.322500000000002</v>
      </c>
      <c r="CB12" s="2489">
        <v>22.139800000000001</v>
      </c>
      <c r="CC12" s="2489">
        <v>21.678899999999999</v>
      </c>
      <c r="CD12" s="2489">
        <v>22.704000000000001</v>
      </c>
      <c r="CE12" s="2489">
        <v>22.2697</v>
      </c>
      <c r="CF12" s="2489">
        <v>22.7026</v>
      </c>
      <c r="CG12" s="2489">
        <v>22.583300000000001</v>
      </c>
      <c r="CH12" s="2489">
        <v>23.343699999999998</v>
      </c>
      <c r="CI12" s="2489">
        <v>23.0563</v>
      </c>
      <c r="CJ12" s="2489">
        <v>22.9482</v>
      </c>
      <c r="CK12" s="2489">
        <v>22.869599999999998</v>
      </c>
      <c r="CL12" s="2489">
        <v>22.714200000000002</v>
      </c>
      <c r="CM12" s="2489">
        <v>22.4344</v>
      </c>
      <c r="CN12" s="2489">
        <v>22.424900000000001</v>
      </c>
      <c r="CO12" s="2489">
        <v>22.178899999999999</v>
      </c>
      <c r="CP12" s="2489">
        <v>24.553999999999998</v>
      </c>
      <c r="CQ12" s="2489">
        <v>22.979750736309903</v>
      </c>
      <c r="CR12" s="2489">
        <v>23.495568976502462</v>
      </c>
      <c r="CS12" s="2489">
        <v>23.604589318060253</v>
      </c>
      <c r="CT12" s="2489">
        <v>23.620461858123285</v>
      </c>
      <c r="CU12" s="2489">
        <v>23.824710124065025</v>
      </c>
      <c r="CV12" s="2489">
        <v>24.344978340879724</v>
      </c>
      <c r="CW12" s="2489">
        <v>23.827363422350967</v>
      </c>
      <c r="CX12" s="2489">
        <v>23.861557086273912</v>
      </c>
      <c r="CY12" s="2489">
        <v>23.450030409655408</v>
      </c>
      <c r="CZ12" s="2489">
        <v>23.184874091554882</v>
      </c>
      <c r="DA12" s="2489">
        <v>23.349825866339689</v>
      </c>
      <c r="DB12" s="2489">
        <v>23.635256762272142</v>
      </c>
      <c r="DC12" s="2489">
        <v>23.940245247973078</v>
      </c>
      <c r="DD12" s="2489">
        <v>23.82665098114591</v>
      </c>
      <c r="DE12" s="2489">
        <v>22.950400022204978</v>
      </c>
      <c r="DF12" s="2489">
        <v>23.632280686171832</v>
      </c>
      <c r="DG12" s="2489">
        <v>23.13748750823979</v>
      </c>
      <c r="DH12" s="2489">
        <v>23.213978027797367</v>
      </c>
      <c r="DI12" s="2489">
        <v>23.817876536408367</v>
      </c>
      <c r="DJ12" s="2489">
        <v>23.753362621030423</v>
      </c>
      <c r="DK12" s="2489">
        <v>23.642961968781471</v>
      </c>
      <c r="DL12" s="2489">
        <v>24.061781927536874</v>
      </c>
      <c r="DM12" s="2489">
        <v>23.806851042410237</v>
      </c>
      <c r="DN12" s="2489">
        <v>24.851950656125886</v>
      </c>
      <c r="DO12" s="2489">
        <v>25.472975659131631</v>
      </c>
      <c r="DP12" s="2489">
        <v>24.990812427548175</v>
      </c>
      <c r="DQ12" s="2489">
        <v>25.397186926426055</v>
      </c>
      <c r="DR12" s="2489">
        <v>25.915181864363976</v>
      </c>
      <c r="DS12" s="2489">
        <v>25.816646508587684</v>
      </c>
      <c r="DT12" s="2489">
        <v>25.538142405657677</v>
      </c>
      <c r="DU12" s="2489">
        <v>24.982501117539673</v>
      </c>
      <c r="DV12" s="2489">
        <v>25.290554705950132</v>
      </c>
      <c r="DW12" s="2489">
        <v>25.58136703605134</v>
      </c>
      <c r="DX12" s="2489">
        <v>25.598557554753821</v>
      </c>
      <c r="DY12" s="2489">
        <v>25.1295938683676</v>
      </c>
      <c r="DZ12" s="2489">
        <v>24.989095079094763</v>
      </c>
      <c r="EA12" s="2489">
        <v>24.77068293294829</v>
      </c>
      <c r="EB12" s="2489">
        <v>24.706018811918657</v>
      </c>
      <c r="EC12" s="2489">
        <v>24.888127646674622</v>
      </c>
      <c r="ED12" s="2489">
        <v>24.91482989172415</v>
      </c>
      <c r="EE12" s="2489">
        <v>24.70227848317171</v>
      </c>
      <c r="EF12" s="2489">
        <v>24.312816946908935</v>
      </c>
      <c r="EG12" s="2489">
        <v>24.179187798932041</v>
      </c>
      <c r="EH12" s="2489">
        <v>24.302293572645016</v>
      </c>
      <c r="EI12" s="2489">
        <v>24.406026689994746</v>
      </c>
      <c r="EJ12" s="2489">
        <v>24.457851961206529</v>
      </c>
      <c r="EK12" s="2489">
        <v>24.635790605659434</v>
      </c>
      <c r="EL12" s="2489">
        <v>24.749635173370081</v>
      </c>
      <c r="EM12" s="2490">
        <v>24.966644486821696</v>
      </c>
    </row>
    <row r="13" spans="1:143" ht="21" customHeight="1">
      <c r="A13" s="2470" t="s">
        <v>3642</v>
      </c>
      <c r="B13" s="2471">
        <v>2.71</v>
      </c>
      <c r="C13" s="2472">
        <v>2.92</v>
      </c>
      <c r="D13" s="2472">
        <v>3.18</v>
      </c>
      <c r="E13" s="2491">
        <v>2.95</v>
      </c>
      <c r="F13" s="2496">
        <v>3</v>
      </c>
      <c r="G13" s="2496">
        <v>2.85</v>
      </c>
      <c r="H13" s="2496">
        <v>2.87</v>
      </c>
      <c r="I13" s="2496">
        <v>3</v>
      </c>
      <c r="J13" s="2496">
        <v>3.25</v>
      </c>
      <c r="K13" s="2496">
        <v>3.46</v>
      </c>
      <c r="L13" s="2496">
        <v>3.38</v>
      </c>
      <c r="M13" s="2496">
        <v>3.55</v>
      </c>
      <c r="N13" s="2496">
        <v>3.52</v>
      </c>
      <c r="O13" s="2496">
        <v>3.96</v>
      </c>
      <c r="P13" s="2496">
        <v>3.57</v>
      </c>
      <c r="Q13" s="2496">
        <v>4</v>
      </c>
      <c r="R13" s="2496">
        <v>4.0999999999999996</v>
      </c>
      <c r="S13" s="2496">
        <v>4.0599999999999996</v>
      </c>
      <c r="T13" s="2496">
        <v>4.13</v>
      </c>
      <c r="U13" s="2496">
        <v>4.2300000000000004</v>
      </c>
      <c r="V13" s="2496">
        <v>4.5</v>
      </c>
      <c r="W13" s="2496">
        <v>4.12</v>
      </c>
      <c r="X13" s="2496">
        <v>3.79</v>
      </c>
      <c r="Y13" s="2496">
        <v>3.99</v>
      </c>
      <c r="Z13" s="2496">
        <v>4.33</v>
      </c>
      <c r="AA13" s="2496">
        <v>4.13</v>
      </c>
      <c r="AB13" s="2496">
        <v>4.47</v>
      </c>
      <c r="AC13" s="2492">
        <v>4.63</v>
      </c>
      <c r="AD13" s="2489">
        <v>4.66</v>
      </c>
      <c r="AE13" s="2489">
        <v>4.37</v>
      </c>
      <c r="AF13" s="2489">
        <v>4.5599999999999996</v>
      </c>
      <c r="AG13" s="2489">
        <v>4.8099999999999996</v>
      </c>
      <c r="AH13" s="2489">
        <v>5.04</v>
      </c>
      <c r="AI13" s="2489">
        <v>5.15</v>
      </c>
      <c r="AJ13" s="2489">
        <v>4.95</v>
      </c>
      <c r="AK13" s="2489">
        <v>4.75</v>
      </c>
      <c r="AL13" s="2493">
        <v>4.87</v>
      </c>
      <c r="AM13" s="2489">
        <v>4.49</v>
      </c>
      <c r="AN13" s="2489">
        <v>4.5199999999999996</v>
      </c>
      <c r="AO13" s="2489">
        <v>4.59</v>
      </c>
      <c r="AP13" s="2489">
        <v>4.67</v>
      </c>
      <c r="AQ13" s="2494">
        <v>4.88</v>
      </c>
      <c r="AR13" s="2489">
        <v>4.6500000000000004</v>
      </c>
      <c r="AS13" s="2494">
        <v>4.83</v>
      </c>
      <c r="AT13" s="2493">
        <v>4.9800000000000004</v>
      </c>
      <c r="AU13" s="2493">
        <v>5.15</v>
      </c>
      <c r="AV13" s="2489">
        <v>5.12</v>
      </c>
      <c r="AW13" s="2495">
        <v>5.13</v>
      </c>
      <c r="AX13" s="2494">
        <v>5.14</v>
      </c>
      <c r="AY13" s="2493">
        <v>4.74</v>
      </c>
      <c r="AZ13" s="2489">
        <v>4.4800000000000004</v>
      </c>
      <c r="BA13" s="2494">
        <v>4.7</v>
      </c>
      <c r="BB13" s="2493">
        <v>4.72</v>
      </c>
      <c r="BC13" s="2489">
        <v>4.41</v>
      </c>
      <c r="BD13" s="2489">
        <v>4.54</v>
      </c>
      <c r="BE13" s="2494">
        <v>4.83</v>
      </c>
      <c r="BF13" s="2493">
        <v>4.97</v>
      </c>
      <c r="BG13" s="2493">
        <v>4.7699999999999996</v>
      </c>
      <c r="BH13" s="2493">
        <v>4.75</v>
      </c>
      <c r="BI13" s="2493">
        <v>4.6399999999999997</v>
      </c>
      <c r="BJ13" s="2493">
        <v>4.6399999999999997</v>
      </c>
      <c r="BK13" s="2493">
        <v>4.5599999999999996</v>
      </c>
      <c r="BL13" s="2493">
        <v>4.6100000000000003</v>
      </c>
      <c r="BM13" s="2493">
        <v>4.5599999999999996</v>
      </c>
      <c r="BN13" s="2489">
        <v>4.5206999999999997</v>
      </c>
      <c r="BO13" s="2489">
        <v>4.5956000000000001</v>
      </c>
      <c r="BP13" s="2489">
        <v>4.8032000000000004</v>
      </c>
      <c r="BQ13" s="2489">
        <v>4.5529999999999999</v>
      </c>
      <c r="BR13" s="2489">
        <v>4.3357000000000001</v>
      </c>
      <c r="BS13" s="2489">
        <v>4.0781999999999998</v>
      </c>
      <c r="BT13" s="2489">
        <v>3.7519</v>
      </c>
      <c r="BU13" s="2493">
        <v>3.3517999999999999</v>
      </c>
      <c r="BV13" s="2493">
        <v>3.5573999999999999</v>
      </c>
      <c r="BW13" s="2493">
        <v>3.7837999999999998</v>
      </c>
      <c r="BX13" s="2493">
        <v>3.5583</v>
      </c>
      <c r="BY13" s="2493">
        <v>3.7401</v>
      </c>
      <c r="BZ13" s="2489">
        <v>3.7854000000000001</v>
      </c>
      <c r="CA13" s="2489">
        <v>3.5169000000000001</v>
      </c>
      <c r="CB13" s="2489">
        <v>3.3273000000000001</v>
      </c>
      <c r="CC13" s="2489">
        <v>3.3462999999999998</v>
      </c>
      <c r="CD13" s="2489">
        <v>3.5257999999999998</v>
      </c>
      <c r="CE13" s="2489">
        <v>3.3893</v>
      </c>
      <c r="CF13" s="2489">
        <v>3.5701000000000001</v>
      </c>
      <c r="CG13" s="2489">
        <v>3.6092</v>
      </c>
      <c r="CH13" s="2489">
        <v>4.0724</v>
      </c>
      <c r="CI13" s="2489">
        <v>4.1806000000000001</v>
      </c>
      <c r="CJ13" s="2489">
        <v>4.2778</v>
      </c>
      <c r="CK13" s="2489">
        <v>4.2488999999999999</v>
      </c>
      <c r="CL13" s="2489">
        <v>4.2328000000000001</v>
      </c>
      <c r="CM13" s="2489">
        <v>4.3078000000000003</v>
      </c>
      <c r="CN13" s="2489">
        <v>4.08</v>
      </c>
      <c r="CO13" s="2489">
        <v>4.1981000000000002</v>
      </c>
      <c r="CP13" s="2489">
        <v>4.5529999999999999</v>
      </c>
      <c r="CQ13" s="2489">
        <v>4.2662881482292896</v>
      </c>
      <c r="CR13" s="2489">
        <v>4.3535725233239067</v>
      </c>
      <c r="CS13" s="2489">
        <v>4.4865622356295907</v>
      </c>
      <c r="CT13" s="2489">
        <v>4.3900698063661805</v>
      </c>
      <c r="CU13" s="2489">
        <v>4.4187592485586178</v>
      </c>
      <c r="CV13" s="2489">
        <v>4.7503250125142289</v>
      </c>
      <c r="CW13" s="2489">
        <v>4.2975873036653569</v>
      </c>
      <c r="CX13" s="2489">
        <v>4.3563444364321553</v>
      </c>
      <c r="CY13" s="2489">
        <v>4.3519041504246037</v>
      </c>
      <c r="CZ13" s="2489">
        <v>4.3385934646244273</v>
      </c>
      <c r="DA13" s="2489">
        <v>4.1803338495633389</v>
      </c>
      <c r="DB13" s="2489">
        <v>4.3043798954782542</v>
      </c>
      <c r="DC13" s="2489">
        <v>4.3045015357541692</v>
      </c>
      <c r="DD13" s="2489">
        <v>4.0919531515976555</v>
      </c>
      <c r="DE13" s="2489">
        <v>3.7402603868307662</v>
      </c>
      <c r="DF13" s="2489">
        <v>3.8001448787588425</v>
      </c>
      <c r="DG13" s="2489">
        <v>3.620326359587414</v>
      </c>
      <c r="DH13" s="2489">
        <v>3.7169001136883479</v>
      </c>
      <c r="DI13" s="2489">
        <v>3.8416332838487675</v>
      </c>
      <c r="DJ13" s="2489">
        <v>3.9856940794946629</v>
      </c>
      <c r="DK13" s="2489">
        <v>3.8804111840386954</v>
      </c>
      <c r="DL13" s="2489">
        <v>3.8606235174531576</v>
      </c>
      <c r="DM13" s="2489">
        <v>3.6140125567878885</v>
      </c>
      <c r="DN13" s="2489">
        <v>3.8222119233774383</v>
      </c>
      <c r="DO13" s="2489">
        <v>3.8982737788837141</v>
      </c>
      <c r="DP13" s="2489">
        <v>3.7075567501245077</v>
      </c>
      <c r="DQ13" s="2489">
        <v>3.8035214549025018</v>
      </c>
      <c r="DR13" s="2489">
        <v>3.6821802638359498</v>
      </c>
      <c r="DS13" s="2489">
        <v>3.6104313236909489</v>
      </c>
      <c r="DT13" s="2489">
        <v>3.7007841237688299</v>
      </c>
      <c r="DU13" s="2489">
        <v>3.4514575122022371</v>
      </c>
      <c r="DV13" s="2489">
        <v>3.5684358295906375</v>
      </c>
      <c r="DW13" s="2489">
        <v>3.4586282264401969</v>
      </c>
      <c r="DX13" s="2489">
        <v>3.5433765177716734</v>
      </c>
      <c r="DY13" s="2489">
        <v>3.1577101274674666</v>
      </c>
      <c r="DZ13" s="2489">
        <v>3.1948623579755697</v>
      </c>
      <c r="EA13" s="2489">
        <v>3.2216301226697301</v>
      </c>
      <c r="EB13" s="2489">
        <v>3.0618062191133828</v>
      </c>
      <c r="EC13" s="2489">
        <v>3.1069691383618969</v>
      </c>
      <c r="ED13" s="2489">
        <v>3.1246810292932805</v>
      </c>
      <c r="EE13" s="2489">
        <v>3.0611223955103966</v>
      </c>
      <c r="EF13" s="2489">
        <v>2.9708024823330113</v>
      </c>
      <c r="EG13" s="2489">
        <v>2.7589730951480038</v>
      </c>
      <c r="EH13" s="2489">
        <v>2.8939377336566787</v>
      </c>
      <c r="EI13" s="2489">
        <v>2.9199374237218771</v>
      </c>
      <c r="EJ13" s="2489">
        <v>2.9219567255974672</v>
      </c>
      <c r="EK13" s="2489">
        <v>2.9761863492894265</v>
      </c>
      <c r="EL13" s="2489">
        <v>2.9283808905926496</v>
      </c>
      <c r="EM13" s="2490">
        <v>2.9214277143540328</v>
      </c>
    </row>
    <row r="14" spans="1:143" ht="21" customHeight="1">
      <c r="A14" s="2470" t="s">
        <v>3643</v>
      </c>
      <c r="B14" s="2471">
        <v>17.87</v>
      </c>
      <c r="C14" s="2472">
        <v>18.78</v>
      </c>
      <c r="D14" s="2491">
        <v>19.48</v>
      </c>
      <c r="E14" s="2496">
        <v>20.260000000000002</v>
      </c>
      <c r="F14" s="2496">
        <v>20.239999999999998</v>
      </c>
      <c r="G14" s="2496">
        <v>20.03</v>
      </c>
      <c r="H14" s="2496">
        <v>20.07</v>
      </c>
      <c r="I14" s="2496">
        <v>20.16</v>
      </c>
      <c r="J14" s="2496">
        <v>20.02</v>
      </c>
      <c r="K14" s="2496">
        <v>21.23</v>
      </c>
      <c r="L14" s="2496">
        <v>21.08</v>
      </c>
      <c r="M14" s="2496">
        <v>20.61</v>
      </c>
      <c r="N14" s="2496">
        <v>20.32</v>
      </c>
      <c r="O14" s="2496">
        <v>20.34</v>
      </c>
      <c r="P14" s="2496">
        <v>21.62</v>
      </c>
      <c r="Q14" s="2496">
        <v>21.81</v>
      </c>
      <c r="R14" s="2496">
        <v>21.77</v>
      </c>
      <c r="S14" s="2496">
        <v>20.79</v>
      </c>
      <c r="T14" s="2496">
        <v>21.87</v>
      </c>
      <c r="U14" s="2496">
        <v>21.61</v>
      </c>
      <c r="V14" s="2496">
        <v>21.84</v>
      </c>
      <c r="W14" s="2496">
        <v>21.6</v>
      </c>
      <c r="X14" s="2496">
        <v>20.73</v>
      </c>
      <c r="Y14" s="2496">
        <v>20.5</v>
      </c>
      <c r="Z14" s="2496">
        <v>21.07</v>
      </c>
      <c r="AA14" s="2496">
        <v>21.66</v>
      </c>
      <c r="AB14" s="2496">
        <v>22.72</v>
      </c>
      <c r="AC14" s="2492">
        <v>22.5</v>
      </c>
      <c r="AD14" s="2489">
        <v>22.32</v>
      </c>
      <c r="AE14" s="2489">
        <v>22.56</v>
      </c>
      <c r="AF14" s="2489">
        <v>22.87</v>
      </c>
      <c r="AG14" s="2489">
        <v>23.97</v>
      </c>
      <c r="AH14" s="2489">
        <v>25.13</v>
      </c>
      <c r="AI14" s="2489">
        <v>25.15</v>
      </c>
      <c r="AJ14" s="2489">
        <v>24.23</v>
      </c>
      <c r="AK14" s="2489">
        <v>24.43</v>
      </c>
      <c r="AL14" s="2493">
        <v>24.63</v>
      </c>
      <c r="AM14" s="2489">
        <v>23.67</v>
      </c>
      <c r="AN14" s="2489">
        <v>23.14</v>
      </c>
      <c r="AO14" s="2489">
        <v>23.22</v>
      </c>
      <c r="AP14" s="2489">
        <v>23.64</v>
      </c>
      <c r="AQ14" s="2494">
        <v>23.58</v>
      </c>
      <c r="AR14" s="2489">
        <v>23.85</v>
      </c>
      <c r="AS14" s="2494">
        <v>23.42</v>
      </c>
      <c r="AT14" s="2493">
        <v>23.52</v>
      </c>
      <c r="AU14" s="2493">
        <v>24.02</v>
      </c>
      <c r="AV14" s="2489">
        <v>23.42</v>
      </c>
      <c r="AW14" s="2495">
        <v>23.9</v>
      </c>
      <c r="AX14" s="2494">
        <v>24.65</v>
      </c>
      <c r="AY14" s="2493">
        <v>25.64</v>
      </c>
      <c r="AZ14" s="2489">
        <v>25.23</v>
      </c>
      <c r="BA14" s="2494">
        <v>25.63</v>
      </c>
      <c r="BB14" s="2493">
        <v>26.68</v>
      </c>
      <c r="BC14" s="2489">
        <v>26.42</v>
      </c>
      <c r="BD14" s="2489">
        <v>26.56</v>
      </c>
      <c r="BE14" s="2494">
        <v>27.71</v>
      </c>
      <c r="BF14" s="2493">
        <v>27.56</v>
      </c>
      <c r="BG14" s="2493">
        <v>26.95</v>
      </c>
      <c r="BH14" s="2493">
        <v>27.48</v>
      </c>
      <c r="BI14" s="2493">
        <v>27.2</v>
      </c>
      <c r="BJ14" s="2493">
        <v>26.9</v>
      </c>
      <c r="BK14" s="2493">
        <v>26.01</v>
      </c>
      <c r="BL14" s="2493">
        <v>26.04</v>
      </c>
      <c r="BM14" s="2493">
        <v>26.46</v>
      </c>
      <c r="BN14" s="2489">
        <v>26.400200000000002</v>
      </c>
      <c r="BO14" s="2489">
        <v>26.584900000000001</v>
      </c>
      <c r="BP14" s="2489">
        <v>26.7209</v>
      </c>
      <c r="BQ14" s="2489">
        <v>27.303999999999998</v>
      </c>
      <c r="BR14" s="2489">
        <v>25.878499999999999</v>
      </c>
      <c r="BS14" s="2489">
        <v>27.0215</v>
      </c>
      <c r="BT14" s="2489">
        <v>26.695599999999999</v>
      </c>
      <c r="BU14" s="2493">
        <v>26.8569</v>
      </c>
      <c r="BV14" s="2493">
        <v>25.628499999999999</v>
      </c>
      <c r="BW14" s="2493">
        <v>26.9651</v>
      </c>
      <c r="BX14" s="2493">
        <v>27.309100000000001</v>
      </c>
      <c r="BY14" s="2493">
        <v>26.000499999999999</v>
      </c>
      <c r="BZ14" s="2489">
        <v>26.302299999999999</v>
      </c>
      <c r="CA14" s="2489">
        <v>26.456700000000001</v>
      </c>
      <c r="CB14" s="2489">
        <v>28.609500000000001</v>
      </c>
      <c r="CC14" s="2489">
        <v>27.107099999999999</v>
      </c>
      <c r="CD14" s="2489">
        <v>30.787600000000001</v>
      </c>
      <c r="CE14" s="2489">
        <v>29.009</v>
      </c>
      <c r="CF14" s="2489">
        <v>29.9011</v>
      </c>
      <c r="CG14" s="2489">
        <v>29.859300000000001</v>
      </c>
      <c r="CH14" s="2489">
        <v>30.399699999999999</v>
      </c>
      <c r="CI14" s="2489">
        <v>30.834900000000001</v>
      </c>
      <c r="CJ14" s="2489">
        <v>30.603999999999999</v>
      </c>
      <c r="CK14" s="2489">
        <v>30.225899999999999</v>
      </c>
      <c r="CL14" s="2489">
        <v>30.743400000000001</v>
      </c>
      <c r="CM14" s="2489">
        <v>30.523499999999999</v>
      </c>
      <c r="CN14" s="2489">
        <v>29.996300000000002</v>
      </c>
      <c r="CO14" s="2489">
        <v>30.463799999999999</v>
      </c>
      <c r="CP14" s="2489">
        <v>29.658999999999999</v>
      </c>
      <c r="CQ14" s="2489">
        <v>29.932387020470024</v>
      </c>
      <c r="CR14" s="2489">
        <v>31.006065967336447</v>
      </c>
      <c r="CS14" s="2489">
        <v>31.667320192111127</v>
      </c>
      <c r="CT14" s="2489">
        <v>31.002429732801833</v>
      </c>
      <c r="CU14" s="2489">
        <v>31.312560317647158</v>
      </c>
      <c r="CV14" s="2489">
        <v>33.26648573910277</v>
      </c>
      <c r="CW14" s="2489">
        <v>32.417885079418781</v>
      </c>
      <c r="CX14" s="2489">
        <v>32.648237071259658</v>
      </c>
      <c r="CY14" s="2489">
        <v>32.119593530142126</v>
      </c>
      <c r="CZ14" s="2489">
        <v>32.453339202412096</v>
      </c>
      <c r="DA14" s="2489">
        <v>33.7003869210346</v>
      </c>
      <c r="DB14" s="2489">
        <v>34.802824043659051</v>
      </c>
      <c r="DC14" s="2489">
        <v>35.848340580052046</v>
      </c>
      <c r="DD14" s="2489">
        <v>34.942476068757806</v>
      </c>
      <c r="DE14" s="2489">
        <v>32.858827248066497</v>
      </c>
      <c r="DF14" s="2489">
        <v>33.739890855462278</v>
      </c>
      <c r="DG14" s="2489">
        <v>32.419063314337926</v>
      </c>
      <c r="DH14" s="2489">
        <v>31.944445927649429</v>
      </c>
      <c r="DI14" s="2489">
        <v>32.549865851118632</v>
      </c>
      <c r="DJ14" s="2489">
        <v>32.988249011225641</v>
      </c>
      <c r="DK14" s="2489">
        <v>32.769669209929454</v>
      </c>
      <c r="DL14" s="2489">
        <v>32.673095466142037</v>
      </c>
      <c r="DM14" s="2489">
        <v>31.46935338162195</v>
      </c>
      <c r="DN14" s="2489">
        <v>32.985705936886248</v>
      </c>
      <c r="DO14" s="2489">
        <v>32.286280264023411</v>
      </c>
      <c r="DP14" s="2489">
        <v>32.461569632904229</v>
      </c>
      <c r="DQ14" s="2489">
        <v>33.12353255262245</v>
      </c>
      <c r="DR14" s="2489">
        <v>33.804537399921053</v>
      </c>
      <c r="DS14" s="2489">
        <v>33.900937943332458</v>
      </c>
      <c r="DT14" s="2489">
        <v>34.000860569091984</v>
      </c>
      <c r="DU14" s="2489">
        <v>33.880883901578464</v>
      </c>
      <c r="DV14" s="2489">
        <v>33.598031437847332</v>
      </c>
      <c r="DW14" s="2489">
        <v>33.295861056000511</v>
      </c>
      <c r="DX14" s="2489">
        <v>33.545808047010063</v>
      </c>
      <c r="DY14" s="2489">
        <v>33.049334960454381</v>
      </c>
      <c r="DZ14" s="2489">
        <v>33.338557746409883</v>
      </c>
      <c r="EA14" s="2489">
        <v>33.741992337888043</v>
      </c>
      <c r="EB14" s="2489">
        <v>33.692889019657507</v>
      </c>
      <c r="EC14" s="2489">
        <v>34.366963186970331</v>
      </c>
      <c r="ED14" s="2489">
        <v>34.099848636950199</v>
      </c>
      <c r="EE14" s="2489">
        <v>34.089317010338014</v>
      </c>
      <c r="EF14" s="2489">
        <v>34.493984546866109</v>
      </c>
      <c r="EG14" s="2489">
        <v>34.265764580679743</v>
      </c>
      <c r="EH14" s="2489">
        <v>34.519829125290215</v>
      </c>
      <c r="EI14" s="2489">
        <v>34.543414154852449</v>
      </c>
      <c r="EJ14" s="2489">
        <v>34.616587209475725</v>
      </c>
      <c r="EK14" s="2489">
        <v>34.275326012044609</v>
      </c>
      <c r="EL14" s="2489">
        <v>34.512134630468196</v>
      </c>
      <c r="EM14" s="2490">
        <v>34.071467668531454</v>
      </c>
    </row>
    <row r="15" spans="1:143" ht="21" customHeight="1">
      <c r="A15" s="2470" t="s">
        <v>3644</v>
      </c>
      <c r="B15" s="2471">
        <v>30.524999999999999</v>
      </c>
      <c r="C15" s="2472">
        <v>30.447800000000001</v>
      </c>
      <c r="D15" s="2491">
        <v>30.369299999999999</v>
      </c>
      <c r="E15" s="2496">
        <v>30.158100000000001</v>
      </c>
      <c r="F15" s="2496">
        <v>29.989899999999999</v>
      </c>
      <c r="G15" s="2496">
        <v>29.904</v>
      </c>
      <c r="H15" s="2496">
        <v>29.880700000000001</v>
      </c>
      <c r="I15" s="2496">
        <v>29.8596</v>
      </c>
      <c r="J15" s="2496">
        <v>29.727</v>
      </c>
      <c r="K15" s="2496">
        <v>29.448899999999998</v>
      </c>
      <c r="L15" s="2496">
        <v>28.6342</v>
      </c>
      <c r="M15" s="2496">
        <v>28.0688</v>
      </c>
      <c r="N15" s="2496">
        <v>27.745000000000001</v>
      </c>
      <c r="O15" s="2496">
        <v>27.694099999999999</v>
      </c>
      <c r="P15" s="2496">
        <v>27.87</v>
      </c>
      <c r="Q15" s="2496">
        <v>29.495999999999999</v>
      </c>
      <c r="R15" s="2496">
        <v>29.777999999999999</v>
      </c>
      <c r="S15" s="2496">
        <v>29.445</v>
      </c>
      <c r="T15" s="2496">
        <v>28.992000000000001</v>
      </c>
      <c r="U15" s="2496">
        <v>28.841999999999999</v>
      </c>
      <c r="V15" s="2496">
        <v>28.405000000000001</v>
      </c>
      <c r="W15" s="2496">
        <v>26.8216</v>
      </c>
      <c r="X15" s="2496">
        <v>26.234999999999999</v>
      </c>
      <c r="Y15" s="2496">
        <v>26.097000000000001</v>
      </c>
      <c r="Z15" s="2496">
        <v>26.909300000000002</v>
      </c>
      <c r="AA15" s="2496">
        <v>27.959599999999998</v>
      </c>
      <c r="AB15" s="2496">
        <v>28.475999999999999</v>
      </c>
      <c r="AC15" s="2492">
        <v>28.454999999999998</v>
      </c>
      <c r="AD15" s="2489">
        <v>28.556000000000001</v>
      </c>
      <c r="AE15" s="2489">
        <v>28.727</v>
      </c>
      <c r="AF15" s="2489">
        <v>28.8154</v>
      </c>
      <c r="AG15" s="2489">
        <v>28.775500000000001</v>
      </c>
      <c r="AH15" s="2489">
        <v>28.696999999999999</v>
      </c>
      <c r="AI15" s="2489">
        <v>28.486999999999998</v>
      </c>
      <c r="AJ15" s="2489">
        <v>28.808</v>
      </c>
      <c r="AK15" s="2489">
        <v>29.294</v>
      </c>
      <c r="AL15" s="2493">
        <v>29.3139</v>
      </c>
      <c r="AM15" s="2489">
        <v>29.457999999999998</v>
      </c>
      <c r="AN15" s="2489">
        <v>29.6083</v>
      </c>
      <c r="AO15" s="2489">
        <v>29.8581</v>
      </c>
      <c r="AP15" s="2489">
        <v>29.977499999999999</v>
      </c>
      <c r="AQ15" s="2494">
        <v>30.4557</v>
      </c>
      <c r="AR15" s="2489">
        <v>30.542400000000001</v>
      </c>
      <c r="AS15" s="2494">
        <v>30.7453</v>
      </c>
      <c r="AT15" s="2493">
        <v>30.7883</v>
      </c>
      <c r="AU15" s="2493">
        <v>30.813199999999998</v>
      </c>
      <c r="AV15" s="2489">
        <v>30.8841</v>
      </c>
      <c r="AW15" s="2495">
        <v>30.957999999999998</v>
      </c>
      <c r="AX15" s="2494">
        <v>30.9801</v>
      </c>
      <c r="AY15" s="2493">
        <v>30.9785</v>
      </c>
      <c r="AZ15" s="2489">
        <v>31.011800000000001</v>
      </c>
      <c r="BA15" s="2494">
        <v>31.5261</v>
      </c>
      <c r="BB15" s="2493">
        <v>32.523099999999999</v>
      </c>
      <c r="BC15" s="2489">
        <v>32.689799999999998</v>
      </c>
      <c r="BD15" s="2489">
        <v>32.935400000000001</v>
      </c>
      <c r="BE15" s="2494">
        <v>33.223300000000002</v>
      </c>
      <c r="BF15" s="2493">
        <v>33.424599999999998</v>
      </c>
      <c r="BG15" s="2493">
        <v>33.630299999999998</v>
      </c>
      <c r="BH15" s="2493">
        <v>33.241900000000001</v>
      </c>
      <c r="BI15" s="2493">
        <v>32.928400000000003</v>
      </c>
      <c r="BJ15" s="2493">
        <v>32.288200000000003</v>
      </c>
      <c r="BK15" s="2493">
        <v>31.929099999999998</v>
      </c>
      <c r="BL15" s="2493">
        <v>32.023899999999998</v>
      </c>
      <c r="BM15" s="2493">
        <v>31.774100000000001</v>
      </c>
      <c r="BN15" s="2489">
        <v>31.686900000000001</v>
      </c>
      <c r="BO15" s="2489">
        <v>31.081499999999998</v>
      </c>
      <c r="BP15" s="2489">
        <v>30.901299999999999</v>
      </c>
      <c r="BQ15" s="2489">
        <v>30.527000000000001</v>
      </c>
      <c r="BR15" s="2489">
        <v>29.049900000000001</v>
      </c>
      <c r="BS15" s="2489">
        <v>29.220500000000001</v>
      </c>
      <c r="BT15" s="2489">
        <v>28.053999999999998</v>
      </c>
      <c r="BU15" s="2493">
        <v>26.780799999999999</v>
      </c>
      <c r="BV15" s="2493">
        <v>26.6051</v>
      </c>
      <c r="BW15" s="2493">
        <v>28.183700000000002</v>
      </c>
      <c r="BX15" s="2493">
        <v>27.7088</v>
      </c>
      <c r="BY15" s="2493">
        <v>27.177299999999999</v>
      </c>
      <c r="BZ15" s="2489">
        <v>28.766400000000001</v>
      </c>
      <c r="CA15" s="2489">
        <v>28.901900000000001</v>
      </c>
      <c r="CB15" s="2489">
        <v>32.505499999999998</v>
      </c>
      <c r="CC15" s="2489">
        <v>32.383499999999998</v>
      </c>
      <c r="CD15" s="2489">
        <v>32.446300000000001</v>
      </c>
      <c r="CE15" s="2489">
        <v>33.317</v>
      </c>
      <c r="CF15" s="2489">
        <v>34.681100000000001</v>
      </c>
      <c r="CG15" s="2489">
        <v>34.050600000000003</v>
      </c>
      <c r="CH15" s="2489">
        <v>34.295999999999999</v>
      </c>
      <c r="CI15" s="2489">
        <v>33.1843</v>
      </c>
      <c r="CJ15" s="2489">
        <v>33.032400000000003</v>
      </c>
      <c r="CK15" s="2489">
        <v>32.719000000000001</v>
      </c>
      <c r="CL15" s="2489">
        <v>32.546700000000001</v>
      </c>
      <c r="CM15" s="2489">
        <v>31.5246</v>
      </c>
      <c r="CN15" s="2489">
        <v>31.084399999999999</v>
      </c>
      <c r="CO15" s="2489">
        <v>30.486699999999999</v>
      </c>
      <c r="CP15" s="2489">
        <v>34.206000000000003</v>
      </c>
      <c r="CQ15" s="2489">
        <v>31.098413933076927</v>
      </c>
      <c r="CR15" s="2489">
        <v>31.691057399999998</v>
      </c>
      <c r="CS15" s="2489">
        <v>30.924607939999998</v>
      </c>
      <c r="CT15" s="2489">
        <v>30.510382406428576</v>
      </c>
      <c r="CU15" s="2489">
        <v>31.298728171071428</v>
      </c>
      <c r="CV15" s="2489">
        <v>31.171405866428568</v>
      </c>
      <c r="CW15" s="2489">
        <v>30.495615851785715</v>
      </c>
      <c r="CX15" s="2489">
        <v>30.221834158571429</v>
      </c>
      <c r="CY15" s="2489">
        <v>29.437642964285711</v>
      </c>
      <c r="CZ15" s="2489">
        <v>28.309520411071425</v>
      </c>
      <c r="DA15" s="2489">
        <v>28.633557865714288</v>
      </c>
      <c r="DB15" s="2489">
        <v>28.897772164999999</v>
      </c>
      <c r="DC15" s="2489">
        <v>28.670885417857143</v>
      </c>
      <c r="DD15" s="2489">
        <v>28.550806060714283</v>
      </c>
      <c r="DE15" s="2489">
        <v>29.588867412142861</v>
      </c>
      <c r="DF15" s="2489">
        <v>29.426150412142853</v>
      </c>
      <c r="DG15" s="2489">
        <v>29.811181982142852</v>
      </c>
      <c r="DH15" s="2489">
        <v>30.044272552857141</v>
      </c>
      <c r="DI15" s="2489">
        <v>29.734324928571425</v>
      </c>
      <c r="DJ15" s="2489">
        <v>29.492417607142862</v>
      </c>
      <c r="DK15" s="2489">
        <v>29.576342892857145</v>
      </c>
      <c r="DL15" s="2489">
        <v>29.638123822857136</v>
      </c>
      <c r="DM15" s="2489">
        <v>30.495616589285721</v>
      </c>
      <c r="DN15" s="2489">
        <v>31.517259767857144</v>
      </c>
      <c r="DO15" s="2489">
        <v>31.602478607142853</v>
      </c>
      <c r="DP15" s="2489">
        <v>31.095365642857143</v>
      </c>
      <c r="DQ15" s="2489">
        <v>30.958002892857138</v>
      </c>
      <c r="DR15" s="2489">
        <v>31.488185839285709</v>
      </c>
      <c r="DS15" s="2489">
        <v>31.369702410714286</v>
      </c>
      <c r="DT15" s="2489">
        <v>31.019555</v>
      </c>
      <c r="DU15" s="2489">
        <v>30.764621428571427</v>
      </c>
      <c r="DV15" s="2489">
        <v>31.144433571428571</v>
      </c>
      <c r="DW15" s="2489">
        <v>31.512893214285715</v>
      </c>
      <c r="DX15" s="2489">
        <v>31.359302499999995</v>
      </c>
      <c r="DY15" s="2489">
        <v>31.460323214285715</v>
      </c>
      <c r="DZ15" s="2489">
        <v>31.397255714285713</v>
      </c>
      <c r="EA15" s="2489">
        <v>31.29974285714286</v>
      </c>
      <c r="EB15" s="2489">
        <v>31.289606785714287</v>
      </c>
      <c r="EC15" s="2489">
        <v>31.063426428571436</v>
      </c>
      <c r="ED15" s="2489">
        <v>30.695694000000003</v>
      </c>
      <c r="EE15" s="2489">
        <v>30.848288999999998</v>
      </c>
      <c r="EF15" s="2489">
        <v>30.594651428571431</v>
      </c>
      <c r="EG15" s="2489">
        <v>30.699379642857146</v>
      </c>
      <c r="EH15" s="2489">
        <v>30.636903571428572</v>
      </c>
      <c r="EI15" s="2489">
        <v>30.61483464285714</v>
      </c>
      <c r="EJ15" s="2489">
        <v>30.532384714285719</v>
      </c>
      <c r="EK15" s="2489">
        <v>30.724977142857146</v>
      </c>
      <c r="EL15" s="2489">
        <v>30.710060499999994</v>
      </c>
      <c r="EM15" s="2490">
        <v>30.907627796571425</v>
      </c>
    </row>
    <row r="16" spans="1:143" ht="21" customHeight="1">
      <c r="A16" s="2470" t="s">
        <v>3645</v>
      </c>
      <c r="B16" s="2471">
        <v>43.18</v>
      </c>
      <c r="C16" s="2497">
        <v>44.386000000000003</v>
      </c>
      <c r="D16" s="2498">
        <v>44.524999999999999</v>
      </c>
      <c r="E16" s="2498">
        <v>46.073999999999998</v>
      </c>
      <c r="F16" s="2498">
        <v>47.101999999999997</v>
      </c>
      <c r="G16" s="2498">
        <v>46.304000000000002</v>
      </c>
      <c r="H16" s="2498">
        <v>46.771000000000001</v>
      </c>
      <c r="I16" s="2496">
        <v>46.61</v>
      </c>
      <c r="J16" s="2496">
        <v>46.116999999999997</v>
      </c>
      <c r="K16" s="2496">
        <v>47.216000000000001</v>
      </c>
      <c r="L16" s="2496">
        <v>47.295000000000002</v>
      </c>
      <c r="M16" s="2496">
        <v>44.259</v>
      </c>
      <c r="N16" s="2496">
        <v>43.691000000000003</v>
      </c>
      <c r="O16" s="2496">
        <v>44.118000000000002</v>
      </c>
      <c r="P16" s="2496">
        <v>45.951000000000001</v>
      </c>
      <c r="Q16" s="2496">
        <v>48.694000000000003</v>
      </c>
      <c r="R16" s="2496">
        <v>48.04</v>
      </c>
      <c r="S16" s="2496">
        <v>46.353999999999999</v>
      </c>
      <c r="T16" s="2496">
        <v>48.322000000000003</v>
      </c>
      <c r="U16" s="2496">
        <v>48.853000000000002</v>
      </c>
      <c r="V16" s="2496">
        <v>48.627000000000002</v>
      </c>
      <c r="W16" s="2496">
        <v>47.731999999999999</v>
      </c>
      <c r="X16" s="2496">
        <v>47.548000000000002</v>
      </c>
      <c r="Y16" s="2496">
        <v>48.542000000000002</v>
      </c>
      <c r="Z16" s="2496">
        <v>49.323999999999998</v>
      </c>
      <c r="AA16" s="2496">
        <v>49.692</v>
      </c>
      <c r="AB16" s="2496">
        <v>52.329000000000001</v>
      </c>
      <c r="AC16" s="2492">
        <v>51.55</v>
      </c>
      <c r="AD16" s="2489">
        <v>52.045000000000002</v>
      </c>
      <c r="AE16" s="2489">
        <v>51.734000000000002</v>
      </c>
      <c r="AF16" s="2489">
        <v>51.884</v>
      </c>
      <c r="AG16" s="2489">
        <v>52.762</v>
      </c>
      <c r="AH16" s="2489">
        <v>54.296999999999997</v>
      </c>
      <c r="AI16" s="2489">
        <v>54.890999999999998</v>
      </c>
      <c r="AJ16" s="2489">
        <v>54.314999999999998</v>
      </c>
      <c r="AK16" s="2489">
        <v>55.073</v>
      </c>
      <c r="AL16" s="2493">
        <v>55.978999999999999</v>
      </c>
      <c r="AM16" s="2489">
        <v>53.478000000000002</v>
      </c>
      <c r="AN16" s="2489">
        <v>53.539000000000001</v>
      </c>
      <c r="AO16" s="2489">
        <v>52.404000000000003</v>
      </c>
      <c r="AP16" s="2489">
        <v>53.588000000000001</v>
      </c>
      <c r="AQ16" s="2494">
        <v>53.716000000000001</v>
      </c>
      <c r="AR16" s="2489">
        <v>54.262999999999998</v>
      </c>
      <c r="AS16" s="2494">
        <v>52.902000000000001</v>
      </c>
      <c r="AT16" s="2493">
        <v>53.271999999999998</v>
      </c>
      <c r="AU16" s="2493">
        <v>54.683</v>
      </c>
      <c r="AV16" s="2489">
        <v>53.929000000000002</v>
      </c>
      <c r="AW16" s="2495">
        <v>54.22</v>
      </c>
      <c r="AX16" s="2494">
        <v>56.003</v>
      </c>
      <c r="AY16" s="2493">
        <v>58.566000000000003</v>
      </c>
      <c r="AZ16" s="2489">
        <v>57.018999999999998</v>
      </c>
      <c r="BA16" s="2494">
        <v>59.027999999999999</v>
      </c>
      <c r="BB16" s="2493">
        <v>62.463000000000001</v>
      </c>
      <c r="BC16" s="2489">
        <v>62.011000000000003</v>
      </c>
      <c r="BD16" s="2489">
        <v>63.615000000000002</v>
      </c>
      <c r="BE16" s="2494">
        <v>66.048000000000002</v>
      </c>
      <c r="BF16" s="2493">
        <v>66.947999999999993</v>
      </c>
      <c r="BG16" s="2493">
        <v>66.697999999999993</v>
      </c>
      <c r="BH16" s="2493">
        <v>65.614000000000004</v>
      </c>
      <c r="BI16" s="2493">
        <v>64.734999999999999</v>
      </c>
      <c r="BJ16" s="2493">
        <v>64.495999999999995</v>
      </c>
      <c r="BK16" s="2493">
        <v>62.920999999999999</v>
      </c>
      <c r="BL16" s="2493">
        <v>64.143000000000001</v>
      </c>
      <c r="BM16" s="2493">
        <v>64.445999999999998</v>
      </c>
      <c r="BN16" s="2489">
        <v>63.834200000000003</v>
      </c>
      <c r="BO16" s="2489">
        <v>62.857300000000002</v>
      </c>
      <c r="BP16" s="2489">
        <v>63.932000000000002</v>
      </c>
      <c r="BQ16" s="2489">
        <v>62.945999999999998</v>
      </c>
      <c r="BR16" s="2489">
        <v>57.971699999999998</v>
      </c>
      <c r="BS16" s="2489">
        <v>58.133299999999998</v>
      </c>
      <c r="BT16" s="2489">
        <v>55.6599</v>
      </c>
      <c r="BU16" s="2493">
        <v>53.235599999999998</v>
      </c>
      <c r="BV16" s="2493">
        <v>52.2166</v>
      </c>
      <c r="BW16" s="2493">
        <v>55.817300000000003</v>
      </c>
      <c r="BX16" s="2493">
        <v>55.3277</v>
      </c>
      <c r="BY16" s="2493">
        <v>53.9086</v>
      </c>
      <c r="BZ16" s="2489">
        <v>52.817399999999999</v>
      </c>
      <c r="CA16" s="2489">
        <v>52.112699999999997</v>
      </c>
      <c r="CB16" s="2489">
        <v>53.389299999999999</v>
      </c>
      <c r="CC16" s="2489">
        <v>50.124200000000002</v>
      </c>
      <c r="CD16" s="2489">
        <v>47.036299999999997</v>
      </c>
      <c r="CE16" s="2489">
        <v>47.578200000000002</v>
      </c>
      <c r="CF16" s="2489">
        <v>49.756799999999998</v>
      </c>
      <c r="CG16" s="2489">
        <v>48.8322</v>
      </c>
      <c r="CH16" s="2489">
        <v>50.966900000000003</v>
      </c>
      <c r="CI16" s="2489">
        <v>53.001100000000001</v>
      </c>
      <c r="CJ16" s="2489">
        <v>54.921500000000002</v>
      </c>
      <c r="CK16" s="2489">
        <v>54.136899999999997</v>
      </c>
      <c r="CL16" s="2489">
        <v>52.886899999999997</v>
      </c>
      <c r="CM16" s="2489">
        <v>50.505400000000002</v>
      </c>
      <c r="CN16" s="2489">
        <v>51.4604</v>
      </c>
      <c r="CO16" s="2489">
        <v>50.496299999999998</v>
      </c>
      <c r="CP16" s="2489">
        <v>49.55</v>
      </c>
      <c r="CQ16" s="2489">
        <v>48.587814802792302</v>
      </c>
      <c r="CR16" s="2489">
        <v>48.981586617321433</v>
      </c>
      <c r="CS16" s="2489">
        <v>48.966664830478564</v>
      </c>
      <c r="CT16" s="2489">
        <v>48.637702474021424</v>
      </c>
      <c r="CU16" s="2489">
        <v>48.625294256664276</v>
      </c>
      <c r="CV16" s="2489">
        <v>48.12643753362142</v>
      </c>
      <c r="CW16" s="2489">
        <v>48.370444436303565</v>
      </c>
      <c r="CX16" s="2489">
        <v>48.661779718099993</v>
      </c>
      <c r="CY16" s="2489">
        <v>47.340736482496425</v>
      </c>
      <c r="CZ16" s="2489">
        <v>47.190617604623206</v>
      </c>
      <c r="DA16" s="2489">
        <v>47.380979298199989</v>
      </c>
      <c r="DB16" s="2489">
        <v>46.549084587582136</v>
      </c>
      <c r="DC16" s="2489">
        <v>46.872216986271432</v>
      </c>
      <c r="DD16" s="2489">
        <v>46.860547210771422</v>
      </c>
      <c r="DE16" s="2489">
        <v>46.209313203796412</v>
      </c>
      <c r="DF16" s="2489">
        <v>47.012618907300002</v>
      </c>
      <c r="DG16" s="2489">
        <v>46.467314002428566</v>
      </c>
      <c r="DH16" s="2489">
        <v>46.292920075242861</v>
      </c>
      <c r="DI16" s="2489">
        <v>46.765990060400007</v>
      </c>
      <c r="DJ16" s="2489">
        <v>46.955281256471423</v>
      </c>
      <c r="DK16" s="2489">
        <v>47.236627918985711</v>
      </c>
      <c r="DL16" s="2489">
        <v>48.2266464617</v>
      </c>
      <c r="DM16" s="2489">
        <v>47.181287631271424</v>
      </c>
      <c r="DN16" s="2489">
        <v>49.111795523014294</v>
      </c>
      <c r="DO16" s="2489">
        <v>49.63146250165714</v>
      </c>
      <c r="DP16" s="2489">
        <v>49.102599088457147</v>
      </c>
      <c r="DQ16" s="2489">
        <v>50.330642255371437</v>
      </c>
      <c r="DR16" s="2489">
        <v>50.629900554928568</v>
      </c>
      <c r="DS16" s="2489">
        <v>50.352595541100008</v>
      </c>
      <c r="DT16" s="2489">
        <v>50.113020677514285</v>
      </c>
      <c r="DU16" s="2489">
        <v>48.579095241225716</v>
      </c>
      <c r="DV16" s="2489">
        <v>47.207986411474288</v>
      </c>
      <c r="DW16" s="2489">
        <v>47.915250278286997</v>
      </c>
      <c r="DX16" s="2489">
        <v>48.583635174580913</v>
      </c>
      <c r="DY16" s="2489">
        <v>47.913722834848215</v>
      </c>
      <c r="DZ16" s="2489">
        <v>47.96572247854386</v>
      </c>
      <c r="EA16" s="2489">
        <v>47.653405013778219</v>
      </c>
      <c r="EB16" s="2489">
        <v>48.541106597875583</v>
      </c>
      <c r="EC16" s="2489">
        <v>50.168646486396469</v>
      </c>
      <c r="ED16" s="2489">
        <v>49.056532251360579</v>
      </c>
      <c r="EE16" s="2489">
        <v>50.342079243689867</v>
      </c>
      <c r="EF16" s="2489">
        <v>50.325583764873144</v>
      </c>
      <c r="EG16" s="2489">
        <v>50.72126809093561</v>
      </c>
      <c r="EH16" s="2489">
        <v>51.004097996633398</v>
      </c>
      <c r="EI16" s="2489">
        <v>50.735561352640353</v>
      </c>
      <c r="EJ16" s="2489">
        <v>51.252853766102774</v>
      </c>
      <c r="EK16" s="2489">
        <v>51.289893658692144</v>
      </c>
      <c r="EL16" s="2489">
        <v>52.172424024731058</v>
      </c>
      <c r="EM16" s="2490">
        <v>52.169690267036849</v>
      </c>
    </row>
    <row r="17" spans="1:143" s="2445" customFormat="1" ht="21" customHeight="1">
      <c r="A17" s="2470" t="s">
        <v>3029</v>
      </c>
      <c r="B17" s="2471">
        <v>26.338999999999999</v>
      </c>
      <c r="C17" s="2491">
        <v>27.518699999999999</v>
      </c>
      <c r="D17" s="2496">
        <v>28.536300000000001</v>
      </c>
      <c r="E17" s="2496">
        <v>29.829899999999999</v>
      </c>
      <c r="F17" s="2496">
        <v>29.496200000000002</v>
      </c>
      <c r="G17" s="2496">
        <v>29.462499999999999</v>
      </c>
      <c r="H17" s="2496">
        <v>29.4025</v>
      </c>
      <c r="I17" s="2496">
        <v>29.5045</v>
      </c>
      <c r="J17" s="2496">
        <v>29.545999999999999</v>
      </c>
      <c r="K17" s="2496">
        <v>30.859100000000002</v>
      </c>
      <c r="L17" s="2496">
        <v>30.937000000000001</v>
      </c>
      <c r="M17" s="2496">
        <v>30.142800000000001</v>
      </c>
      <c r="N17" s="2496">
        <v>30.0062</v>
      </c>
      <c r="O17" s="2496">
        <v>30.721</v>
      </c>
      <c r="P17" s="2496">
        <v>33.030999999999999</v>
      </c>
      <c r="Q17" s="2496">
        <v>33.676000000000002</v>
      </c>
      <c r="R17" s="2496">
        <v>33.713000000000001</v>
      </c>
      <c r="S17" s="2496">
        <v>31.965</v>
      </c>
      <c r="T17" s="2496">
        <v>33.642000000000003</v>
      </c>
      <c r="U17" s="2496">
        <v>33.475999999999999</v>
      </c>
      <c r="V17" s="2496">
        <v>33.796999999999997</v>
      </c>
      <c r="W17" s="2496">
        <v>33.689300000000003</v>
      </c>
      <c r="X17" s="2496">
        <v>32.340000000000003</v>
      </c>
      <c r="Y17" s="2496">
        <v>32.271000000000001</v>
      </c>
      <c r="Z17" s="2496">
        <v>32.844099999999997</v>
      </c>
      <c r="AA17" s="2496">
        <v>33.470300000000002</v>
      </c>
      <c r="AB17" s="2496">
        <v>34.741999999999997</v>
      </c>
      <c r="AC17" s="2492">
        <v>34.414999999999999</v>
      </c>
      <c r="AD17" s="2489">
        <v>34.444000000000003</v>
      </c>
      <c r="AE17" s="2489">
        <v>34.755000000000003</v>
      </c>
      <c r="AF17" s="2489">
        <v>35.546500000000002</v>
      </c>
      <c r="AG17" s="2489">
        <v>36.704000000000001</v>
      </c>
      <c r="AH17" s="2489">
        <v>38.103999999999999</v>
      </c>
      <c r="AI17" s="2489">
        <v>38.814</v>
      </c>
      <c r="AJ17" s="2489">
        <v>37.548999999999999</v>
      </c>
      <c r="AK17" s="2489">
        <v>37.868000000000002</v>
      </c>
      <c r="AL17" s="2493">
        <v>37.916200000000003</v>
      </c>
      <c r="AM17" s="2489">
        <v>36.561100000000003</v>
      </c>
      <c r="AN17" s="2489">
        <v>35.816800000000001</v>
      </c>
      <c r="AO17" s="2489">
        <v>36.225999999999999</v>
      </c>
      <c r="AP17" s="2489">
        <v>36.662199999999999</v>
      </c>
      <c r="AQ17" s="2494">
        <v>36.7258</v>
      </c>
      <c r="AR17" s="2489">
        <v>36.864400000000003</v>
      </c>
      <c r="AS17" s="2494">
        <v>36.273400000000002</v>
      </c>
      <c r="AT17" s="2493">
        <v>36.654299999999999</v>
      </c>
      <c r="AU17" s="2493">
        <v>37.408700000000003</v>
      </c>
      <c r="AV17" s="2489">
        <v>36.766199999999998</v>
      </c>
      <c r="AW17" s="2495">
        <v>37.799599999999998</v>
      </c>
      <c r="AX17" s="2494">
        <v>38.997700000000002</v>
      </c>
      <c r="AY17" s="2493">
        <v>40.0535</v>
      </c>
      <c r="AZ17" s="2489">
        <v>39.732999999999997</v>
      </c>
      <c r="BA17" s="2494">
        <v>40.588200000000001</v>
      </c>
      <c r="BB17" s="2493">
        <v>42.280900000000003</v>
      </c>
      <c r="BC17" s="2489">
        <v>42.276699999999998</v>
      </c>
      <c r="BD17" s="2489">
        <v>42.838099999999997</v>
      </c>
      <c r="BE17" s="2494">
        <v>44.976599999999998</v>
      </c>
      <c r="BF17" s="2493">
        <v>45.2014</v>
      </c>
      <c r="BG17" s="2493">
        <v>44.018900000000002</v>
      </c>
      <c r="BH17" s="2493">
        <v>44.060600000000001</v>
      </c>
      <c r="BI17" s="2493">
        <v>43.934800000000003</v>
      </c>
      <c r="BJ17" s="2493">
        <v>44.017800000000001</v>
      </c>
      <c r="BK17" s="2493">
        <v>42.677900000000001</v>
      </c>
      <c r="BL17" s="2493">
        <v>43.055100000000003</v>
      </c>
      <c r="BM17" s="2493">
        <v>43.5075</v>
      </c>
      <c r="BN17" s="2489">
        <v>43.31</v>
      </c>
      <c r="BO17" s="2489">
        <v>44.014000000000003</v>
      </c>
      <c r="BP17" s="2489">
        <v>44.644500000000001</v>
      </c>
      <c r="BQ17" s="2489">
        <v>44.981000000000002</v>
      </c>
      <c r="BR17" s="2489">
        <v>42.744599999999998</v>
      </c>
      <c r="BS17" s="2489">
        <v>43.457900000000002</v>
      </c>
      <c r="BT17" s="2489">
        <v>42.442700000000002</v>
      </c>
      <c r="BU17" s="2493">
        <v>42.131100000000004</v>
      </c>
      <c r="BV17" s="2493">
        <v>41.3</v>
      </c>
      <c r="BW17" s="2493">
        <v>43.816899999999997</v>
      </c>
      <c r="BX17" s="2493">
        <v>43.8369</v>
      </c>
      <c r="BY17" s="2493">
        <v>42.416699999999999</v>
      </c>
      <c r="BZ17" s="2489">
        <v>42.512700000000002</v>
      </c>
      <c r="CA17" s="2489">
        <v>41.542099999999998</v>
      </c>
      <c r="CB17" s="2489">
        <v>41.881700000000002</v>
      </c>
      <c r="CC17" s="2489">
        <v>42.017099999999999</v>
      </c>
      <c r="CD17" s="2489">
        <v>45.8855</v>
      </c>
      <c r="CE17" s="2489">
        <v>43.244900000000001</v>
      </c>
      <c r="CF17" s="2489">
        <v>44.335299999999997</v>
      </c>
      <c r="CG17" s="2489">
        <v>45.1967</v>
      </c>
      <c r="CH17" s="2489">
        <v>45.727699999999999</v>
      </c>
      <c r="CI17" s="2489">
        <v>46.409599999999998</v>
      </c>
      <c r="CJ17" s="2489">
        <v>46.553400000000003</v>
      </c>
      <c r="CK17" s="2489">
        <v>46.226500000000001</v>
      </c>
      <c r="CL17" s="2489">
        <v>46.473300000000002</v>
      </c>
      <c r="CM17" s="2489">
        <v>46.006399999999999</v>
      </c>
      <c r="CN17" s="2489">
        <v>46.085799999999999</v>
      </c>
      <c r="CO17" s="2489">
        <v>45.865099999999998</v>
      </c>
      <c r="CP17" s="2489">
        <v>42.158999999999999</v>
      </c>
      <c r="CQ17" s="2489">
        <v>40.622972605876917</v>
      </c>
      <c r="CR17" s="2489">
        <v>40.087579830928568</v>
      </c>
      <c r="CS17" s="2489">
        <v>41.991412514764285</v>
      </c>
      <c r="CT17" s="2489">
        <v>42.374601034849995</v>
      </c>
      <c r="CU17" s="2489">
        <v>40.968014155464289</v>
      </c>
      <c r="CV17" s="2489">
        <v>41.46114882847143</v>
      </c>
      <c r="CW17" s="2489">
        <v>41.505838961249992</v>
      </c>
      <c r="CX17" s="2489">
        <v>41.59055171262856</v>
      </c>
      <c r="CY17" s="2489">
        <v>41.591498532192865</v>
      </c>
      <c r="CZ17" s="2489">
        <v>41.958064683475712</v>
      </c>
      <c r="DA17" s="2489">
        <v>41.162790416385725</v>
      </c>
      <c r="DB17" s="2489">
        <v>41.929360814999995</v>
      </c>
      <c r="DC17" s="2489">
        <v>41.108748995942854</v>
      </c>
      <c r="DD17" s="2489">
        <v>41.469267576242849</v>
      </c>
      <c r="DE17" s="2489">
        <v>40.051926928689284</v>
      </c>
      <c r="DF17" s="2489">
        <v>41.231816091221425</v>
      </c>
      <c r="DG17" s="2489">
        <v>39.73811034642857</v>
      </c>
      <c r="DH17" s="2489">
        <v>38.891305696657142</v>
      </c>
      <c r="DI17" s="2489">
        <v>39.216950931907142</v>
      </c>
      <c r="DJ17" s="2489">
        <v>39.755935543153569</v>
      </c>
      <c r="DK17" s="2489">
        <v>39.49447556677142</v>
      </c>
      <c r="DL17" s="2489">
        <v>39.25653294364286</v>
      </c>
      <c r="DM17" s="2489">
        <v>37.778190084602144</v>
      </c>
      <c r="DN17" s="2489">
        <v>39.623347659744645</v>
      </c>
      <c r="DO17" s="2489">
        <v>38.805086212804284</v>
      </c>
      <c r="DP17" s="2489">
        <v>38.929039212390009</v>
      </c>
      <c r="DQ17" s="2489">
        <v>40.039116003607141</v>
      </c>
      <c r="DR17" s="2489">
        <v>40.815382433249987</v>
      </c>
      <c r="DS17" s="2489">
        <v>40.787190317571422</v>
      </c>
      <c r="DT17" s="2489">
        <v>40.959065943753714</v>
      </c>
      <c r="DU17" s="2489">
        <v>41.667635898698862</v>
      </c>
      <c r="DV17" s="2489">
        <v>40.910784850588001</v>
      </c>
      <c r="DW17" s="2489">
        <v>40.417067676165935</v>
      </c>
      <c r="DX17" s="2489">
        <v>41.063542470582533</v>
      </c>
      <c r="DY17" s="2489">
        <v>41.032046511723209</v>
      </c>
      <c r="DZ17" s="2489">
        <v>41.014782706131861</v>
      </c>
      <c r="EA17" s="2489">
        <v>41.482777248362858</v>
      </c>
      <c r="EB17" s="2489">
        <v>41.468139454924597</v>
      </c>
      <c r="EC17" s="2489">
        <v>41.91562775355758</v>
      </c>
      <c r="ED17" s="2489">
        <v>41.98481148966755</v>
      </c>
      <c r="EE17" s="2489">
        <v>41.871151829096327</v>
      </c>
      <c r="EF17" s="2489">
        <v>42.109469035381949</v>
      </c>
      <c r="EG17" s="2489">
        <v>41.79894451240056</v>
      </c>
      <c r="EH17" s="2489">
        <v>41.888804510271434</v>
      </c>
      <c r="EI17" s="2489">
        <v>41.992796924623619</v>
      </c>
      <c r="EJ17" s="2489">
        <v>42.073712382800309</v>
      </c>
      <c r="EK17" s="2489">
        <v>41.690934236403209</v>
      </c>
      <c r="EL17" s="2489">
        <v>41.808072754420678</v>
      </c>
      <c r="EM17" s="2490">
        <v>41.30187515609429</v>
      </c>
    </row>
    <row r="18" spans="1:143" ht="9.75" customHeight="1" thickBot="1">
      <c r="A18" s="2499"/>
      <c r="B18" s="2500"/>
      <c r="C18" s="2501"/>
      <c r="D18" s="2502"/>
      <c r="E18" s="2502"/>
      <c r="F18" s="2502"/>
      <c r="G18" s="2502"/>
      <c r="H18" s="2502"/>
      <c r="I18" s="2502"/>
      <c r="J18" s="2502"/>
      <c r="K18" s="2502"/>
      <c r="L18" s="2502"/>
      <c r="M18" s="2502"/>
      <c r="N18" s="2502"/>
      <c r="O18" s="2502"/>
      <c r="P18" s="2502"/>
      <c r="Q18" s="2502"/>
      <c r="R18" s="2502"/>
      <c r="S18" s="2502"/>
      <c r="T18" s="2502"/>
      <c r="U18" s="2502"/>
      <c r="V18" s="2502"/>
      <c r="W18" s="2502"/>
      <c r="X18" s="2502"/>
      <c r="Y18" s="2502"/>
      <c r="Z18" s="2502"/>
      <c r="AA18" s="2502"/>
      <c r="AB18" s="2502"/>
      <c r="AC18" s="2503"/>
      <c r="AD18" s="2504"/>
      <c r="AE18" s="2504"/>
      <c r="AF18" s="2504"/>
      <c r="AG18" s="2504"/>
      <c r="AH18" s="2504"/>
      <c r="AI18" s="2504"/>
      <c r="AJ18" s="2504"/>
      <c r="AK18" s="2504"/>
      <c r="AL18" s="2505"/>
      <c r="AM18" s="2504"/>
      <c r="AN18" s="2504"/>
      <c r="AO18" s="2504"/>
      <c r="AP18" s="2504"/>
      <c r="AQ18" s="2506"/>
      <c r="AR18" s="2504"/>
      <c r="AS18" s="2506"/>
      <c r="AT18" s="2505"/>
      <c r="AU18" s="2507"/>
      <c r="AV18" s="2508"/>
      <c r="AW18" s="2509"/>
      <c r="AX18" s="2510"/>
      <c r="AY18" s="2507"/>
      <c r="AZ18" s="2508"/>
      <c r="BA18" s="2510"/>
      <c r="BB18" s="2507"/>
      <c r="BC18" s="2508"/>
      <c r="BD18" s="2508"/>
      <c r="BE18" s="2510"/>
      <c r="BF18" s="2507"/>
      <c r="BG18" s="2507"/>
      <c r="BH18" s="2507"/>
      <c r="BI18" s="2507"/>
      <c r="BJ18" s="2507"/>
      <c r="BK18" s="2507"/>
      <c r="BL18" s="2507"/>
      <c r="BM18" s="2505"/>
      <c r="BN18" s="2504"/>
      <c r="BO18" s="2504"/>
      <c r="BP18" s="2504"/>
      <c r="BQ18" s="2504"/>
      <c r="BR18" s="2504"/>
      <c r="BS18" s="2504"/>
      <c r="BT18" s="2504"/>
      <c r="BU18" s="2505"/>
      <c r="BV18" s="2505"/>
      <c r="BW18" s="2505"/>
      <c r="BX18" s="2505"/>
      <c r="BY18" s="2505"/>
      <c r="BZ18" s="2504"/>
      <c r="CA18" s="2504"/>
      <c r="CB18" s="2504"/>
      <c r="CC18" s="2504"/>
      <c r="CD18" s="2504"/>
      <c r="CE18" s="2504"/>
      <c r="CF18" s="2504"/>
      <c r="CG18" s="2504"/>
      <c r="CH18" s="2504"/>
      <c r="CI18" s="2506"/>
      <c r="CJ18" s="2504"/>
      <c r="CK18" s="2504"/>
      <c r="CL18" s="2504"/>
      <c r="CM18" s="2504"/>
      <c r="CN18" s="2504"/>
      <c r="CO18" s="2504"/>
      <c r="CP18" s="2504"/>
      <c r="CQ18" s="2504"/>
      <c r="CR18" s="2504"/>
      <c r="CS18" s="2504"/>
      <c r="CT18" s="2504"/>
      <c r="CU18" s="2504"/>
      <c r="CV18" s="2504"/>
      <c r="CW18" s="2504"/>
      <c r="CX18" s="2504"/>
      <c r="CY18" s="2504"/>
      <c r="CZ18" s="2504"/>
      <c r="DA18" s="2504"/>
      <c r="DB18" s="2504"/>
      <c r="DC18" s="2504"/>
      <c r="DD18" s="2504"/>
      <c r="DE18" s="2504"/>
      <c r="DF18" s="2504"/>
      <c r="DG18" s="2504"/>
      <c r="DH18" s="2504"/>
      <c r="DI18" s="2504"/>
      <c r="DJ18" s="2504"/>
      <c r="DK18" s="2504"/>
      <c r="DL18" s="2504"/>
      <c r="DM18" s="2504"/>
      <c r="DN18" s="2504"/>
      <c r="DO18" s="2504"/>
      <c r="DP18" s="2504"/>
      <c r="DQ18" s="2504"/>
      <c r="DR18" s="2504"/>
      <c r="DS18" s="2504"/>
      <c r="DT18" s="2504"/>
      <c r="DU18" s="2504"/>
      <c r="DV18" s="2504"/>
      <c r="DW18" s="2504"/>
      <c r="DX18" s="2504"/>
      <c r="DY18" s="2504"/>
      <c r="DZ18" s="2504"/>
      <c r="EA18" s="2504"/>
      <c r="EB18" s="2504"/>
      <c r="EC18" s="2504"/>
      <c r="ED18" s="2504"/>
      <c r="EE18" s="2504"/>
      <c r="EF18" s="2504"/>
      <c r="EG18" s="2504"/>
      <c r="EH18" s="2504"/>
      <c r="EI18" s="2504"/>
      <c r="EJ18" s="2504"/>
      <c r="EK18" s="2504"/>
      <c r="EL18" s="2504"/>
      <c r="EM18" s="2511"/>
    </row>
    <row r="19" spans="1:143" ht="24">
      <c r="A19" s="2512" t="s">
        <v>3646</v>
      </c>
      <c r="B19" s="2513"/>
      <c r="C19" s="2514"/>
      <c r="D19" s="2514"/>
      <c r="E19" s="2514"/>
      <c r="F19" s="2514"/>
      <c r="G19" s="2514"/>
      <c r="H19" s="2514"/>
      <c r="I19" s="2514"/>
      <c r="J19" s="2514"/>
      <c r="K19" s="2514"/>
      <c r="L19" s="2514"/>
      <c r="M19" s="2514"/>
      <c r="N19" s="2514"/>
      <c r="O19" s="2514"/>
      <c r="P19" s="2515"/>
      <c r="Q19" s="2515"/>
      <c r="R19" s="2515"/>
      <c r="S19" s="2515"/>
      <c r="T19" s="2515"/>
      <c r="U19" s="2515"/>
      <c r="V19" s="2515"/>
      <c r="W19" s="2515"/>
      <c r="X19" s="2515"/>
      <c r="Y19" s="2515"/>
      <c r="Z19" s="2515"/>
      <c r="AA19" s="2515"/>
      <c r="AB19" s="2515"/>
      <c r="AC19" s="2515"/>
      <c r="AD19" s="2515"/>
      <c r="AE19" s="2515"/>
      <c r="AF19" s="2515"/>
      <c r="AG19" s="2515"/>
      <c r="AH19" s="2515"/>
      <c r="AI19" s="2515"/>
      <c r="AJ19" s="2515"/>
      <c r="AK19" s="2515"/>
      <c r="AL19" s="2515"/>
      <c r="AM19" s="2514"/>
      <c r="AN19" s="2514"/>
      <c r="AO19" s="2514"/>
      <c r="AP19" s="2514"/>
      <c r="AQ19" s="2514"/>
      <c r="AR19" s="2514"/>
      <c r="AS19" s="2514"/>
      <c r="AT19" s="2514"/>
      <c r="AU19" s="2514"/>
      <c r="AV19" s="2514"/>
      <c r="AW19" s="2514"/>
      <c r="AX19" s="2514"/>
      <c r="AY19" s="2514"/>
      <c r="AZ19" s="2514"/>
      <c r="BA19" s="2514"/>
      <c r="BB19" s="2514"/>
      <c r="BC19" s="2514"/>
      <c r="BD19" s="2514"/>
      <c r="BE19" s="2514"/>
      <c r="BF19" s="2514"/>
      <c r="BG19" s="2514"/>
      <c r="BH19" s="2514"/>
      <c r="BI19" s="2514"/>
      <c r="BJ19" s="2514"/>
      <c r="BK19" s="2514"/>
      <c r="BL19" s="2514"/>
      <c r="BM19" s="2514"/>
      <c r="BN19" s="2514"/>
      <c r="BO19" s="2514"/>
      <c r="BP19" s="2514"/>
      <c r="BQ19" s="2514"/>
      <c r="BR19" s="2514"/>
      <c r="BS19" s="2514"/>
      <c r="BT19" s="2514"/>
      <c r="BU19" s="2514"/>
      <c r="BV19" s="2514"/>
      <c r="BW19" s="2514"/>
      <c r="BX19" s="2514"/>
      <c r="BY19" s="2514"/>
      <c r="BZ19" s="2514"/>
      <c r="CA19" s="2514"/>
      <c r="CB19" s="2514"/>
      <c r="CC19" s="2514"/>
      <c r="CD19" s="2514"/>
      <c r="CE19" s="2514"/>
      <c r="CF19" s="2514"/>
      <c r="CG19" s="2514"/>
      <c r="CH19" s="2514"/>
      <c r="CI19" s="2514"/>
      <c r="CJ19" s="2514"/>
      <c r="CK19" s="2514"/>
      <c r="CL19" s="2514"/>
      <c r="CM19" s="2514"/>
      <c r="CN19" s="2514"/>
      <c r="CO19" s="2514"/>
      <c r="CP19" s="2514"/>
      <c r="CQ19" s="2514"/>
      <c r="CR19" s="2514"/>
      <c r="CS19" s="2514"/>
      <c r="CT19" s="2514"/>
      <c r="CU19" s="2514"/>
      <c r="CV19" s="2514"/>
      <c r="CW19" s="2514"/>
      <c r="CX19" s="2514"/>
      <c r="CY19" s="2514"/>
      <c r="CZ19" s="2514"/>
      <c r="DA19" s="2514"/>
      <c r="DB19" s="2514"/>
      <c r="DC19" s="2514"/>
      <c r="DD19" s="2514"/>
      <c r="DE19" s="2514"/>
      <c r="DF19" s="2514"/>
      <c r="DG19" s="2514"/>
      <c r="DH19" s="2514"/>
      <c r="DI19" s="2514"/>
      <c r="DJ19" s="2514"/>
      <c r="DK19" s="2514"/>
      <c r="DL19" s="2514"/>
      <c r="DM19" s="2514"/>
      <c r="DN19" s="2514"/>
      <c r="DO19" s="2514"/>
      <c r="DP19" s="2514"/>
      <c r="DQ19" s="2514"/>
      <c r="DR19" s="2514"/>
      <c r="DS19" s="2514"/>
      <c r="DT19" s="2514"/>
      <c r="DU19" s="2514"/>
      <c r="DV19" s="2514"/>
      <c r="DW19" s="2514"/>
      <c r="DX19" s="2514"/>
      <c r="DY19" s="2516"/>
      <c r="DZ19" s="2516"/>
      <c r="EA19" s="2516"/>
      <c r="EB19" s="2517"/>
      <c r="EC19" s="2517"/>
      <c r="ED19" s="2518"/>
      <c r="EE19" s="2519"/>
      <c r="EF19" s="2519"/>
      <c r="EG19" s="2519"/>
      <c r="EH19" s="2519"/>
    </row>
    <row r="20" spans="1:143" ht="15.75">
      <c r="A20" s="2520" t="s">
        <v>680</v>
      </c>
      <c r="B20" s="2521"/>
      <c r="C20" s="2522"/>
      <c r="D20" s="2522"/>
      <c r="E20" s="2522"/>
      <c r="F20" s="2522"/>
      <c r="G20" s="2522"/>
      <c r="H20" s="2522"/>
      <c r="I20" s="2522"/>
      <c r="J20" s="2522"/>
      <c r="K20" s="2522"/>
      <c r="L20" s="2522"/>
      <c r="M20" s="2522"/>
      <c r="N20" s="2522"/>
      <c r="O20" s="2522"/>
      <c r="P20" s="2522"/>
      <c r="Q20" s="2522"/>
      <c r="R20" s="2522"/>
      <c r="S20" s="2522"/>
      <c r="T20" s="2522"/>
      <c r="U20" s="2522"/>
      <c r="V20" s="2522"/>
      <c r="W20" s="2522"/>
      <c r="X20" s="2522"/>
      <c r="Y20" s="2522"/>
      <c r="Z20" s="2522"/>
      <c r="AA20" s="2522"/>
      <c r="AB20" s="2522"/>
      <c r="AC20" s="2522"/>
      <c r="AD20" s="2522"/>
      <c r="AE20" s="2522"/>
      <c r="AF20" s="2522"/>
      <c r="AG20" s="2522"/>
      <c r="AH20" s="2522"/>
      <c r="AI20" s="2522"/>
      <c r="AJ20" s="2522"/>
      <c r="AK20" s="2522"/>
      <c r="AL20" s="2522"/>
      <c r="AM20" s="2522"/>
      <c r="AN20" s="2522"/>
      <c r="AO20" s="2522"/>
      <c r="AP20" s="2522"/>
      <c r="AQ20" s="2522"/>
      <c r="AR20" s="2522"/>
      <c r="AS20" s="2522"/>
      <c r="AT20" s="2522"/>
      <c r="AU20" s="2522"/>
      <c r="AV20" s="2522"/>
      <c r="AW20" s="2522"/>
      <c r="AX20" s="2522"/>
      <c r="AY20" s="2522"/>
      <c r="AZ20" s="2522"/>
      <c r="BA20" s="2522"/>
      <c r="BB20" s="2522"/>
      <c r="BC20" s="2522"/>
      <c r="BD20" s="2522"/>
      <c r="BE20" s="2522"/>
      <c r="BF20" s="2522"/>
      <c r="BG20" s="2522"/>
      <c r="BH20" s="2522"/>
      <c r="BI20" s="2522"/>
      <c r="BJ20" s="2522"/>
      <c r="BK20" s="2522"/>
      <c r="BL20" s="2522"/>
      <c r="BM20" s="2522"/>
      <c r="BN20" s="2522"/>
      <c r="BO20" s="2522"/>
      <c r="BP20" s="2522"/>
      <c r="BQ20" s="2522"/>
      <c r="BR20" s="2522"/>
      <c r="BS20" s="2522"/>
      <c r="BT20" s="2522"/>
      <c r="BU20" s="2522"/>
      <c r="BV20" s="2522"/>
      <c r="BW20" s="2522"/>
      <c r="BX20" s="2522"/>
      <c r="BY20" s="2522"/>
      <c r="BZ20" s="2522"/>
      <c r="CA20" s="2522"/>
      <c r="CB20" s="2522"/>
      <c r="CC20" s="2522"/>
      <c r="CD20" s="2522"/>
      <c r="CE20" s="2522"/>
      <c r="CF20" s="2522"/>
      <c r="CG20" s="2522"/>
      <c r="CH20" s="2522"/>
      <c r="CI20" s="2522"/>
      <c r="CJ20" s="2522"/>
      <c r="CK20" s="2522"/>
      <c r="CL20" s="2522"/>
      <c r="CM20" s="2522"/>
      <c r="CN20" s="2522"/>
      <c r="CO20" s="2522"/>
      <c r="CP20" s="2522"/>
      <c r="CQ20" s="2522"/>
      <c r="CR20" s="2522"/>
      <c r="CS20" s="2522"/>
      <c r="CT20" s="2522"/>
      <c r="CU20" s="2522"/>
      <c r="CV20" s="2522"/>
      <c r="CW20" s="2522"/>
      <c r="CX20" s="2522"/>
      <c r="CY20" s="2522"/>
      <c r="CZ20" s="2522"/>
      <c r="DA20" s="2522"/>
      <c r="DB20" s="2522"/>
      <c r="DC20" s="2522"/>
      <c r="DD20" s="2522"/>
      <c r="DE20" s="2522"/>
      <c r="DF20" s="2522"/>
      <c r="DG20" s="2522"/>
      <c r="DH20" s="2522"/>
      <c r="DI20" s="2522"/>
      <c r="DJ20" s="2522"/>
      <c r="DK20" s="2522"/>
      <c r="DL20" s="2522"/>
      <c r="DM20" s="2522"/>
      <c r="DN20" s="2522"/>
      <c r="DO20" s="2522"/>
      <c r="DP20" s="2522"/>
      <c r="DQ20" s="2522"/>
      <c r="DR20" s="2522"/>
      <c r="DS20" s="2522"/>
      <c r="DT20" s="2522"/>
      <c r="DU20" s="2522"/>
      <c r="DV20" s="2522"/>
      <c r="DW20" s="2522"/>
      <c r="DX20" s="2522"/>
      <c r="DY20" s="2517"/>
      <c r="DZ20" s="2517"/>
      <c r="EA20" s="2517"/>
      <c r="EB20" s="2517"/>
      <c r="EC20" s="2517"/>
      <c r="ED20" s="2518"/>
      <c r="EE20" s="2519"/>
      <c r="EF20" s="2519"/>
      <c r="EG20" s="2519"/>
      <c r="EH20" s="2519"/>
    </row>
    <row r="21" spans="1:143">
      <c r="A21" s="2523"/>
      <c r="B21" s="2524"/>
      <c r="C21" s="2519"/>
      <c r="D21" s="2519"/>
      <c r="E21" s="2519"/>
      <c r="F21" s="2519"/>
      <c r="G21" s="2519"/>
      <c r="H21" s="2524"/>
      <c r="I21" s="2524"/>
      <c r="J21" s="2519"/>
      <c r="K21" s="2519"/>
      <c r="L21" s="2519"/>
      <c r="M21" s="2519"/>
      <c r="N21" s="2519"/>
      <c r="O21" s="2519"/>
      <c r="P21" s="2519"/>
      <c r="Q21" s="2519"/>
      <c r="R21" s="2519"/>
      <c r="S21" s="2519"/>
      <c r="T21" s="2519"/>
      <c r="U21" s="2519"/>
      <c r="V21" s="2519"/>
      <c r="W21" s="2519"/>
      <c r="X21" s="2519"/>
      <c r="Y21" s="2519"/>
      <c r="Z21" s="2519"/>
      <c r="AA21" s="2519"/>
      <c r="AB21" s="2519"/>
      <c r="AC21" s="2519"/>
      <c r="AD21" s="2519"/>
      <c r="AE21" s="2519"/>
      <c r="AF21" s="2519"/>
      <c r="AG21" s="2519"/>
      <c r="AH21" s="2519"/>
      <c r="AI21" s="2519"/>
      <c r="AJ21" s="2519"/>
      <c r="AK21" s="2519"/>
      <c r="AL21" s="2519"/>
      <c r="AM21" s="2519"/>
      <c r="AN21" s="2519"/>
      <c r="AO21" s="2519"/>
      <c r="AP21" s="2519"/>
      <c r="AQ21" s="2519"/>
      <c r="AR21" s="2519"/>
      <c r="AS21" s="2519"/>
      <c r="AT21" s="2519"/>
      <c r="AU21" s="2519"/>
      <c r="AV21" s="2519"/>
      <c r="AW21" s="2519"/>
      <c r="AX21" s="2519"/>
      <c r="AY21" s="2519"/>
      <c r="AZ21" s="2519"/>
      <c r="BA21" s="2519"/>
      <c r="BB21" s="2519"/>
      <c r="BC21" s="2519"/>
      <c r="BD21" s="2519"/>
      <c r="BE21" s="2519"/>
      <c r="BF21" s="2519"/>
      <c r="BG21" s="2519"/>
      <c r="BH21" s="2519"/>
      <c r="BI21" s="2519"/>
      <c r="BJ21" s="2519"/>
      <c r="BK21" s="2519"/>
      <c r="BL21" s="2519"/>
      <c r="BM21" s="2519"/>
      <c r="BN21" s="2519"/>
      <c r="BO21" s="2519"/>
      <c r="BP21" s="2519"/>
      <c r="BQ21" s="2519"/>
      <c r="BR21" s="2519"/>
      <c r="BS21" s="2519"/>
      <c r="BT21" s="2519"/>
      <c r="BU21" s="2519"/>
      <c r="BV21" s="2519"/>
      <c r="BW21" s="2519"/>
      <c r="BX21" s="2519"/>
      <c r="BY21" s="2519"/>
      <c r="BZ21" s="2519"/>
      <c r="CA21" s="2519"/>
      <c r="CB21" s="2519"/>
      <c r="CC21" s="2519"/>
      <c r="CD21" s="2519"/>
      <c r="CE21" s="2519"/>
      <c r="CF21" s="2519"/>
      <c r="CG21" s="2519"/>
      <c r="CH21" s="2519"/>
      <c r="CI21" s="2519"/>
      <c r="CJ21" s="2519"/>
      <c r="CK21" s="2519"/>
      <c r="CL21" s="2519"/>
      <c r="CM21" s="2519"/>
      <c r="CN21" s="2519"/>
      <c r="CO21" s="2519"/>
      <c r="CP21" s="2519"/>
      <c r="CQ21" s="2519"/>
      <c r="CR21" s="2519"/>
      <c r="CS21" s="2519"/>
      <c r="CT21" s="2519"/>
      <c r="CU21" s="2519"/>
      <c r="CV21" s="2519"/>
      <c r="CW21" s="2519"/>
      <c r="CX21" s="2519"/>
      <c r="CY21" s="2519"/>
      <c r="CZ21" s="2519"/>
      <c r="DA21" s="2519"/>
      <c r="DB21" s="2519"/>
      <c r="DC21" s="2519"/>
      <c r="DD21" s="2519"/>
      <c r="DE21" s="2519"/>
      <c r="DF21" s="2519"/>
      <c r="DG21" s="2519"/>
      <c r="DH21" s="2519"/>
      <c r="DI21" s="2519"/>
      <c r="DJ21" s="2519"/>
      <c r="DK21" s="2519"/>
      <c r="DL21" s="2519"/>
      <c r="DM21" s="2519"/>
      <c r="DN21" s="2519"/>
      <c r="DO21" s="2519"/>
      <c r="DP21" s="2519"/>
      <c r="DQ21" s="2519"/>
      <c r="DR21" s="2519"/>
      <c r="DS21" s="2519"/>
      <c r="DT21" s="2519"/>
      <c r="DU21" s="2519"/>
      <c r="DV21" s="2519"/>
      <c r="DW21" s="2519"/>
      <c r="DX21" s="2519"/>
      <c r="DY21" s="2519"/>
      <c r="DZ21" s="2519"/>
      <c r="EA21" s="2519"/>
      <c r="EB21" s="2519"/>
      <c r="EC21" s="2519"/>
      <c r="ED21" s="2519"/>
      <c r="EE21" s="2519"/>
      <c r="EF21" s="2519"/>
      <c r="EG21" s="2519"/>
      <c r="EH21" s="2519"/>
    </row>
    <row r="22" spans="1:143">
      <c r="A22" s="2525"/>
      <c r="B22" s="2445"/>
      <c r="H22" s="2445"/>
      <c r="I22" s="2445"/>
    </row>
    <row r="23" spans="1:143" s="2445" customFormat="1" ht="18.75">
      <c r="A23" s="2444" t="s">
        <v>3647</v>
      </c>
      <c r="B23" s="2446"/>
      <c r="C23" s="2446"/>
      <c r="D23" s="2446"/>
      <c r="E23" s="2446"/>
      <c r="F23" s="2446"/>
      <c r="G23" s="2446"/>
      <c r="H23" s="2446"/>
      <c r="I23" s="2446"/>
      <c r="J23" s="2446"/>
      <c r="K23" s="2446"/>
      <c r="L23" s="2446"/>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row>
    <row r="24" spans="1:143" s="2445" customFormat="1" ht="15.75" thickBot="1">
      <c r="A24" s="2446"/>
      <c r="B24" s="2446"/>
      <c r="C24" s="2446"/>
      <c r="D24" s="2446"/>
      <c r="E24" s="2446"/>
      <c r="F24" s="2446"/>
      <c r="G24" s="2446"/>
      <c r="H24" s="2446"/>
      <c r="I24" s="2446"/>
      <c r="J24" s="2446"/>
      <c r="K24" s="2446"/>
      <c r="L24" s="2446"/>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row>
    <row r="25" spans="1:143" s="2445" customFormat="1">
      <c r="A25" s="2526" t="s">
        <v>3633</v>
      </c>
      <c r="B25" s="2527">
        <v>37258</v>
      </c>
      <c r="C25" s="2528">
        <v>37289</v>
      </c>
      <c r="D25" s="2528">
        <v>37378</v>
      </c>
      <c r="E25" s="2528">
        <v>37409</v>
      </c>
      <c r="F25" s="2528">
        <v>37439</v>
      </c>
      <c r="G25" s="2528">
        <v>37470</v>
      </c>
      <c r="H25" s="2528">
        <v>37501</v>
      </c>
      <c r="I25" s="2528">
        <v>37531</v>
      </c>
      <c r="J25" s="2528">
        <v>37562</v>
      </c>
      <c r="K25" s="2528">
        <v>37592</v>
      </c>
      <c r="L25" s="2528">
        <v>37623</v>
      </c>
      <c r="M25" s="2528">
        <v>37654</v>
      </c>
      <c r="N25" s="2528">
        <v>37682</v>
      </c>
      <c r="O25" s="2528">
        <v>37713</v>
      </c>
      <c r="P25" s="2528">
        <v>37743</v>
      </c>
      <c r="Q25" s="2528">
        <v>37774</v>
      </c>
      <c r="R25" s="2528">
        <v>37804</v>
      </c>
      <c r="S25" s="2528">
        <v>37835</v>
      </c>
      <c r="T25" s="2528">
        <v>37866</v>
      </c>
      <c r="U25" s="2528">
        <v>37896</v>
      </c>
      <c r="V25" s="2528">
        <v>37927</v>
      </c>
      <c r="W25" s="2528">
        <v>37957</v>
      </c>
      <c r="X25" s="2529">
        <v>37988</v>
      </c>
      <c r="Y25" s="2530">
        <v>38019</v>
      </c>
      <c r="Z25" s="2531">
        <v>38048</v>
      </c>
      <c r="AA25" s="2530">
        <v>38079</v>
      </c>
      <c r="AB25" s="2531">
        <v>38109</v>
      </c>
      <c r="AC25" s="2530">
        <v>38140</v>
      </c>
      <c r="AD25" s="2531">
        <v>38170</v>
      </c>
      <c r="AE25" s="2530">
        <v>38201</v>
      </c>
      <c r="AF25" s="2531">
        <v>38232</v>
      </c>
      <c r="AG25" s="2530">
        <v>38262</v>
      </c>
      <c r="AH25" s="2531">
        <v>38293</v>
      </c>
      <c r="AI25" s="2530">
        <v>38323</v>
      </c>
      <c r="AJ25" s="2531">
        <v>38354</v>
      </c>
      <c r="AK25" s="2532">
        <v>38413</v>
      </c>
      <c r="AL25" s="2532">
        <v>38444</v>
      </c>
      <c r="AM25" s="2530">
        <v>38474</v>
      </c>
      <c r="AN25" s="2530">
        <v>38505</v>
      </c>
      <c r="AO25" s="2530">
        <v>38535</v>
      </c>
      <c r="AP25" s="2531">
        <v>38565</v>
      </c>
      <c r="AQ25" s="2530">
        <v>38596</v>
      </c>
      <c r="AR25" s="2530">
        <v>38626</v>
      </c>
      <c r="AS25" s="2531">
        <v>38657</v>
      </c>
      <c r="AT25" s="2532">
        <v>38687</v>
      </c>
      <c r="AU25" s="2532">
        <v>38718</v>
      </c>
      <c r="AV25" s="2530">
        <v>38749</v>
      </c>
      <c r="AW25" s="2530">
        <v>38777</v>
      </c>
      <c r="AX25" s="2531">
        <v>38808</v>
      </c>
      <c r="AY25" s="2532">
        <v>38838</v>
      </c>
      <c r="AZ25" s="2530">
        <v>38869</v>
      </c>
      <c r="BA25" s="2531">
        <v>38899</v>
      </c>
      <c r="BB25" s="2532">
        <v>38930</v>
      </c>
      <c r="BC25" s="2532">
        <v>38961</v>
      </c>
      <c r="BD25" s="2530">
        <v>38991</v>
      </c>
      <c r="BE25" s="2531">
        <v>39022</v>
      </c>
      <c r="BF25" s="2532">
        <v>39052</v>
      </c>
      <c r="BG25" s="2530">
        <v>39083</v>
      </c>
      <c r="BH25" s="2531">
        <v>39114</v>
      </c>
      <c r="BI25" s="2532">
        <v>39142</v>
      </c>
      <c r="BJ25" s="2532">
        <v>39173</v>
      </c>
      <c r="BK25" s="2532">
        <v>39203</v>
      </c>
      <c r="BL25" s="2532">
        <v>39234</v>
      </c>
      <c r="BM25" s="2532">
        <v>39264</v>
      </c>
      <c r="BN25" s="2530">
        <v>39295</v>
      </c>
      <c r="BO25" s="2530">
        <v>39326</v>
      </c>
      <c r="BP25" s="2530">
        <v>39356</v>
      </c>
      <c r="BQ25" s="2530">
        <v>39387</v>
      </c>
      <c r="BR25" s="2530">
        <v>39417</v>
      </c>
      <c r="BS25" s="2530">
        <v>39448</v>
      </c>
      <c r="BT25" s="2530">
        <v>39479</v>
      </c>
      <c r="BU25" s="2530">
        <v>39508</v>
      </c>
      <c r="BV25" s="2530">
        <v>39539</v>
      </c>
      <c r="BW25" s="2532">
        <v>39569</v>
      </c>
      <c r="BX25" s="2532">
        <v>39600</v>
      </c>
      <c r="BY25" s="2532">
        <v>39630</v>
      </c>
      <c r="BZ25" s="2530">
        <v>39661</v>
      </c>
      <c r="CA25" s="2530">
        <v>39692</v>
      </c>
      <c r="CB25" s="2530">
        <v>39722</v>
      </c>
      <c r="CC25" s="2530">
        <v>39753</v>
      </c>
      <c r="CD25" s="2530">
        <v>39783</v>
      </c>
      <c r="CE25" s="2530">
        <v>39814</v>
      </c>
      <c r="CF25" s="2530">
        <v>39845</v>
      </c>
      <c r="CG25" s="2530">
        <v>39873</v>
      </c>
      <c r="CH25" s="2530">
        <v>39904</v>
      </c>
      <c r="CI25" s="2533">
        <v>39934</v>
      </c>
      <c r="CJ25" s="2533">
        <v>39965</v>
      </c>
      <c r="CK25" s="2533">
        <v>39995</v>
      </c>
      <c r="CL25" s="2534">
        <v>40026</v>
      </c>
      <c r="CM25" s="2534">
        <v>40057</v>
      </c>
      <c r="CN25" s="2534">
        <v>40087</v>
      </c>
      <c r="CO25" s="2534">
        <v>40118</v>
      </c>
      <c r="CP25" s="2534">
        <v>40299</v>
      </c>
      <c r="CQ25" s="2534">
        <v>40360</v>
      </c>
      <c r="CR25" s="2534">
        <v>40391</v>
      </c>
      <c r="CS25" s="2534">
        <v>40422</v>
      </c>
      <c r="CT25" s="2534">
        <v>40452</v>
      </c>
      <c r="CU25" s="2534">
        <v>40483</v>
      </c>
      <c r="CV25" s="2534">
        <v>40513</v>
      </c>
      <c r="CW25" s="2534">
        <v>40544</v>
      </c>
      <c r="CX25" s="2534">
        <v>40575</v>
      </c>
      <c r="CY25" s="2534">
        <v>40603</v>
      </c>
      <c r="CZ25" s="2534">
        <v>40634</v>
      </c>
      <c r="DA25" s="2534">
        <v>40664</v>
      </c>
      <c r="DB25" s="2534">
        <v>40695</v>
      </c>
      <c r="DC25" s="2534">
        <v>40725</v>
      </c>
      <c r="DD25" s="2534">
        <v>40756</v>
      </c>
      <c r="DE25" s="2534">
        <v>40787</v>
      </c>
      <c r="DF25" s="2534">
        <f t="shared" ref="DF25:EM25" si="1">DF4</f>
        <v>40817</v>
      </c>
      <c r="DG25" s="2534">
        <f t="shared" si="1"/>
        <v>40848</v>
      </c>
      <c r="DH25" s="2534">
        <f t="shared" si="1"/>
        <v>40878</v>
      </c>
      <c r="DI25" s="2534">
        <f t="shared" si="1"/>
        <v>40909</v>
      </c>
      <c r="DJ25" s="2534">
        <f t="shared" si="1"/>
        <v>40940</v>
      </c>
      <c r="DK25" s="2534">
        <f t="shared" si="1"/>
        <v>40969</v>
      </c>
      <c r="DL25" s="2534">
        <f t="shared" si="1"/>
        <v>41000</v>
      </c>
      <c r="DM25" s="2534">
        <f t="shared" si="1"/>
        <v>41030</v>
      </c>
      <c r="DN25" s="2534">
        <f t="shared" si="1"/>
        <v>41061</v>
      </c>
      <c r="DO25" s="2534">
        <f t="shared" si="1"/>
        <v>41091</v>
      </c>
      <c r="DP25" s="2534">
        <f t="shared" si="1"/>
        <v>41122</v>
      </c>
      <c r="DQ25" s="2534">
        <f t="shared" si="1"/>
        <v>41153</v>
      </c>
      <c r="DR25" s="2529">
        <f t="shared" si="1"/>
        <v>41183</v>
      </c>
      <c r="DS25" s="2530">
        <f t="shared" si="1"/>
        <v>41214</v>
      </c>
      <c r="DT25" s="2530">
        <f t="shared" si="1"/>
        <v>41245</v>
      </c>
      <c r="DU25" s="2530">
        <f t="shared" si="1"/>
        <v>41276</v>
      </c>
      <c r="DV25" s="2530">
        <f t="shared" si="1"/>
        <v>41307</v>
      </c>
      <c r="DW25" s="2530">
        <f t="shared" si="1"/>
        <v>41338</v>
      </c>
      <c r="DX25" s="2530">
        <f t="shared" si="1"/>
        <v>41369</v>
      </c>
      <c r="DY25" s="2530">
        <f t="shared" si="1"/>
        <v>41400</v>
      </c>
      <c r="DZ25" s="2530">
        <f t="shared" si="1"/>
        <v>41431</v>
      </c>
      <c r="EA25" s="2530">
        <f t="shared" si="1"/>
        <v>41462</v>
      </c>
      <c r="EB25" s="2530">
        <f t="shared" si="1"/>
        <v>41493</v>
      </c>
      <c r="EC25" s="2530">
        <f t="shared" si="1"/>
        <v>41524</v>
      </c>
      <c r="ED25" s="2530">
        <f t="shared" si="1"/>
        <v>41555</v>
      </c>
      <c r="EE25" s="2530">
        <f t="shared" si="1"/>
        <v>41586</v>
      </c>
      <c r="EF25" s="2530">
        <f t="shared" si="1"/>
        <v>41617</v>
      </c>
      <c r="EG25" s="2530">
        <f t="shared" si="1"/>
        <v>41648</v>
      </c>
      <c r="EH25" s="2530">
        <f t="shared" si="1"/>
        <v>41679</v>
      </c>
      <c r="EI25" s="2530">
        <f t="shared" si="1"/>
        <v>41710</v>
      </c>
      <c r="EJ25" s="2530">
        <f t="shared" si="1"/>
        <v>41741</v>
      </c>
      <c r="EK25" s="2530">
        <f t="shared" si="1"/>
        <v>41772</v>
      </c>
      <c r="EL25" s="2530">
        <f t="shared" si="1"/>
        <v>41803</v>
      </c>
      <c r="EM25" s="2535">
        <f t="shared" si="1"/>
        <v>41834</v>
      </c>
    </row>
    <row r="26" spans="1:143" s="2445" customFormat="1" ht="15.75" thickBot="1">
      <c r="A26" s="2536" t="s">
        <v>3634</v>
      </c>
      <c r="B26" s="2537"/>
      <c r="C26" s="2537"/>
      <c r="D26" s="2537"/>
      <c r="E26" s="2537"/>
      <c r="F26" s="2537"/>
      <c r="G26" s="2537"/>
      <c r="H26" s="2537"/>
      <c r="I26" s="2537"/>
      <c r="J26" s="2537"/>
      <c r="K26" s="2537"/>
      <c r="L26" s="2537"/>
      <c r="M26" s="2537"/>
      <c r="N26" s="2537"/>
      <c r="O26" s="2537"/>
      <c r="P26" s="2537"/>
      <c r="Q26" s="2537"/>
      <c r="R26" s="2537"/>
      <c r="S26" s="2537"/>
      <c r="T26" s="2537"/>
      <c r="U26" s="2537"/>
      <c r="V26" s="2537"/>
      <c r="W26" s="2537"/>
      <c r="X26" s="2538"/>
      <c r="Y26" s="2539"/>
      <c r="Z26" s="2538"/>
      <c r="AA26" s="2539"/>
      <c r="AB26" s="2538"/>
      <c r="AC26" s="2539"/>
      <c r="AD26" s="2538"/>
      <c r="AE26" s="2539"/>
      <c r="AF26" s="2538"/>
      <c r="AG26" s="2539"/>
      <c r="AH26" s="2538"/>
      <c r="AI26" s="2539"/>
      <c r="AJ26" s="2538"/>
      <c r="AK26" s="2540"/>
      <c r="AL26" s="2540"/>
      <c r="AM26" s="2539"/>
      <c r="AN26" s="2539"/>
      <c r="AO26" s="2539"/>
      <c r="AP26" s="2538"/>
      <c r="AQ26" s="2539"/>
      <c r="AR26" s="2539"/>
      <c r="AS26" s="2538"/>
      <c r="AT26" s="2540"/>
      <c r="AU26" s="2540"/>
      <c r="AV26" s="2539"/>
      <c r="AW26" s="2539"/>
      <c r="AX26" s="2538"/>
      <c r="AY26" s="2540"/>
      <c r="AZ26" s="2539"/>
      <c r="BA26" s="2538"/>
      <c r="BB26" s="2540"/>
      <c r="BC26" s="2540"/>
      <c r="BD26" s="2539"/>
      <c r="BE26" s="2538"/>
      <c r="BF26" s="2540"/>
      <c r="BG26" s="2539"/>
      <c r="BH26" s="2538"/>
      <c r="BI26" s="2540"/>
      <c r="BJ26" s="2540"/>
      <c r="BK26" s="2540"/>
      <c r="BL26" s="2540"/>
      <c r="BM26" s="2540"/>
      <c r="BN26" s="2539"/>
      <c r="BO26" s="2539"/>
      <c r="BP26" s="2539"/>
      <c r="BQ26" s="2539"/>
      <c r="BR26" s="2539"/>
      <c r="BS26" s="2539"/>
      <c r="BT26" s="2539"/>
      <c r="BU26" s="2539"/>
      <c r="BV26" s="2539"/>
      <c r="BW26" s="2540"/>
      <c r="BX26" s="2540"/>
      <c r="BY26" s="2540"/>
      <c r="BZ26" s="2539"/>
      <c r="CA26" s="2539"/>
      <c r="CB26" s="2539"/>
      <c r="CC26" s="2539"/>
      <c r="CD26" s="2539"/>
      <c r="CE26" s="2539"/>
      <c r="CF26" s="2539"/>
      <c r="CG26" s="2539"/>
      <c r="CH26" s="2539"/>
      <c r="CI26" s="2541"/>
      <c r="CJ26" s="2541"/>
      <c r="CK26" s="2541"/>
      <c r="CL26" s="2536"/>
      <c r="CM26" s="2536"/>
      <c r="CN26" s="2536"/>
      <c r="CO26" s="2536"/>
      <c r="CP26" s="2536"/>
      <c r="CQ26" s="2536"/>
      <c r="CR26" s="2536"/>
      <c r="CS26" s="2536"/>
      <c r="CT26" s="2536"/>
      <c r="CU26" s="2536"/>
      <c r="CV26" s="2536"/>
      <c r="CW26" s="2536"/>
      <c r="CX26" s="2536"/>
      <c r="CY26" s="2536"/>
      <c r="CZ26" s="2536"/>
      <c r="DA26" s="2536"/>
      <c r="DB26" s="2536"/>
      <c r="DC26" s="2536"/>
      <c r="DD26" s="2536"/>
      <c r="DE26" s="2536"/>
      <c r="DF26" s="2536"/>
      <c r="DG26" s="2536"/>
      <c r="DH26" s="2536"/>
      <c r="DI26" s="2536"/>
      <c r="DJ26" s="2536"/>
      <c r="DK26" s="2536"/>
      <c r="DL26" s="2536"/>
      <c r="DM26" s="2536"/>
      <c r="DN26" s="2536"/>
      <c r="DO26" s="2536"/>
      <c r="DP26" s="2536"/>
      <c r="DQ26" s="2536"/>
      <c r="DR26" s="2542"/>
      <c r="DS26" s="2539"/>
      <c r="DT26" s="2539"/>
      <c r="DU26" s="2539"/>
      <c r="DV26" s="2539"/>
      <c r="DW26" s="2539"/>
      <c r="DX26" s="2539"/>
      <c r="DY26" s="2539"/>
      <c r="DZ26" s="2539"/>
      <c r="EA26" s="2539"/>
      <c r="EB26" s="2539"/>
      <c r="EC26" s="2539"/>
      <c r="ED26" s="2539"/>
      <c r="EE26" s="2539"/>
      <c r="EF26" s="2539"/>
      <c r="EG26" s="2539"/>
      <c r="EH26" s="2539"/>
      <c r="EI26" s="2539"/>
      <c r="EJ26" s="2539"/>
      <c r="EK26" s="2539"/>
      <c r="EL26" s="2539"/>
      <c r="EM26" s="2543"/>
    </row>
    <row r="27" spans="1:143" s="2445" customFormat="1" ht="21.75" customHeight="1">
      <c r="A27" s="2544" t="s">
        <v>3635</v>
      </c>
      <c r="B27" s="2545">
        <v>15.824999999999999</v>
      </c>
      <c r="C27" s="2545">
        <v>15.736000000000001</v>
      </c>
      <c r="D27" s="2545">
        <v>16.807727272727274</v>
      </c>
      <c r="E27" s="2545">
        <v>17.321000000000002</v>
      </c>
      <c r="F27" s="2545">
        <v>16.746521739130436</v>
      </c>
      <c r="G27" s="2545">
        <v>16.2985714285714</v>
      </c>
      <c r="H27" s="2545">
        <v>16.420500000000001</v>
      </c>
      <c r="I27" s="2545">
        <v>16.502600000000001</v>
      </c>
      <c r="J27" s="2545">
        <v>16.757999999999999</v>
      </c>
      <c r="K27" s="2545">
        <v>16.746500000000001</v>
      </c>
      <c r="L27" s="2545">
        <v>17.021000000000001</v>
      </c>
      <c r="M27" s="2545">
        <v>16.774999999999999</v>
      </c>
      <c r="N27" s="2545">
        <v>16.820499999999999</v>
      </c>
      <c r="O27" s="2545">
        <v>16.925000000000001</v>
      </c>
      <c r="P27" s="2545">
        <v>18.078099999999999</v>
      </c>
      <c r="Q27" s="2545">
        <v>19.045000000000002</v>
      </c>
      <c r="R27" s="2545">
        <v>19.766999999999999</v>
      </c>
      <c r="S27" s="2545">
        <v>19.231999999999999</v>
      </c>
      <c r="T27" s="2545">
        <v>19.481000000000002</v>
      </c>
      <c r="U27" s="2545">
        <v>20.094999999999999</v>
      </c>
      <c r="V27" s="2545">
        <v>20.541</v>
      </c>
      <c r="W27" s="2545">
        <v>20.177</v>
      </c>
      <c r="X27" s="2546">
        <v>20.393000000000001</v>
      </c>
      <c r="Y27" s="2476">
        <v>20.273</v>
      </c>
      <c r="Z27" s="2546">
        <v>19.875</v>
      </c>
      <c r="AA27" s="2476">
        <v>20.445</v>
      </c>
      <c r="AB27" s="2546">
        <v>19.911999999999999</v>
      </c>
      <c r="AC27" s="2476">
        <v>19.760000000000002</v>
      </c>
      <c r="AD27" s="2546">
        <v>20.459</v>
      </c>
      <c r="AE27" s="2476">
        <v>20.385999999999999</v>
      </c>
      <c r="AF27" s="2546">
        <v>20.271999999999998</v>
      </c>
      <c r="AG27" s="2476">
        <v>21.173999999999999</v>
      </c>
      <c r="AH27" s="2546">
        <v>22.21</v>
      </c>
      <c r="AI27" s="2476">
        <v>22.016999999999999</v>
      </c>
      <c r="AJ27" s="2546">
        <v>21.998999999999999</v>
      </c>
      <c r="AK27" s="2478">
        <v>22.949000000000002</v>
      </c>
      <c r="AL27" s="2478">
        <v>22.725000000000001</v>
      </c>
      <c r="AM27" s="2474">
        <v>22.585999999999999</v>
      </c>
      <c r="AN27" s="2547">
        <v>22.712700000000002</v>
      </c>
      <c r="AO27" s="2480">
        <v>22.446000000000002</v>
      </c>
      <c r="AP27" s="2548">
        <v>22.8643</v>
      </c>
      <c r="AQ27" s="2489">
        <v>23.132400000000001</v>
      </c>
      <c r="AR27" s="2494">
        <v>23.1129</v>
      </c>
      <c r="AS27" s="2547">
        <v>22.605799999999999</v>
      </c>
      <c r="AT27" s="2547">
        <v>22.9314</v>
      </c>
      <c r="AU27" s="2547">
        <v>23.199000000000002</v>
      </c>
      <c r="AV27" s="2480">
        <v>22.966000000000001</v>
      </c>
      <c r="AW27" s="2480">
        <v>22.6386</v>
      </c>
      <c r="AX27" s="2548">
        <v>22.902999999999999</v>
      </c>
      <c r="AY27" s="2547">
        <v>23.784500000000001</v>
      </c>
      <c r="AZ27" s="2480">
        <v>23.0745</v>
      </c>
      <c r="BA27" s="2548">
        <v>23.6295</v>
      </c>
      <c r="BB27" s="2547">
        <v>24.693300000000001</v>
      </c>
      <c r="BC27" s="2493">
        <v>24.946200000000001</v>
      </c>
      <c r="BD27" s="2489">
        <v>25.091899999999999</v>
      </c>
      <c r="BE27" s="2494">
        <v>26.064</v>
      </c>
      <c r="BF27" s="2493">
        <v>26.707999999999998</v>
      </c>
      <c r="BG27" s="2474">
        <v>26.759499999999999</v>
      </c>
      <c r="BH27" s="2477">
        <v>26.646100000000001</v>
      </c>
      <c r="BI27" s="2478">
        <v>26.481000000000002</v>
      </c>
      <c r="BJ27" s="2478">
        <v>27.138999999999999</v>
      </c>
      <c r="BK27" s="2478">
        <v>26.309100000000001</v>
      </c>
      <c r="BL27" s="2478">
        <v>26.992000000000001</v>
      </c>
      <c r="BM27" s="2478">
        <v>27.722300000000001</v>
      </c>
      <c r="BN27" s="2474">
        <v>26.2166</v>
      </c>
      <c r="BO27" s="2474">
        <v>26.647600000000001</v>
      </c>
      <c r="BP27" s="2474">
        <v>27.867799999999999</v>
      </c>
      <c r="BQ27" s="2474">
        <v>27.524999999999999</v>
      </c>
      <c r="BR27" s="2474">
        <v>26.2134</v>
      </c>
      <c r="BS27" s="2474">
        <v>25.8324</v>
      </c>
      <c r="BT27" s="2474">
        <v>26.4071</v>
      </c>
      <c r="BU27" s="2474">
        <v>25.279800000000002</v>
      </c>
      <c r="BV27" s="2474">
        <v>24.8523</v>
      </c>
      <c r="BW27" s="2478">
        <v>26.385000000000002</v>
      </c>
      <c r="BX27" s="2478">
        <v>26.586300000000001</v>
      </c>
      <c r="BY27" s="2478">
        <v>26.410699999999999</v>
      </c>
      <c r="BZ27" s="2474">
        <v>24.974799999999998</v>
      </c>
      <c r="CA27" s="2474">
        <v>24.301400000000001</v>
      </c>
      <c r="CB27" s="2474">
        <v>21.485099999999999</v>
      </c>
      <c r="CC27" s="2474">
        <v>21.5411</v>
      </c>
      <c r="CD27" s="2474">
        <v>22.0108</v>
      </c>
      <c r="CE27" s="2474">
        <v>22.5198</v>
      </c>
      <c r="CF27" s="2474">
        <v>22.138999999999999</v>
      </c>
      <c r="CG27" s="2474">
        <v>23.0684</v>
      </c>
      <c r="CH27" s="2474">
        <v>24.5871</v>
      </c>
      <c r="CI27" s="2474">
        <v>25.926429999999993</v>
      </c>
      <c r="CJ27" s="2474">
        <v>26.753404545454554</v>
      </c>
      <c r="CK27" s="2474">
        <v>26.610808695652167</v>
      </c>
      <c r="CL27" s="2474">
        <v>27.443220000000007</v>
      </c>
      <c r="CM27" s="2474">
        <v>27.693085714285708</v>
      </c>
      <c r="CN27" s="2474">
        <v>28.572818181818182</v>
      </c>
      <c r="CO27" s="2474">
        <v>28.594170000000002</v>
      </c>
      <c r="CP27" s="2474">
        <v>29.11</v>
      </c>
      <c r="CQ27" s="2474">
        <v>28.145677124721249</v>
      </c>
      <c r="CR27" s="2474">
        <v>28.351412763083577</v>
      </c>
      <c r="CS27" s="2474">
        <v>29.51271716679905</v>
      </c>
      <c r="CT27" s="2474">
        <v>30.112859290085709</v>
      </c>
      <c r="CU27" s="2474">
        <v>30.62334452555762</v>
      </c>
      <c r="CV27" s="2474">
        <v>31.222964875904054</v>
      </c>
      <c r="CW27" s="2474">
        <v>30.973330877776778</v>
      </c>
      <c r="CX27" s="2474">
        <v>30.766630119998712</v>
      </c>
      <c r="CY27" s="2474">
        <v>30.185050539688721</v>
      </c>
      <c r="CZ27" s="2474">
        <v>30.626423231730449</v>
      </c>
      <c r="DA27" s="2474">
        <v>30.63291965911311</v>
      </c>
      <c r="DB27" s="2474">
        <v>30.588510575347904</v>
      </c>
      <c r="DC27" s="2480">
        <v>31.257842370683864</v>
      </c>
      <c r="DD27" s="2480">
        <v>30.338127937876607</v>
      </c>
      <c r="DE27" s="2480">
        <v>30.012847556634835</v>
      </c>
      <c r="DF27" s="2480">
        <v>30.044773087857056</v>
      </c>
      <c r="DG27" s="2480">
        <v>30.051936631125955</v>
      </c>
      <c r="DH27" s="2480">
        <v>30.448734150137327</v>
      </c>
      <c r="DI27" s="2480">
        <v>31.346826834617055</v>
      </c>
      <c r="DJ27" s="2480">
        <v>32.006741442801321</v>
      </c>
      <c r="DK27" s="2480">
        <v>31.463934301725295</v>
      </c>
      <c r="DL27" s="2480">
        <v>30.891312718159249</v>
      </c>
      <c r="DM27" s="2480">
        <v>30.139375669120376</v>
      </c>
      <c r="DN27" s="2480">
        <v>31.017520678579249</v>
      </c>
      <c r="DO27" s="2480">
        <v>32.716449988451366</v>
      </c>
      <c r="DP27" s="2480">
        <v>32.97830074259879</v>
      </c>
      <c r="DQ27" s="2480">
        <v>32.306321025177965</v>
      </c>
      <c r="DR27" s="2480">
        <v>32.379576310038559</v>
      </c>
      <c r="DS27" s="2480">
        <v>32.976346461467429</v>
      </c>
      <c r="DT27" s="2480">
        <v>32.787822204921696</v>
      </c>
      <c r="DU27" s="2480">
        <v>32.641434351236455</v>
      </c>
      <c r="DV27" s="2480">
        <v>32.049381330959399</v>
      </c>
      <c r="DW27" s="2480">
        <v>32.56816313380024</v>
      </c>
      <c r="DX27" s="2549">
        <v>32.750384317993891</v>
      </c>
      <c r="DY27" s="2549">
        <v>31.312009630054817</v>
      </c>
      <c r="DZ27" s="2549">
        <v>29.674019484442255</v>
      </c>
      <c r="EA27" s="2549">
        <v>28.972899921082785</v>
      </c>
      <c r="EB27" s="2549">
        <v>28.340327447582993</v>
      </c>
      <c r="EC27" s="2549">
        <v>29.093401423140858</v>
      </c>
      <c r="ED27" s="2549">
        <v>29.405447123024093</v>
      </c>
      <c r="EE27" s="2549">
        <v>28.924969813243415</v>
      </c>
      <c r="EF27" s="2549">
        <v>27.66930745943236</v>
      </c>
      <c r="EG27" s="2549">
        <v>27.309297484783777</v>
      </c>
      <c r="EH27" s="2549">
        <v>27.598533308154916</v>
      </c>
      <c r="EI27" s="2549">
        <v>27.774729092959443</v>
      </c>
      <c r="EJ27" s="2549">
        <v>28.54556493539835</v>
      </c>
      <c r="EK27" s="2549">
        <v>28.579737740632449</v>
      </c>
      <c r="EL27" s="2549">
        <v>28.885532443254988</v>
      </c>
      <c r="EM27" s="2550">
        <v>28.988925133151792</v>
      </c>
    </row>
    <row r="28" spans="1:143" s="2445" customFormat="1" ht="21" customHeight="1">
      <c r="A28" s="2544" t="s">
        <v>3636</v>
      </c>
      <c r="B28" s="2545">
        <v>3.944</v>
      </c>
      <c r="C28" s="2545">
        <v>3.95</v>
      </c>
      <c r="D28" s="2551">
        <v>3.9350000000000001</v>
      </c>
      <c r="E28" s="2551">
        <v>3.92</v>
      </c>
      <c r="F28" s="2551">
        <v>3.89</v>
      </c>
      <c r="G28" s="2551">
        <v>3.8719047619047622</v>
      </c>
      <c r="H28" s="2551">
        <v>3.87</v>
      </c>
      <c r="I28" s="2551">
        <v>3.87</v>
      </c>
      <c r="J28" s="2551">
        <v>3.8490000000000002</v>
      </c>
      <c r="K28" s="2552">
        <v>3.8325</v>
      </c>
      <c r="L28" s="2552">
        <v>3.7559999999999998</v>
      </c>
      <c r="M28" s="2552">
        <v>3.6349999999999998</v>
      </c>
      <c r="N28" s="2552">
        <v>3.6</v>
      </c>
      <c r="O28" s="2552">
        <v>3.58</v>
      </c>
      <c r="P28" s="2552">
        <v>3.5979999999999999</v>
      </c>
      <c r="Q28" s="2552">
        <v>3.698</v>
      </c>
      <c r="R28" s="2552">
        <v>3.85</v>
      </c>
      <c r="S28" s="2552">
        <v>3.81</v>
      </c>
      <c r="T28" s="2552">
        <v>3.8029999999999999</v>
      </c>
      <c r="U28" s="2552">
        <v>3.7639999999999998</v>
      </c>
      <c r="V28" s="2552">
        <v>3.7170000000000001</v>
      </c>
      <c r="W28" s="2552">
        <v>3.552</v>
      </c>
      <c r="X28" s="2553">
        <v>3.444</v>
      </c>
      <c r="Y28" s="2489">
        <v>3.3879999999999999</v>
      </c>
      <c r="Z28" s="2494">
        <v>3.4289999999999998</v>
      </c>
      <c r="AA28" s="2489">
        <v>3.55</v>
      </c>
      <c r="AB28" s="2494">
        <v>3.653</v>
      </c>
      <c r="AC28" s="2489">
        <v>3.681</v>
      </c>
      <c r="AD28" s="2494">
        <v>3.69</v>
      </c>
      <c r="AE28" s="2489">
        <v>3.7050000000000001</v>
      </c>
      <c r="AF28" s="2494">
        <v>3.7280000000000002</v>
      </c>
      <c r="AG28" s="2489">
        <v>3.7370000000000001</v>
      </c>
      <c r="AH28" s="2494">
        <v>3.7330000000000001</v>
      </c>
      <c r="AI28" s="2489">
        <v>3.7090000000000001</v>
      </c>
      <c r="AJ28" s="2494">
        <v>3.7149999999999999</v>
      </c>
      <c r="AK28" s="2493">
        <v>3.7759999999999998</v>
      </c>
      <c r="AL28" s="2493">
        <v>3.7970000000000002</v>
      </c>
      <c r="AM28" s="2489">
        <v>3.8069999999999999</v>
      </c>
      <c r="AN28" s="2493">
        <v>3.8355000000000001</v>
      </c>
      <c r="AO28" s="2489">
        <v>3.8605</v>
      </c>
      <c r="AP28" s="2494">
        <v>3.8904000000000001</v>
      </c>
      <c r="AQ28" s="2489">
        <v>3.9195000000000002</v>
      </c>
      <c r="AR28" s="2494">
        <v>3.9857</v>
      </c>
      <c r="AS28" s="2493">
        <v>4.0057999999999998</v>
      </c>
      <c r="AT28" s="2493">
        <v>4.0217999999999998</v>
      </c>
      <c r="AU28" s="2493">
        <v>4.0262000000000002</v>
      </c>
      <c r="AV28" s="2489">
        <v>4.0309999999999997</v>
      </c>
      <c r="AW28" s="2489">
        <v>4.0414000000000003</v>
      </c>
      <c r="AX28" s="2494">
        <v>4.0540000000000003</v>
      </c>
      <c r="AY28" s="2493">
        <v>4.0590999999999999</v>
      </c>
      <c r="AZ28" s="2489">
        <v>4.0518000000000001</v>
      </c>
      <c r="BA28" s="2494">
        <v>4.0838000000000001</v>
      </c>
      <c r="BB28" s="2493">
        <v>4.1894999999999998</v>
      </c>
      <c r="BC28" s="2493">
        <v>4.2595000000000001</v>
      </c>
      <c r="BD28" s="2489">
        <v>4.2824</v>
      </c>
      <c r="BE28" s="2494">
        <v>4.3230000000000004</v>
      </c>
      <c r="BF28" s="2493">
        <v>4.3535000000000004</v>
      </c>
      <c r="BG28" s="2485">
        <v>4.3643000000000001</v>
      </c>
      <c r="BH28" s="2487">
        <v>4.3367000000000004</v>
      </c>
      <c r="BI28" s="2486">
        <v>4.29</v>
      </c>
      <c r="BJ28" s="2486">
        <v>4.2300000000000004</v>
      </c>
      <c r="BK28" s="2486">
        <v>4.1150000000000002</v>
      </c>
      <c r="BL28" s="2486">
        <v>4.1239999999999997</v>
      </c>
      <c r="BM28" s="2486">
        <v>4.1063999999999998</v>
      </c>
      <c r="BN28" s="2485">
        <v>4.0639000000000003</v>
      </c>
      <c r="BO28" s="2485">
        <v>4.0692000000000004</v>
      </c>
      <c r="BP28" s="2485">
        <v>4.0201000000000002</v>
      </c>
      <c r="BQ28" s="2485">
        <v>3.9750000000000001</v>
      </c>
      <c r="BR28" s="2485">
        <v>3.8677999999999999</v>
      </c>
      <c r="BS28" s="2485">
        <v>3.7618999999999998</v>
      </c>
      <c r="BT28" s="2485">
        <v>3.7162999999999999</v>
      </c>
      <c r="BU28" s="2485">
        <v>3.5333999999999999</v>
      </c>
      <c r="BV28" s="2485">
        <v>3.4279999999999999</v>
      </c>
      <c r="BW28" s="2486">
        <v>3.5682</v>
      </c>
      <c r="BX28" s="2486">
        <v>3.5886999999999998</v>
      </c>
      <c r="BY28" s="2486">
        <v>3.5314999999999999</v>
      </c>
      <c r="BZ28" s="2485">
        <v>3.6297999999999999</v>
      </c>
      <c r="CA28" s="2485">
        <v>3.8166000000000002</v>
      </c>
      <c r="CB28" s="2485">
        <v>4.0038999999999998</v>
      </c>
      <c r="CC28" s="2485">
        <v>4.2247000000000003</v>
      </c>
      <c r="CD28" s="2485">
        <v>4.2255000000000003</v>
      </c>
      <c r="CE28" s="2485">
        <v>4.2687999999999997</v>
      </c>
      <c r="CF28" s="2485">
        <v>4.3912000000000004</v>
      </c>
      <c r="CG28" s="2485">
        <v>4.4798</v>
      </c>
      <c r="CH28" s="2485">
        <v>4.4484000000000004</v>
      </c>
      <c r="CI28" s="2485">
        <v>4.3799949999999992</v>
      </c>
      <c r="CJ28" s="2485">
        <v>4.302868181818182</v>
      </c>
      <c r="CK28" s="2485">
        <v>4.2725304347826087</v>
      </c>
      <c r="CL28" s="2489">
        <v>4.2408299999999999</v>
      </c>
      <c r="CM28" s="2489">
        <v>4.154823809523811</v>
      </c>
      <c r="CN28" s="2489">
        <v>4.0675681818181815</v>
      </c>
      <c r="CO28" s="2489">
        <v>4.01098</v>
      </c>
      <c r="CP28" s="2489">
        <v>4.2949999999999999</v>
      </c>
      <c r="CQ28" s="2489">
        <v>4.1397233009506147</v>
      </c>
      <c r="CR28" s="2489">
        <v>4.0513598840255449</v>
      </c>
      <c r="CS28" s="2489">
        <v>4.0570222195653614</v>
      </c>
      <c r="CT28" s="2489">
        <v>3.9561081576010793</v>
      </c>
      <c r="CU28" s="2489">
        <v>3.9941304059057607</v>
      </c>
      <c r="CV28" s="2489">
        <v>4.0453675058209004</v>
      </c>
      <c r="CW28" s="2489">
        <v>4.0020943947118344</v>
      </c>
      <c r="CX28" s="2489">
        <v>3.9158040984083908</v>
      </c>
      <c r="CY28" s="2489">
        <v>3.8337018952404534</v>
      </c>
      <c r="CZ28" s="2489">
        <v>3.7226266249915567</v>
      </c>
      <c r="DA28" s="2489">
        <v>3.6846279947251364</v>
      </c>
      <c r="DB28" s="2489">
        <v>3.7038986978030337</v>
      </c>
      <c r="DC28" s="2489">
        <v>3.7242329538244947</v>
      </c>
      <c r="DD28" s="2489">
        <v>3.7013727373927763</v>
      </c>
      <c r="DE28" s="2489">
        <v>3.7653233678275151</v>
      </c>
      <c r="DF28" s="2489">
        <v>3.8225422460528868</v>
      </c>
      <c r="DG28" s="2489">
        <v>3.8303576279951685</v>
      </c>
      <c r="DH28" s="2489">
        <v>3.8659267781003384</v>
      </c>
      <c r="DI28" s="2489">
        <v>3.8776913305966039</v>
      </c>
      <c r="DJ28" s="2489">
        <v>3.8457417095633</v>
      </c>
      <c r="DK28" s="2489">
        <v>3.8394627452982077</v>
      </c>
      <c r="DL28" s="2489">
        <v>3.844529935446976</v>
      </c>
      <c r="DM28" s="2489">
        <v>3.8861132595433365</v>
      </c>
      <c r="DN28" s="2489">
        <v>3.9970594903172452</v>
      </c>
      <c r="DO28" s="2489">
        <v>4.0933269093644506</v>
      </c>
      <c r="DP28" s="2489">
        <v>4.0593048413268411</v>
      </c>
      <c r="DQ28" s="2489">
        <v>4.0065480539397695</v>
      </c>
      <c r="DR28" s="2489">
        <v>4.0518552961772629</v>
      </c>
      <c r="DS28" s="2489">
        <v>4.0853108383199217</v>
      </c>
      <c r="DT28" s="2489">
        <v>4.0428057794796608</v>
      </c>
      <c r="DU28" s="2489">
        <v>4.0093602332428988</v>
      </c>
      <c r="DV28" s="2489">
        <v>4.0029797157687179</v>
      </c>
      <c r="DW28" s="2489">
        <v>4.0531676688266911</v>
      </c>
      <c r="DX28" s="2554">
        <v>4.0658595276324272</v>
      </c>
      <c r="DY28" s="2554">
        <v>4.0734062964751097</v>
      </c>
      <c r="DZ28" s="2554">
        <v>4.0545434617280769</v>
      </c>
      <c r="EA28" s="2554">
        <v>4.0692461571548089</v>
      </c>
      <c r="EB28" s="2554">
        <v>4.0474646880086169</v>
      </c>
      <c r="EC28" s="2554">
        <v>4.0483060896194214</v>
      </c>
      <c r="ED28" s="2554">
        <v>3.994001043322748</v>
      </c>
      <c r="EE28" s="2554">
        <v>4.0024543721341335</v>
      </c>
      <c r="EF28" s="2554">
        <v>3.9741298950721502</v>
      </c>
      <c r="EG28" s="2554">
        <v>3.9709928615014882</v>
      </c>
      <c r="EH28" s="2554">
        <v>3.9690177476675097</v>
      </c>
      <c r="EI28" s="2554">
        <v>3.9491306510276805</v>
      </c>
      <c r="EJ28" s="2554">
        <v>3.9565069696744315</v>
      </c>
      <c r="EK28" s="2554">
        <v>3.9627021492662351</v>
      </c>
      <c r="EL28" s="2554">
        <v>3.9791333478303379</v>
      </c>
      <c r="EM28" s="2555">
        <v>3.9830000037749587</v>
      </c>
    </row>
    <row r="29" spans="1:143" s="2445" customFormat="1" ht="21" customHeight="1">
      <c r="A29" s="2544" t="s">
        <v>3637</v>
      </c>
      <c r="B29" s="2545">
        <v>64</v>
      </c>
      <c r="C29" s="2545">
        <v>64</v>
      </c>
      <c r="D29" s="2551">
        <v>63.18181818181818</v>
      </c>
      <c r="E29" s="2551">
        <v>63</v>
      </c>
      <c r="F29" s="2551">
        <v>63</v>
      </c>
      <c r="G29" s="2551">
        <v>63</v>
      </c>
      <c r="H29" s="2551">
        <v>63</v>
      </c>
      <c r="I29" s="2551">
        <v>63</v>
      </c>
      <c r="J29" s="2551">
        <v>63</v>
      </c>
      <c r="K29" s="2552">
        <v>63</v>
      </c>
      <c r="L29" s="2552">
        <v>61.905000000000001</v>
      </c>
      <c r="M29" s="2552">
        <v>60.052999999999997</v>
      </c>
      <c r="N29" s="2552">
        <v>59.6</v>
      </c>
      <c r="O29" s="2552">
        <v>59.713999999999999</v>
      </c>
      <c r="P29" s="2552">
        <v>60.286000000000001</v>
      </c>
      <c r="Q29" s="2552">
        <v>62.332999999999998</v>
      </c>
      <c r="R29" s="2552">
        <v>65.652000000000001</v>
      </c>
      <c r="S29" s="2552">
        <v>65</v>
      </c>
      <c r="T29" s="2552">
        <v>64.951999999999998</v>
      </c>
      <c r="U29" s="2552">
        <v>64.912999999999997</v>
      </c>
      <c r="V29" s="2552">
        <v>64.052999999999997</v>
      </c>
      <c r="W29" s="2552">
        <v>60.908999999999999</v>
      </c>
      <c r="X29" s="2553">
        <v>59.158000000000001</v>
      </c>
      <c r="Y29" s="2489">
        <v>58.555999999999997</v>
      </c>
      <c r="Z29" s="2494">
        <v>59.908999999999999</v>
      </c>
      <c r="AA29" s="2489">
        <v>63.591000000000001</v>
      </c>
      <c r="AB29" s="2494">
        <v>63.619</v>
      </c>
      <c r="AC29" s="2489">
        <v>63.591000000000001</v>
      </c>
      <c r="AD29" s="2494">
        <v>63</v>
      </c>
      <c r="AE29" s="2489">
        <v>63</v>
      </c>
      <c r="AF29" s="2494">
        <v>63.591000000000001</v>
      </c>
      <c r="AG29" s="2489">
        <v>64</v>
      </c>
      <c r="AH29" s="2494">
        <v>64.95</v>
      </c>
      <c r="AI29" s="2489">
        <v>66</v>
      </c>
      <c r="AJ29" s="2494">
        <v>66.736999999999995</v>
      </c>
      <c r="AK29" s="2493">
        <v>68</v>
      </c>
      <c r="AL29" s="2493">
        <v>68.048000000000002</v>
      </c>
      <c r="AM29" s="2489">
        <v>68.817999999999998</v>
      </c>
      <c r="AN29" s="2493">
        <v>68.954499999999996</v>
      </c>
      <c r="AO29" s="2489">
        <v>69.238100000000003</v>
      </c>
      <c r="AP29" s="2494">
        <v>69.912999999999997</v>
      </c>
      <c r="AQ29" s="2489">
        <v>69.952399999999997</v>
      </c>
      <c r="AR29" s="2494">
        <v>69.285700000000006</v>
      </c>
      <c r="AS29" s="2493">
        <v>68.052599999999998</v>
      </c>
      <c r="AT29" s="2493">
        <v>68.590900000000005</v>
      </c>
      <c r="AU29" s="2493">
        <v>70.714299999999994</v>
      </c>
      <c r="AV29" s="2489">
        <v>70.947000000000003</v>
      </c>
      <c r="AW29" s="2489">
        <v>70.863600000000005</v>
      </c>
      <c r="AX29" s="2494">
        <v>70.3</v>
      </c>
      <c r="AY29" s="2493">
        <v>69.409099999999995</v>
      </c>
      <c r="AZ29" s="2489">
        <v>68.590900000000005</v>
      </c>
      <c r="BA29" s="2494">
        <v>68.523799999999994</v>
      </c>
      <c r="BB29" s="2493">
        <v>70.095200000000006</v>
      </c>
      <c r="BC29" s="2493">
        <v>71.952399999999997</v>
      </c>
      <c r="BD29" s="2489">
        <v>73.523799999999994</v>
      </c>
      <c r="BE29" s="2494">
        <v>75.429000000000002</v>
      </c>
      <c r="BF29" s="2493">
        <v>76.25</v>
      </c>
      <c r="BG29" s="2485">
        <v>77.333299999999994</v>
      </c>
      <c r="BH29" s="2487">
        <v>77</v>
      </c>
      <c r="BI29" s="2486">
        <v>76.400000000000006</v>
      </c>
      <c r="BJ29" s="2486">
        <v>78.285700000000006</v>
      </c>
      <c r="BK29" s="2486">
        <v>78.954499999999996</v>
      </c>
      <c r="BL29" s="2486">
        <v>79.286000000000001</v>
      </c>
      <c r="BM29" s="2486">
        <v>79.818200000000004</v>
      </c>
      <c r="BN29" s="2485">
        <v>77.960899999999995</v>
      </c>
      <c r="BO29" s="2485">
        <v>78.775000000000006</v>
      </c>
      <c r="BP29" s="2485">
        <v>79.109099999999998</v>
      </c>
      <c r="BQ29" s="2485">
        <v>78.573999999999998</v>
      </c>
      <c r="BR29" s="2485">
        <v>76.646000000000001</v>
      </c>
      <c r="BS29" s="2485">
        <v>74.816500000000005</v>
      </c>
      <c r="BT29" s="2485">
        <v>73.027900000000002</v>
      </c>
      <c r="BU29" s="2485">
        <v>68.251099999999994</v>
      </c>
      <c r="BV29" s="2485">
        <v>66.897599999999997</v>
      </c>
      <c r="BW29" s="2486">
        <v>66.310500000000005</v>
      </c>
      <c r="BX29" s="2486">
        <v>65.688999999999993</v>
      </c>
      <c r="BY29" s="2486">
        <v>64.503900000000002</v>
      </c>
      <c r="BZ29" s="2485">
        <v>66.189499999999995</v>
      </c>
      <c r="CA29" s="2485">
        <v>65.544300000000007</v>
      </c>
      <c r="CB29" s="2485">
        <v>64.2667</v>
      </c>
      <c r="CC29" s="2485">
        <v>67.496499999999997</v>
      </c>
      <c r="CD29" s="2485">
        <v>67.920500000000004</v>
      </c>
      <c r="CE29" s="2485">
        <v>68.508399999999995</v>
      </c>
      <c r="CF29" s="2485">
        <v>69.766300000000001</v>
      </c>
      <c r="CG29" s="2485">
        <v>68.474500000000006</v>
      </c>
      <c r="CH29" s="2485">
        <v>69.297700000000006</v>
      </c>
      <c r="CI29" s="2485">
        <v>70.414000000000001</v>
      </c>
      <c r="CJ29" s="2485">
        <v>70.378181818181801</v>
      </c>
      <c r="CK29" s="2485">
        <v>68.765652173913054</v>
      </c>
      <c r="CL29" s="2489">
        <v>68.421499999999995</v>
      </c>
      <c r="CM29" s="2489">
        <v>66.7895238095238</v>
      </c>
      <c r="CN29" s="2489">
        <v>67.749545454545455</v>
      </c>
      <c r="CO29" s="2489">
        <v>66.978500000000011</v>
      </c>
      <c r="CP29" s="2489">
        <v>73.066999999999993</v>
      </c>
      <c r="CQ29" s="2489">
        <v>68.86211647026289</v>
      </c>
      <c r="CR29" s="2489">
        <v>65.897031043300487</v>
      </c>
      <c r="CS29" s="2489">
        <v>68.7143630599695</v>
      </c>
      <c r="CT29" s="2489">
        <v>69.315748782257828</v>
      </c>
      <c r="CU29" s="2489">
        <v>69.015106149543314</v>
      </c>
      <c r="CV29" s="2489">
        <v>69.826788976955271</v>
      </c>
      <c r="CW29" s="2489">
        <v>68.781963729866419</v>
      </c>
      <c r="CX29" s="2489">
        <v>67.354186123825627</v>
      </c>
      <c r="CY29" s="2489">
        <v>66.600378798719831</v>
      </c>
      <c r="CZ29" s="2489">
        <v>65.435534396816664</v>
      </c>
      <c r="DA29" s="2489">
        <v>64.054022554769205</v>
      </c>
      <c r="DB29" s="2489">
        <v>64.523625062510192</v>
      </c>
      <c r="DC29" s="2489">
        <v>65.529838024875261</v>
      </c>
      <c r="DD29" s="2489">
        <v>63.960049655621326</v>
      </c>
      <c r="DE29" s="2489">
        <v>61.871562662503827</v>
      </c>
      <c r="DF29" s="2489">
        <v>60.68117150228219</v>
      </c>
      <c r="DG29" s="2489">
        <v>59.065912914166987</v>
      </c>
      <c r="DH29" s="2489">
        <v>57.524063303000275</v>
      </c>
      <c r="DI29" s="2489">
        <v>59.151084549498989</v>
      </c>
      <c r="DJ29" s="2489">
        <v>60.909380118662497</v>
      </c>
      <c r="DK29" s="2489">
        <v>59.521136390783639</v>
      </c>
      <c r="DL29" s="2489">
        <v>58.066947460780469</v>
      </c>
      <c r="DM29" s="2489">
        <v>55.803360862746779</v>
      </c>
      <c r="DN29" s="2489">
        <v>55.842307668425953</v>
      </c>
      <c r="DO29" s="2489">
        <v>57.697443963254521</v>
      </c>
      <c r="DP29" s="2489">
        <v>56.999271102326617</v>
      </c>
      <c r="DQ29" s="2489">
        <v>57.232107243719589</v>
      </c>
      <c r="DR29" s="2489">
        <v>59.58665711675684</v>
      </c>
      <c r="DS29" s="2489">
        <v>58.004173600543311</v>
      </c>
      <c r="DT29" s="2489">
        <v>57.638894749970497</v>
      </c>
      <c r="DU29" s="2489">
        <v>57.609843541962285</v>
      </c>
      <c r="DV29" s="2489">
        <v>58.055010188963131</v>
      </c>
      <c r="DW29" s="2489">
        <v>58.20180128203716</v>
      </c>
      <c r="DX29" s="2554">
        <v>58.300579408562825</v>
      </c>
      <c r="DY29" s="2554">
        <v>57.748225423895946</v>
      </c>
      <c r="DZ29" s="2554">
        <v>54.18540379427003</v>
      </c>
      <c r="EA29" s="2554">
        <v>53.167848544634005</v>
      </c>
      <c r="EB29" s="2554">
        <v>50.140160370057316</v>
      </c>
      <c r="EC29" s="2554">
        <v>49.463662008438085</v>
      </c>
      <c r="ED29" s="2554">
        <v>50.441485905898972</v>
      </c>
      <c r="EE29" s="2554">
        <v>49.82586874083551</v>
      </c>
      <c r="EF29" s="2554">
        <v>50.039273002512722</v>
      </c>
      <c r="EG29" s="2554">
        <v>49.909912047326046</v>
      </c>
      <c r="EH29" s="2554">
        <v>49.776925607413197</v>
      </c>
      <c r="EI29" s="2554">
        <v>50.468854333059326</v>
      </c>
      <c r="EJ29" s="2554">
        <v>51.115113666126312</v>
      </c>
      <c r="EK29" s="2554">
        <v>52.053061238770773</v>
      </c>
      <c r="EL29" s="2554">
        <v>51.921849129294024</v>
      </c>
      <c r="EM29" s="2555">
        <v>51.687319407542439</v>
      </c>
    </row>
    <row r="30" spans="1:143" s="2445" customFormat="1" ht="21" customHeight="1">
      <c r="A30" s="2544" t="s">
        <v>3638</v>
      </c>
      <c r="B30" s="2545">
        <v>23.064</v>
      </c>
      <c r="C30" s="2545">
        <v>22.917999999999999</v>
      </c>
      <c r="D30" s="2545">
        <v>24.135454545454547</v>
      </c>
      <c r="E30" s="2545">
        <v>24.5855</v>
      </c>
      <c r="F30" s="2545">
        <v>25.547826086956523</v>
      </c>
      <c r="G30" s="2556">
        <v>25.21</v>
      </c>
      <c r="H30" s="2552">
        <v>24.834</v>
      </c>
      <c r="I30" s="2552">
        <v>24.187999999999999</v>
      </c>
      <c r="J30" s="2552">
        <v>24.542999999999999</v>
      </c>
      <c r="K30" s="2552">
        <v>24.344000000000001</v>
      </c>
      <c r="L30" s="2552">
        <v>24.503</v>
      </c>
      <c r="M30" s="2552">
        <v>23.597999999999999</v>
      </c>
      <c r="N30" s="2552">
        <v>23.508500000000002</v>
      </c>
      <c r="O30" s="2552">
        <v>23.114000000000001</v>
      </c>
      <c r="P30" s="2552">
        <v>23.763999999999999</v>
      </c>
      <c r="Q30" s="2552">
        <v>24.213999999999999</v>
      </c>
      <c r="R30" s="2552">
        <v>25.120999999999999</v>
      </c>
      <c r="S30" s="2552">
        <v>24.832999999999998</v>
      </c>
      <c r="T30" s="2552">
        <v>25.553999999999998</v>
      </c>
      <c r="U30" s="2552">
        <v>26.431000000000001</v>
      </c>
      <c r="V30" s="2552">
        <v>26.248000000000001</v>
      </c>
      <c r="W30" s="2552">
        <v>25.391999999999999</v>
      </c>
      <c r="X30" s="2553">
        <v>24.934999999999999</v>
      </c>
      <c r="Y30" s="2489">
        <v>24.466999999999999</v>
      </c>
      <c r="Z30" s="2494">
        <v>24.416</v>
      </c>
      <c r="AA30" s="2489">
        <v>25.539000000000001</v>
      </c>
      <c r="AB30" s="2494">
        <v>25.210999999999999</v>
      </c>
      <c r="AC30" s="2489">
        <v>26</v>
      </c>
      <c r="AD30" s="2494">
        <v>26.111999999999998</v>
      </c>
      <c r="AE30" s="2489">
        <v>25.981999999999999</v>
      </c>
      <c r="AF30" s="2494">
        <v>26.2</v>
      </c>
      <c r="AG30" s="2489">
        <v>26.487100000000002</v>
      </c>
      <c r="AH30" s="2494">
        <v>27.506</v>
      </c>
      <c r="AI30" s="2489">
        <v>27.577000000000002</v>
      </c>
      <c r="AJ30" s="2494">
        <v>27.818000000000001</v>
      </c>
      <c r="AK30" s="2493">
        <v>27.756</v>
      </c>
      <c r="AL30" s="2493">
        <v>27.359000000000002</v>
      </c>
      <c r="AM30" s="2489">
        <v>27.611000000000001</v>
      </c>
      <c r="AN30" s="2493">
        <v>27.252700000000001</v>
      </c>
      <c r="AO30" s="2489">
        <v>26.609000000000002</v>
      </c>
      <c r="AP30" s="2494">
        <v>27.1004</v>
      </c>
      <c r="AQ30" s="2489">
        <v>27.188099999999999</v>
      </c>
      <c r="AR30" s="2494">
        <v>26.686699999999998</v>
      </c>
      <c r="AS30" s="2493">
        <v>25.946300000000001</v>
      </c>
      <c r="AT30" s="2493">
        <v>26.076799999999999</v>
      </c>
      <c r="AU30" s="2493">
        <v>26.785699999999999</v>
      </c>
      <c r="AV30" s="2489">
        <v>26.277999999999999</v>
      </c>
      <c r="AW30" s="2489">
        <v>26.502300000000002</v>
      </c>
      <c r="AX30" s="2494">
        <v>26.616</v>
      </c>
      <c r="AY30" s="2493">
        <v>27.895900000000001</v>
      </c>
      <c r="AZ30" s="2489">
        <v>27.2209</v>
      </c>
      <c r="BA30" s="2494">
        <v>27.232900000000001</v>
      </c>
      <c r="BB30" s="2493">
        <v>27.9633</v>
      </c>
      <c r="BC30" s="2493">
        <v>28.203800000000001</v>
      </c>
      <c r="BD30" s="2489">
        <v>28.113800000000001</v>
      </c>
      <c r="BE30" s="2494">
        <v>28.952999999999999</v>
      </c>
      <c r="BF30" s="2493">
        <v>29.172499999999999</v>
      </c>
      <c r="BG30" s="2489">
        <v>28.543299999999999</v>
      </c>
      <c r="BH30" s="2494">
        <v>28.372199999999999</v>
      </c>
      <c r="BI30" s="2493">
        <v>28.734000000000002</v>
      </c>
      <c r="BJ30" s="2493">
        <v>27.9495</v>
      </c>
      <c r="BK30" s="2493">
        <v>26.569500000000001</v>
      </c>
      <c r="BL30" s="2493">
        <v>26.21</v>
      </c>
      <c r="BM30" s="2493">
        <v>26.345500000000001</v>
      </c>
      <c r="BN30" s="2489">
        <v>27.143699999999999</v>
      </c>
      <c r="BO30" s="2489">
        <v>27.432700000000001</v>
      </c>
      <c r="BP30" s="2489">
        <v>26.814900000000002</v>
      </c>
      <c r="BQ30" s="2489">
        <v>27.858000000000001</v>
      </c>
      <c r="BR30" s="2489">
        <v>26.7685</v>
      </c>
      <c r="BS30" s="2489">
        <v>27.181799999999999</v>
      </c>
      <c r="BT30" s="2489">
        <v>26.9299</v>
      </c>
      <c r="BU30" s="2489">
        <v>27.285499999999999</v>
      </c>
      <c r="BV30" s="2489">
        <v>25.956299999999999</v>
      </c>
      <c r="BW30" s="2493">
        <v>26.654499999999999</v>
      </c>
      <c r="BX30" s="2493">
        <v>26.114999999999998</v>
      </c>
      <c r="BY30" s="2493">
        <v>25.691700000000001</v>
      </c>
      <c r="BZ30" s="2489">
        <v>25.857199999999999</v>
      </c>
      <c r="CA30" s="2489">
        <v>27.831</v>
      </c>
      <c r="CB30" s="2489">
        <v>30.986899999999999</v>
      </c>
      <c r="CC30" s="2489">
        <v>33.819400000000002</v>
      </c>
      <c r="CD30" s="2489">
        <v>35.886499999999998</v>
      </c>
      <c r="CE30" s="2489">
        <v>36.633099999999999</v>
      </c>
      <c r="CF30" s="2489">
        <v>36.893300000000004</v>
      </c>
      <c r="CG30" s="2489">
        <v>35.534999999999997</v>
      </c>
      <c r="CH30" s="2489">
        <v>34.904299999999999</v>
      </c>
      <c r="CI30" s="2489">
        <v>35.160759999999996</v>
      </c>
      <c r="CJ30" s="2489">
        <v>34.542513636363637</v>
      </c>
      <c r="CK30" s="2489">
        <v>35.017826086956518</v>
      </c>
      <c r="CL30" s="2489">
        <v>34.668535000000006</v>
      </c>
      <c r="CM30" s="2489">
        <v>35.190357142857138</v>
      </c>
      <c r="CN30" s="2489">
        <v>34.917936363636365</v>
      </c>
      <c r="CO30" s="2489">
        <v>34.857955000000004</v>
      </c>
      <c r="CP30" s="2489">
        <v>36.341000000000001</v>
      </c>
      <c r="CQ30" s="2489">
        <v>36.692936567728495</v>
      </c>
      <c r="CR30" s="2489">
        <v>36.804159711674451</v>
      </c>
      <c r="CS30" s="2489">
        <v>37.304145467473447</v>
      </c>
      <c r="CT30" s="2489">
        <v>37.487636295544789</v>
      </c>
      <c r="CU30" s="2489">
        <v>37.514138550857908</v>
      </c>
      <c r="CV30" s="2489">
        <v>37.766634538297168</v>
      </c>
      <c r="CW30" s="2489">
        <v>37.671630673585121</v>
      </c>
      <c r="CX30" s="2489">
        <v>36.885271311999453</v>
      </c>
      <c r="CY30" s="2489">
        <v>36.555570874110728</v>
      </c>
      <c r="CZ30" s="2489">
        <v>34.779981581591322</v>
      </c>
      <c r="DA30" s="2489">
        <v>35.315543500984226</v>
      </c>
      <c r="DB30" s="2489">
        <v>35.837918929919418</v>
      </c>
      <c r="DC30" s="2489">
        <v>36.543245571885898</v>
      </c>
      <c r="DD30" s="2489">
        <v>37.429552990639543</v>
      </c>
      <c r="DE30" s="2489">
        <v>38.243639857628729</v>
      </c>
      <c r="DF30" s="2489">
        <v>38.736484118685929</v>
      </c>
      <c r="DG30" s="2489">
        <v>38.48350432443651</v>
      </c>
      <c r="DH30" s="2489">
        <v>38.625087226013278</v>
      </c>
      <c r="DI30" s="2489">
        <v>39.188945240356873</v>
      </c>
      <c r="DJ30" s="2489">
        <v>37.998642237088745</v>
      </c>
      <c r="DK30" s="2489">
        <v>36.183977166618781</v>
      </c>
      <c r="DL30" s="2489">
        <v>36.700277599609223</v>
      </c>
      <c r="DM30" s="2489">
        <v>37.906968637018529</v>
      </c>
      <c r="DN30" s="2489">
        <v>39.202847166653498</v>
      </c>
      <c r="DO30" s="2489">
        <v>40.254227585876507</v>
      </c>
      <c r="DP30" s="2489">
        <v>40.057874922647798</v>
      </c>
      <c r="DQ30" s="2489">
        <v>39.783699705703675</v>
      </c>
      <c r="DR30" s="2489">
        <v>39.872598431789662</v>
      </c>
      <c r="DS30" s="2489">
        <v>39.145606978037954</v>
      </c>
      <c r="DT30" s="2489">
        <v>37.462340886096506</v>
      </c>
      <c r="DU30" s="2489">
        <v>34.945188956792357</v>
      </c>
      <c r="DV30" s="2489">
        <v>33.399778495029103</v>
      </c>
      <c r="DW30" s="2489">
        <v>33.301104162296177</v>
      </c>
      <c r="DX30" s="2554">
        <v>32.350824463624043</v>
      </c>
      <c r="DY30" s="2554">
        <v>31.371727012550846</v>
      </c>
      <c r="DZ30" s="2554">
        <v>32.362808969993537</v>
      </c>
      <c r="EA30" s="2554">
        <v>31.750717539650321</v>
      </c>
      <c r="EB30" s="2554">
        <v>32.101845919306932</v>
      </c>
      <c r="EC30" s="2554">
        <v>31.690356082266469</v>
      </c>
      <c r="ED30" s="2554">
        <v>31.680007892852387</v>
      </c>
      <c r="EE30" s="2554">
        <v>31.080564652309043</v>
      </c>
      <c r="EF30" s="2554">
        <v>29.840342868529259</v>
      </c>
      <c r="EG30" s="2554">
        <v>29.696765803142085</v>
      </c>
      <c r="EH30" s="2554">
        <v>30.211728171016048</v>
      </c>
      <c r="EI30" s="2554">
        <v>30.02758163995486</v>
      </c>
      <c r="EJ30" s="2554">
        <v>29.965101993145879</v>
      </c>
      <c r="EK30" s="2554">
        <v>30.226598885773498</v>
      </c>
      <c r="EL30" s="2554">
        <v>30.29060766351046</v>
      </c>
      <c r="EM30" s="2555">
        <v>30.421112065951665</v>
      </c>
    </row>
    <row r="31" spans="1:143" s="2445" customFormat="1" ht="21" customHeight="1">
      <c r="A31" s="2544" t="s">
        <v>3639</v>
      </c>
      <c r="B31" s="2545">
        <v>39.436</v>
      </c>
      <c r="C31" s="2545">
        <v>39.646000000000001</v>
      </c>
      <c r="D31" s="2545">
        <v>39.457727272727276</v>
      </c>
      <c r="E31" s="2546">
        <v>39.142000000000003</v>
      </c>
      <c r="F31" s="2556">
        <v>38.796086956521734</v>
      </c>
      <c r="G31" s="2552">
        <v>38.712857142857146</v>
      </c>
      <c r="H31" s="2552">
        <v>38.537999999999997</v>
      </c>
      <c r="I31" s="2552">
        <v>38.296999999999997</v>
      </c>
      <c r="J31" s="2552">
        <v>37.993000000000002</v>
      </c>
      <c r="K31" s="2552">
        <v>37.825499999999998</v>
      </c>
      <c r="L31" s="2552">
        <v>38.017000000000003</v>
      </c>
      <c r="M31" s="2552">
        <v>37.140999999999998</v>
      </c>
      <c r="N31" s="2552">
        <v>36.915500000000002</v>
      </c>
      <c r="O31" s="2552">
        <v>37.182000000000002</v>
      </c>
      <c r="P31" s="2552">
        <v>39.506999999999998</v>
      </c>
      <c r="Q31" s="2552">
        <v>39.643999999999998</v>
      </c>
      <c r="R31" s="2552">
        <v>40.590000000000003</v>
      </c>
      <c r="S31" s="2552">
        <v>39.488999999999997</v>
      </c>
      <c r="T31" s="2552">
        <v>38.35</v>
      </c>
      <c r="U31" s="2552">
        <v>37.883000000000003</v>
      </c>
      <c r="V31" s="2552">
        <v>37.969000000000001</v>
      </c>
      <c r="W31" s="2552">
        <v>36.564</v>
      </c>
      <c r="X31" s="2553">
        <v>35.356999999999999</v>
      </c>
      <c r="Y31" s="2489">
        <v>34.877000000000002</v>
      </c>
      <c r="Z31" s="2494">
        <v>35.03</v>
      </c>
      <c r="AA31" s="2489">
        <v>35.975000000000001</v>
      </c>
      <c r="AB31" s="2494">
        <v>36.396999999999998</v>
      </c>
      <c r="AC31" s="2489">
        <v>36.655999999999999</v>
      </c>
      <c r="AD31" s="2494">
        <v>36.417999999999999</v>
      </c>
      <c r="AE31" s="2489">
        <v>36.195999999999998</v>
      </c>
      <c r="AF31" s="2494">
        <v>36.423000000000002</v>
      </c>
      <c r="AG31" s="2489">
        <v>36.216000000000001</v>
      </c>
      <c r="AH31" s="2494">
        <v>36.149000000000001</v>
      </c>
      <c r="AI31" s="2489">
        <v>36.567999999999998</v>
      </c>
      <c r="AJ31" s="2494">
        <v>37.551000000000002</v>
      </c>
      <c r="AK31" s="2493">
        <v>39.923999999999999</v>
      </c>
      <c r="AL31" s="2493">
        <v>39.326999999999998</v>
      </c>
      <c r="AM31" s="2489">
        <v>39.268999999999998</v>
      </c>
      <c r="AN31" s="2493">
        <v>39.335000000000001</v>
      </c>
      <c r="AO31" s="2489">
        <v>39.794800000000002</v>
      </c>
      <c r="AP31" s="2494">
        <v>40.283900000000003</v>
      </c>
      <c r="AQ31" s="2489">
        <v>41.495699999999999</v>
      </c>
      <c r="AR31" s="2494">
        <v>42.29</v>
      </c>
      <c r="AS31" s="2493">
        <v>41.866799999999998</v>
      </c>
      <c r="AT31" s="2493">
        <v>43.012700000000002</v>
      </c>
      <c r="AU31" s="2493">
        <v>43.567599999999999</v>
      </c>
      <c r="AV31" s="2489">
        <v>43.902999999999999</v>
      </c>
      <c r="AW31" s="2489">
        <v>43.833599999999997</v>
      </c>
      <c r="AX31" s="2494">
        <v>44.591000000000001</v>
      </c>
      <c r="AY31" s="2493">
        <v>44.249499999999998</v>
      </c>
      <c r="AZ31" s="2489">
        <v>43.354100000000003</v>
      </c>
      <c r="BA31" s="2494">
        <v>43.459499999999998</v>
      </c>
      <c r="BB31" s="2493">
        <v>45.168100000000003</v>
      </c>
      <c r="BC31" s="2493">
        <v>46.061</v>
      </c>
      <c r="BD31" s="2489">
        <v>46.639499999999998</v>
      </c>
      <c r="BE31" s="2494">
        <v>47.734000000000002</v>
      </c>
      <c r="BF31" s="2493">
        <v>48.984000000000002</v>
      </c>
      <c r="BG31" s="2489">
        <v>49.097099999999998</v>
      </c>
      <c r="BH31" s="2494">
        <v>49.232199999999999</v>
      </c>
      <c r="BI31" s="2493">
        <v>48.798499999999997</v>
      </c>
      <c r="BJ31" s="2493">
        <v>48.476199999999999</v>
      </c>
      <c r="BK31" s="2493">
        <v>48.274999999999999</v>
      </c>
      <c r="BL31" s="2493">
        <v>48.978999999999999</v>
      </c>
      <c r="BM31" s="2493">
        <v>48.316800000000001</v>
      </c>
      <c r="BN31" s="2489">
        <v>47.771099999999997</v>
      </c>
      <c r="BO31" s="2489">
        <v>47.591099999999997</v>
      </c>
      <c r="BP31" s="2489">
        <v>46.9343</v>
      </c>
      <c r="BQ31" s="2489">
        <v>47.74</v>
      </c>
      <c r="BR31" s="2489">
        <v>48.040500000000002</v>
      </c>
      <c r="BS31" s="2489">
        <v>43.557699999999997</v>
      </c>
      <c r="BT31" s="2489">
        <v>41.818800000000003</v>
      </c>
      <c r="BU31" s="2489">
        <v>43.066600000000001</v>
      </c>
      <c r="BV31" s="2489">
        <v>43.333599999999997</v>
      </c>
      <c r="BW31" s="2493">
        <v>45.686900000000001</v>
      </c>
      <c r="BX31" s="2493">
        <v>44.701799999999999</v>
      </c>
      <c r="BY31" s="2493">
        <v>41.885599999999997</v>
      </c>
      <c r="BZ31" s="2489">
        <v>42.515500000000003</v>
      </c>
      <c r="CA31" s="2489">
        <v>42.244399999999999</v>
      </c>
      <c r="CB31" s="2489">
        <v>41.433900000000001</v>
      </c>
      <c r="CC31" s="2489">
        <v>42.739100000000001</v>
      </c>
      <c r="CD31" s="2489">
        <v>42.6708</v>
      </c>
      <c r="CE31" s="2489">
        <v>42.601999999999997</v>
      </c>
      <c r="CF31" s="2489">
        <v>43.5608</v>
      </c>
      <c r="CG31" s="2489">
        <v>43.8474</v>
      </c>
      <c r="CH31" s="2489">
        <v>43.926299999999998</v>
      </c>
      <c r="CI31" s="2489">
        <v>44.148360000000004</v>
      </c>
      <c r="CJ31" s="2489">
        <v>43.427940909090907</v>
      </c>
      <c r="CK31" s="2489">
        <v>43.696795652173911</v>
      </c>
      <c r="CL31" s="2489">
        <v>43.597209999999997</v>
      </c>
      <c r="CM31" s="2489">
        <v>43.069500000000005</v>
      </c>
      <c r="CN31" s="2489">
        <v>42.462459090909086</v>
      </c>
      <c r="CO31" s="2489">
        <v>42.148665000000001</v>
      </c>
      <c r="CP31" s="2489">
        <v>43.081000000000003</v>
      </c>
      <c r="CQ31" s="2489">
        <v>39.937895645536898</v>
      </c>
      <c r="CR31" s="2489">
        <v>39.55914237400696</v>
      </c>
      <c r="CS31" s="2489">
        <v>39.417372924900988</v>
      </c>
      <c r="CT31" s="2489">
        <v>38.49104492208825</v>
      </c>
      <c r="CU31" s="2489">
        <v>38.97069638078392</v>
      </c>
      <c r="CV31" s="2489">
        <v>39.530661053928846</v>
      </c>
      <c r="CW31" s="2489">
        <v>38.868183072311083</v>
      </c>
      <c r="CX31" s="2489">
        <v>37.761709799743528</v>
      </c>
      <c r="CY31" s="2489">
        <v>35.791531683946189</v>
      </c>
      <c r="CZ31" s="2489">
        <v>34.818135279916362</v>
      </c>
      <c r="DA31" s="2489">
        <v>33.977819673215414</v>
      </c>
      <c r="DB31" s="2489">
        <v>32.883559788158692</v>
      </c>
      <c r="DC31" s="2489">
        <v>32.624999958574001</v>
      </c>
      <c r="DD31" s="2489">
        <v>31.386385145052337</v>
      </c>
      <c r="DE31" s="2489">
        <v>30.762696631073489</v>
      </c>
      <c r="DF31" s="2489">
        <v>29.640542669905425</v>
      </c>
      <c r="DG31" s="2489">
        <v>32.244454953418689</v>
      </c>
      <c r="DH31" s="2489">
        <v>34.977597749648723</v>
      </c>
      <c r="DI31" s="2489">
        <v>35.163721608102499</v>
      </c>
      <c r="DJ31" s="2489">
        <v>36.125749987164085</v>
      </c>
      <c r="DK31" s="2489">
        <v>36.220702657724836</v>
      </c>
      <c r="DL31" s="2489">
        <v>36.126301119529508</v>
      </c>
      <c r="DM31" s="2489">
        <v>36.049917131966311</v>
      </c>
      <c r="DN31" s="2489">
        <v>36.916167044965121</v>
      </c>
      <c r="DO31" s="2489">
        <v>38.064691042077662</v>
      </c>
      <c r="DP31" s="2489">
        <v>37.64769739794221</v>
      </c>
      <c r="DQ31" s="2489">
        <v>36.969313871329348</v>
      </c>
      <c r="DR31" s="2489">
        <v>37.225592061956483</v>
      </c>
      <c r="DS31" s="2489">
        <v>37.210445991888079</v>
      </c>
      <c r="DT31" s="2489">
        <v>36.666096770288704</v>
      </c>
      <c r="DU31" s="2489">
        <v>36.022249790839226</v>
      </c>
      <c r="DV31" s="2489">
        <v>35.806882000353134</v>
      </c>
      <c r="DW31" s="2489">
        <v>36.956361437067514</v>
      </c>
      <c r="DX31" s="2554">
        <v>37.708752624508335</v>
      </c>
      <c r="DY31" s="2554">
        <v>37.851470044382765</v>
      </c>
      <c r="DZ31" s="2554">
        <v>37.055406761635638</v>
      </c>
      <c r="EA31" s="2554">
        <v>36.636093107459786</v>
      </c>
      <c r="EB31" s="2554">
        <v>36.121856765613202</v>
      </c>
      <c r="EC31" s="2554">
        <v>36.139413997896391</v>
      </c>
      <c r="ED31" s="2554">
        <v>36.515088280192664</v>
      </c>
      <c r="EE31" s="2554">
        <v>36.267638309254338</v>
      </c>
      <c r="EF31" s="2554">
        <v>35.931483109352989</v>
      </c>
      <c r="EG31" s="2554">
        <v>36.00006798371323</v>
      </c>
      <c r="EH31" s="2554">
        <v>35.966403211027568</v>
      </c>
      <c r="EI31" s="2554">
        <v>35.681713379140021</v>
      </c>
      <c r="EJ31" s="2554">
        <v>35.600340719629031</v>
      </c>
      <c r="EK31" s="2554">
        <v>35.358600017449248</v>
      </c>
      <c r="EL31" s="2554">
        <v>35.483629022743216</v>
      </c>
      <c r="EM31" s="2555">
        <v>35.453118439564733</v>
      </c>
    </row>
    <row r="32" spans="1:143" s="2445" customFormat="1" ht="21" customHeight="1">
      <c r="A32" s="2544" t="s">
        <v>3640</v>
      </c>
      <c r="B32" s="2545">
        <v>13.032999999999999</v>
      </c>
      <c r="C32" s="2545">
        <v>12.896000000000001</v>
      </c>
      <c r="D32" s="2545">
        <v>14.162727272727272</v>
      </c>
      <c r="E32" s="2545">
        <v>14.972999999999999</v>
      </c>
      <c r="F32" s="2552">
        <v>14.597826086956522</v>
      </c>
      <c r="G32" s="2552">
        <v>14.028095238095236</v>
      </c>
      <c r="H32" s="2552">
        <v>14.1715</v>
      </c>
      <c r="I32" s="2552">
        <v>14.493</v>
      </c>
      <c r="J32" s="2552">
        <v>14.914</v>
      </c>
      <c r="K32" s="2552">
        <v>15.263499999999999</v>
      </c>
      <c r="L32" s="2552">
        <v>15.872</v>
      </c>
      <c r="M32" s="2552">
        <v>15.72</v>
      </c>
      <c r="N32" s="2552">
        <v>15.5875</v>
      </c>
      <c r="O32" s="2552">
        <v>15.382999999999999</v>
      </c>
      <c r="P32" s="2552">
        <v>16.131</v>
      </c>
      <c r="Q32" s="2552">
        <v>16.722999999999999</v>
      </c>
      <c r="R32" s="2552">
        <v>17.559000000000001</v>
      </c>
      <c r="S32" s="2552">
        <v>17.260999999999999</v>
      </c>
      <c r="T32" s="2552">
        <v>17.262</v>
      </c>
      <c r="U32" s="2552">
        <v>17.518000000000001</v>
      </c>
      <c r="V32" s="2552">
        <v>18.094999999999999</v>
      </c>
      <c r="W32" s="2552">
        <v>17.77</v>
      </c>
      <c r="X32" s="2553">
        <v>17.911000000000001</v>
      </c>
      <c r="Y32" s="2489">
        <v>18.167000000000002</v>
      </c>
      <c r="Z32" s="2494">
        <v>17.675000000000001</v>
      </c>
      <c r="AA32" s="2489">
        <v>17.754999999999999</v>
      </c>
      <c r="AB32" s="2494">
        <v>17.506</v>
      </c>
      <c r="AC32" s="2489">
        <v>18.006</v>
      </c>
      <c r="AD32" s="2494">
        <v>18.602</v>
      </c>
      <c r="AE32" s="2489">
        <v>18.888000000000002</v>
      </c>
      <c r="AF32" s="2494">
        <v>19.125</v>
      </c>
      <c r="AG32" s="2489">
        <v>19.846</v>
      </c>
      <c r="AH32" s="2494">
        <v>20.285</v>
      </c>
      <c r="AI32" s="2489">
        <v>20.606000000000002</v>
      </c>
      <c r="AJ32" s="2494">
        <v>20.34</v>
      </c>
      <c r="AK32" s="2493">
        <v>21.437000000000001</v>
      </c>
      <c r="AL32" s="2493">
        <v>21.263000000000002</v>
      </c>
      <c r="AM32" s="2489">
        <v>21.292999999999999</v>
      </c>
      <c r="AN32" s="2493">
        <v>21.096800000000002</v>
      </c>
      <c r="AO32" s="2489">
        <v>20.357600000000001</v>
      </c>
      <c r="AP32" s="2494">
        <v>20.982199999999999</v>
      </c>
      <c r="AQ32" s="2489">
        <v>21.2376</v>
      </c>
      <c r="AR32" s="2494">
        <v>21.500499999999999</v>
      </c>
      <c r="AS32" s="2493">
        <v>21.2958</v>
      </c>
      <c r="AT32" s="2493">
        <v>21.538599999999999</v>
      </c>
      <c r="AU32" s="2493">
        <v>21.349499999999999</v>
      </c>
      <c r="AV32" s="2489">
        <v>20.96</v>
      </c>
      <c r="AW32" s="2489">
        <v>19.901399999999999</v>
      </c>
      <c r="AX32" s="2494">
        <v>19.489999999999998</v>
      </c>
      <c r="AY32" s="2493">
        <v>19.771799999999999</v>
      </c>
      <c r="AZ32" s="2489">
        <v>19.425000000000001</v>
      </c>
      <c r="BA32" s="2494">
        <v>19.514299999999999</v>
      </c>
      <c r="BB32" s="2493">
        <v>20.553799999999999</v>
      </c>
      <c r="BC32" s="2493">
        <v>21.561900000000001</v>
      </c>
      <c r="BD32" s="2489">
        <v>21.905200000000001</v>
      </c>
      <c r="BE32" s="2494">
        <v>22.344000000000001</v>
      </c>
      <c r="BF32" s="2493">
        <v>23.268999999999998</v>
      </c>
      <c r="BG32" s="2489">
        <v>23.484300000000001</v>
      </c>
      <c r="BH32" s="2494">
        <v>23.367799999999999</v>
      </c>
      <c r="BI32" s="2493">
        <v>23.218</v>
      </c>
      <c r="BJ32" s="2493">
        <v>24.038599999999999</v>
      </c>
      <c r="BK32" s="2493">
        <v>23.4041</v>
      </c>
      <c r="BL32" s="2493">
        <v>24.257000000000001</v>
      </c>
      <c r="BM32" s="2493">
        <v>25.135899999999999</v>
      </c>
      <c r="BN32" s="2489">
        <v>23.023800000000001</v>
      </c>
      <c r="BO32" s="2489">
        <v>22.616299999999999</v>
      </c>
      <c r="BP32" s="2489">
        <v>23.573699999999999</v>
      </c>
      <c r="BQ32" s="2489">
        <v>23.472000000000001</v>
      </c>
      <c r="BR32" s="2489">
        <v>23.108000000000001</v>
      </c>
      <c r="BS32" s="2489">
        <v>22.579000000000001</v>
      </c>
      <c r="BT32" s="2489">
        <v>22.976199999999999</v>
      </c>
      <c r="BU32" s="2489">
        <v>21.915099999999999</v>
      </c>
      <c r="BV32" s="2489">
        <v>21.020900000000001</v>
      </c>
      <c r="BW32" s="2493">
        <v>21.535699999999999</v>
      </c>
      <c r="BX32" s="2493">
        <v>21.2178</v>
      </c>
      <c r="BY32" s="2493">
        <v>20.662700000000001</v>
      </c>
      <c r="BZ32" s="2489">
        <v>19.956700000000001</v>
      </c>
      <c r="CA32" s="2489">
        <v>19.9053</v>
      </c>
      <c r="CB32" s="2489">
        <v>18.831800000000001</v>
      </c>
      <c r="CC32" s="2489">
        <v>18.3918</v>
      </c>
      <c r="CD32" s="2489">
        <v>18.1919</v>
      </c>
      <c r="CE32" s="2489">
        <v>18.204899999999999</v>
      </c>
      <c r="CF32" s="2489">
        <v>17.430399999999999</v>
      </c>
      <c r="CG32" s="2489">
        <v>18.282499999999999</v>
      </c>
      <c r="CH32" s="2489">
        <v>19.594899999999999</v>
      </c>
      <c r="CI32" s="2489">
        <v>20.31541</v>
      </c>
      <c r="CJ32" s="2489">
        <v>21.17899090909091</v>
      </c>
      <c r="CK32" s="2489">
        <v>21.218604347826087</v>
      </c>
      <c r="CL32" s="2489">
        <v>22.087624999999999</v>
      </c>
      <c r="CM32" s="2489">
        <v>23.580414285714284</v>
      </c>
      <c r="CN32" s="2489">
        <v>23.163427272727272</v>
      </c>
      <c r="CO32" s="2489">
        <v>22.614079999999998</v>
      </c>
      <c r="CP32" s="2489">
        <v>23.228000000000002</v>
      </c>
      <c r="CQ32" s="2489">
        <v>22.79133266136451</v>
      </c>
      <c r="CR32" s="2489">
        <v>22.424207013579487</v>
      </c>
      <c r="CS32" s="2489">
        <v>22.823253841367944</v>
      </c>
      <c r="CT32" s="2489">
        <v>22.973056234598953</v>
      </c>
      <c r="CU32" s="2489">
        <v>23.822062415806265</v>
      </c>
      <c r="CV32" s="2489">
        <v>23.589311083054984</v>
      </c>
      <c r="CW32" s="2489">
        <v>23.793835037775153</v>
      </c>
      <c r="CX32" s="2489">
        <v>23.274291373665559</v>
      </c>
      <c r="CY32" s="2489">
        <v>22.112259899809359</v>
      </c>
      <c r="CZ32" s="2489">
        <v>22.785644805416275</v>
      </c>
      <c r="DA32" s="2489">
        <v>22.792081135036174</v>
      </c>
      <c r="DB32" s="2489">
        <v>23.442328186606861</v>
      </c>
      <c r="DC32" s="2489">
        <v>24.460672710278985</v>
      </c>
      <c r="DD32" s="2489">
        <v>24.120391648367526</v>
      </c>
      <c r="DE32" s="2489">
        <v>23.750727086432804</v>
      </c>
      <c r="DF32" s="2489">
        <v>23.363209777267983</v>
      </c>
      <c r="DG32" s="2489">
        <v>22.861925431318667</v>
      </c>
      <c r="DH32" s="2489">
        <v>23.097784775065428</v>
      </c>
      <c r="DI32" s="2489">
        <v>24.042255927728966</v>
      </c>
      <c r="DJ32" s="2489">
        <v>24.806628818071388</v>
      </c>
      <c r="DK32" s="2489">
        <v>24.389100847014763</v>
      </c>
      <c r="DL32" s="2489">
        <v>24.333652215716523</v>
      </c>
      <c r="DM32" s="2489">
        <v>23.295605160487639</v>
      </c>
      <c r="DN32" s="2489">
        <v>24.137815669503901</v>
      </c>
      <c r="DO32" s="2489">
        <v>25.319302708733598</v>
      </c>
      <c r="DP32" s="2489">
        <v>25.489887082763506</v>
      </c>
      <c r="DQ32" s="2489">
        <v>25.361603913014918</v>
      </c>
      <c r="DR32" s="2489">
        <v>25.718963731262924</v>
      </c>
      <c r="DS32" s="2489">
        <v>25.892300488251333</v>
      </c>
      <c r="DT32" s="2489">
        <v>26.020411039298885</v>
      </c>
      <c r="DU32" s="2489">
        <v>26.029166852436511</v>
      </c>
      <c r="DV32" s="2489">
        <v>26.038909275979535</v>
      </c>
      <c r="DW32" s="2489">
        <v>26.040100052111107</v>
      </c>
      <c r="DX32" s="2554">
        <v>26.691449571038891</v>
      </c>
      <c r="DY32" s="2554">
        <v>26.046193761792928</v>
      </c>
      <c r="DZ32" s="2554">
        <v>24.837505363238886</v>
      </c>
      <c r="EA32" s="2554">
        <v>24.895025412248788</v>
      </c>
      <c r="EB32" s="2554">
        <v>24.818443941531747</v>
      </c>
      <c r="EC32" s="2554">
        <v>25.510332003805559</v>
      </c>
      <c r="ED32" s="2554">
        <v>25.81056567608454</v>
      </c>
      <c r="EE32" s="2554">
        <v>25.692442795211111</v>
      </c>
      <c r="EF32" s="2554">
        <v>25.363928138230161</v>
      </c>
      <c r="EG32" s="2554">
        <v>25.551446357657891</v>
      </c>
      <c r="EH32" s="2554">
        <v>25.557016947320989</v>
      </c>
      <c r="EI32" s="2554">
        <v>26.129053806464913</v>
      </c>
      <c r="EJ32" s="2554">
        <v>26.41463017083333</v>
      </c>
      <c r="EK32" s="2554">
        <v>26.447369924103278</v>
      </c>
      <c r="EL32" s="2554">
        <v>26.612299054678733</v>
      </c>
      <c r="EM32" s="2555">
        <v>26.881993364582225</v>
      </c>
    </row>
    <row r="33" spans="1:143" s="2445" customFormat="1" ht="21" customHeight="1">
      <c r="A33" s="2544" t="s">
        <v>3641</v>
      </c>
      <c r="B33" s="2545">
        <v>16.757999999999999</v>
      </c>
      <c r="C33" s="2545">
        <v>16.849</v>
      </c>
      <c r="D33" s="2545">
        <v>17.078181818181818</v>
      </c>
      <c r="E33" s="2545">
        <v>17.166499999999999</v>
      </c>
      <c r="F33" s="2552">
        <v>17.343478260869563</v>
      </c>
      <c r="G33" s="2552">
        <v>17.231428571428573</v>
      </c>
      <c r="H33" s="2552">
        <v>17.103999999999999</v>
      </c>
      <c r="I33" s="2552">
        <v>16.911999999999999</v>
      </c>
      <c r="J33" s="2552">
        <v>17.032</v>
      </c>
      <c r="K33" s="2557">
        <v>17.073</v>
      </c>
      <c r="L33" s="2557">
        <v>16.913</v>
      </c>
      <c r="M33" s="2557">
        <v>16.271000000000001</v>
      </c>
      <c r="N33" s="2557">
        <v>16.052</v>
      </c>
      <c r="O33" s="2557">
        <v>15.747999999999999</v>
      </c>
      <c r="P33" s="2557">
        <v>16.222999999999999</v>
      </c>
      <c r="Q33" s="2557">
        <v>16.672000000000001</v>
      </c>
      <c r="R33" s="2557">
        <v>17.152999999999999</v>
      </c>
      <c r="S33" s="2557">
        <v>16.992000000000001</v>
      </c>
      <c r="T33" s="2557">
        <v>17.003</v>
      </c>
      <c r="U33" s="2552">
        <v>16.86</v>
      </c>
      <c r="V33" s="2552">
        <v>16.742000000000001</v>
      </c>
      <c r="W33" s="2552">
        <v>16.170999999999999</v>
      </c>
      <c r="X33" s="2553">
        <v>15.781000000000001</v>
      </c>
      <c r="Y33" s="2489">
        <v>15.609</v>
      </c>
      <c r="Z33" s="2494">
        <v>15.728999999999999</v>
      </c>
      <c r="AA33" s="2489">
        <v>16.440999999999999</v>
      </c>
      <c r="AB33" s="2494">
        <v>16.666</v>
      </c>
      <c r="AC33" s="2489">
        <v>16.776</v>
      </c>
      <c r="AD33" s="2494">
        <v>16.826000000000001</v>
      </c>
      <c r="AE33" s="2489">
        <v>16.875</v>
      </c>
      <c r="AF33" s="2494">
        <v>17.148</v>
      </c>
      <c r="AG33" s="2489">
        <v>17.349</v>
      </c>
      <c r="AH33" s="2494">
        <v>17.59</v>
      </c>
      <c r="AI33" s="2489">
        <v>17.577000000000002</v>
      </c>
      <c r="AJ33" s="2494">
        <v>17.684999999999999</v>
      </c>
      <c r="AK33" s="2493">
        <v>18.064</v>
      </c>
      <c r="AL33" s="2493">
        <v>17.914999999999999</v>
      </c>
      <c r="AM33" s="2489">
        <v>17.977</v>
      </c>
      <c r="AN33" s="2493">
        <v>17.850000000000001</v>
      </c>
      <c r="AO33" s="2489">
        <v>17.839500000000001</v>
      </c>
      <c r="AP33" s="2494">
        <v>18.196999999999999</v>
      </c>
      <c r="AQ33" s="2489">
        <v>18.1129</v>
      </c>
      <c r="AR33" s="2494">
        <v>18.2514</v>
      </c>
      <c r="AS33" s="2493">
        <v>18.247900000000001</v>
      </c>
      <c r="AT33" s="2493">
        <v>18.5914</v>
      </c>
      <c r="AU33" s="2493">
        <v>19.083300000000001</v>
      </c>
      <c r="AV33" s="2489">
        <v>19.158000000000001</v>
      </c>
      <c r="AW33" s="2489">
        <v>19.287700000000001</v>
      </c>
      <c r="AX33" s="2494">
        <v>19.578499999999998</v>
      </c>
      <c r="AY33" s="2493">
        <v>19.8873</v>
      </c>
      <c r="AZ33" s="2489">
        <v>19.724499999999999</v>
      </c>
      <c r="BA33" s="2494">
        <v>19.9786</v>
      </c>
      <c r="BB33" s="2493">
        <v>20.5943</v>
      </c>
      <c r="BC33" s="2493">
        <v>20.898599999999998</v>
      </c>
      <c r="BD33" s="2489">
        <v>21.0367</v>
      </c>
      <c r="BE33" s="2494">
        <v>21.553999999999998</v>
      </c>
      <c r="BF33" s="2493">
        <v>21.919499999999999</v>
      </c>
      <c r="BG33" s="2489">
        <v>22.117100000000001</v>
      </c>
      <c r="BH33" s="2494">
        <v>22.1433</v>
      </c>
      <c r="BI33" s="2493">
        <v>22.0395</v>
      </c>
      <c r="BJ33" s="2493">
        <v>21.8886</v>
      </c>
      <c r="BK33" s="2493">
        <v>21.153199999999998</v>
      </c>
      <c r="BL33" s="2493">
        <v>21.01</v>
      </c>
      <c r="BM33" s="2493">
        <v>21.225899999999999</v>
      </c>
      <c r="BN33" s="2489">
        <v>20.894200000000001</v>
      </c>
      <c r="BO33" s="2489">
        <v>21.465299999999999</v>
      </c>
      <c r="BP33" s="2489">
        <v>21.276299999999999</v>
      </c>
      <c r="BQ33" s="2489">
        <v>21.388999999999999</v>
      </c>
      <c r="BR33" s="2489">
        <v>20.832899999999999</v>
      </c>
      <c r="BS33" s="2489">
        <v>20.564599999999999</v>
      </c>
      <c r="BT33" s="2489">
        <v>20.558299999999999</v>
      </c>
      <c r="BU33" s="2489">
        <v>19.863900000000001</v>
      </c>
      <c r="BV33" s="2489">
        <v>19.6126</v>
      </c>
      <c r="BW33" s="2493">
        <v>20.411899999999999</v>
      </c>
      <c r="BX33" s="2493">
        <v>20.4846</v>
      </c>
      <c r="BY33" s="2493">
        <v>20.2439</v>
      </c>
      <c r="BZ33" s="2489">
        <v>20.189399999999999</v>
      </c>
      <c r="CA33" s="2489">
        <v>20.8127</v>
      </c>
      <c r="CB33" s="2489">
        <v>21.0563</v>
      </c>
      <c r="CC33" s="2489">
        <v>21.779499999999999</v>
      </c>
      <c r="CD33" s="2489">
        <v>22.167999999999999</v>
      </c>
      <c r="CE33" s="2489">
        <v>22.247699999999998</v>
      </c>
      <c r="CF33" s="2489">
        <v>22.4574</v>
      </c>
      <c r="CG33" s="2489">
        <v>22.666899999999998</v>
      </c>
      <c r="CH33" s="2489">
        <v>22.898499999999999</v>
      </c>
      <c r="CI33" s="2489">
        <v>23.215869999999999</v>
      </c>
      <c r="CJ33" s="2489">
        <v>22.954350000000002</v>
      </c>
      <c r="CK33" s="2489">
        <v>22.818152173913049</v>
      </c>
      <c r="CL33" s="2489">
        <v>22.783004999999996</v>
      </c>
      <c r="CM33" s="2489">
        <v>22.594742857142858</v>
      </c>
      <c r="CN33" s="2489">
        <v>22.541172727272723</v>
      </c>
      <c r="CO33" s="2489">
        <v>22.381464999999999</v>
      </c>
      <c r="CP33" s="2489">
        <v>23.966999999999999</v>
      </c>
      <c r="CQ33" s="2489">
        <v>23.347333854197903</v>
      </c>
      <c r="CR33" s="2489">
        <v>23.213315276628052</v>
      </c>
      <c r="CS33" s="2489">
        <v>23.588268337462242</v>
      </c>
      <c r="CT33" s="2489">
        <v>23.53592334704534</v>
      </c>
      <c r="CU33" s="2489">
        <v>23.854944206084522</v>
      </c>
      <c r="CV33" s="2489">
        <v>24.07279162376156</v>
      </c>
      <c r="CW33" s="2489">
        <v>24.189805222839485</v>
      </c>
      <c r="CX33" s="2489">
        <v>23.893700864554116</v>
      </c>
      <c r="CY33" s="2489">
        <v>23.566285037901615</v>
      </c>
      <c r="CZ33" s="2489">
        <v>23.226114483969496</v>
      </c>
      <c r="DA33" s="2489">
        <v>23.169147918580606</v>
      </c>
      <c r="DB33" s="2489">
        <v>23.371055412151382</v>
      </c>
      <c r="DC33" s="2489">
        <v>23.85356089154978</v>
      </c>
      <c r="DD33" s="2489">
        <v>23.889470006024052</v>
      </c>
      <c r="DE33" s="2489">
        <v>23.466031210343861</v>
      </c>
      <c r="DF33" s="2489">
        <v>23.277916811514093</v>
      </c>
      <c r="DG33" s="2489">
        <v>23.110842372836608</v>
      </c>
      <c r="DH33" s="2489">
        <v>23.224538301593022</v>
      </c>
      <c r="DI33" s="2489">
        <v>23.557940008873796</v>
      </c>
      <c r="DJ33" s="2489">
        <v>23.797147204984149</v>
      </c>
      <c r="DK33" s="2489">
        <v>23.699091445814247</v>
      </c>
      <c r="DL33" s="2489">
        <v>23.850673088793659</v>
      </c>
      <c r="DM33" s="2489">
        <v>23.930066896625945</v>
      </c>
      <c r="DN33" s="2489">
        <v>24.308335586712388</v>
      </c>
      <c r="DO33" s="2489">
        <v>25.203501901616331</v>
      </c>
      <c r="DP33" s="2489">
        <v>25.252874906252195</v>
      </c>
      <c r="DQ33" s="2489">
        <v>25.2243074770089</v>
      </c>
      <c r="DR33" s="2489">
        <v>25.681510317583857</v>
      </c>
      <c r="DS33" s="2489">
        <v>25.893608547441836</v>
      </c>
      <c r="DT33" s="2489">
        <v>25.684079968573769</v>
      </c>
      <c r="DU33" s="2489">
        <v>25.335873914899469</v>
      </c>
      <c r="DV33" s="2489">
        <v>25.115911757682849</v>
      </c>
      <c r="DW33" s="2489">
        <v>25.304183094046362</v>
      </c>
      <c r="DX33" s="2554">
        <v>25.532959584218283</v>
      </c>
      <c r="DY33" s="2554">
        <v>25.367698362767101</v>
      </c>
      <c r="DZ33" s="2554">
        <v>25.016859038783956</v>
      </c>
      <c r="EA33" s="2554">
        <v>24.968549189287593</v>
      </c>
      <c r="EB33" s="2554">
        <v>24.698396054931024</v>
      </c>
      <c r="EC33" s="2554">
        <v>24.90887339942083</v>
      </c>
      <c r="ED33" s="2554">
        <v>24.928576586985162</v>
      </c>
      <c r="EE33" s="2554">
        <v>24.953031571372041</v>
      </c>
      <c r="EF33" s="2554">
        <v>24.534856272821891</v>
      </c>
      <c r="EG33" s="2554">
        <v>24.265158111141186</v>
      </c>
      <c r="EH33" s="2554">
        <v>24.373516629559834</v>
      </c>
      <c r="EI33" s="2554">
        <v>24.231200710166863</v>
      </c>
      <c r="EJ33" s="2554">
        <v>24.496897112015223</v>
      </c>
      <c r="EK33" s="2554">
        <v>24.602893990283004</v>
      </c>
      <c r="EL33" s="2554">
        <v>24.721537092905766</v>
      </c>
      <c r="EM33" s="2555">
        <v>24.903398537069805</v>
      </c>
    </row>
    <row r="34" spans="1:143" s="2445" customFormat="1" ht="21" customHeight="1">
      <c r="A34" s="2544" t="s">
        <v>3642</v>
      </c>
      <c r="B34" s="2545">
        <v>2.6720000000000002</v>
      </c>
      <c r="C34" s="2545">
        <v>2.702</v>
      </c>
      <c r="D34" s="2545">
        <v>3.0422727272727275</v>
      </c>
      <c r="E34" s="2552">
        <v>3.0305</v>
      </c>
      <c r="F34" s="2552">
        <v>3.0239130434782608</v>
      </c>
      <c r="G34" s="2552">
        <v>2.8757142857142859</v>
      </c>
      <c r="H34" s="2552">
        <v>2.8624999999999998</v>
      </c>
      <c r="I34" s="2552">
        <v>2.9369999999999998</v>
      </c>
      <c r="J34" s="2552">
        <v>3.1240000000000001</v>
      </c>
      <c r="K34" s="2557">
        <v>3.3494999999999999</v>
      </c>
      <c r="L34" s="2557">
        <v>3.3849999999999998</v>
      </c>
      <c r="M34" s="2557">
        <v>3.4329999999999998</v>
      </c>
      <c r="N34" s="2552">
        <v>3.5055000000000001</v>
      </c>
      <c r="O34" s="2552">
        <v>3.66</v>
      </c>
      <c r="P34" s="2552">
        <v>3.7010000000000001</v>
      </c>
      <c r="Q34" s="2552">
        <v>3.6739999999999999</v>
      </c>
      <c r="R34" s="2552">
        <v>4.0049999999999999</v>
      </c>
      <c r="S34" s="2552">
        <v>4.0469999999999997</v>
      </c>
      <c r="T34" s="2552">
        <v>4.0629999999999997</v>
      </c>
      <c r="U34" s="2552">
        <v>4.2080000000000002</v>
      </c>
      <c r="V34" s="2552">
        <v>4.306</v>
      </c>
      <c r="W34" s="2552">
        <v>4.2640000000000002</v>
      </c>
      <c r="X34" s="2553">
        <v>3.8959999999999999</v>
      </c>
      <c r="Y34" s="2489">
        <v>3.915</v>
      </c>
      <c r="Z34" s="2494">
        <v>4.0659999999999998</v>
      </c>
      <c r="AA34" s="2489">
        <v>4.2729999999999997</v>
      </c>
      <c r="AB34" s="2494">
        <v>4.2290000000000001</v>
      </c>
      <c r="AC34" s="2489">
        <v>4.5</v>
      </c>
      <c r="AD34" s="2494">
        <v>4.7439999999999998</v>
      </c>
      <c r="AE34" s="2489">
        <v>4.5369999999999999</v>
      </c>
      <c r="AF34" s="2494">
        <v>4.4969999999999999</v>
      </c>
      <c r="AG34" s="2489">
        <v>4.6037999999999997</v>
      </c>
      <c r="AH34" s="2494">
        <v>4.8570000000000002</v>
      </c>
      <c r="AI34" s="2489">
        <v>5.0869999999999997</v>
      </c>
      <c r="AJ34" s="2494">
        <v>4.899</v>
      </c>
      <c r="AK34" s="2493">
        <v>4.931</v>
      </c>
      <c r="AL34" s="2493">
        <v>4.8499999999999996</v>
      </c>
      <c r="AM34" s="2489">
        <v>4.7480000000000002</v>
      </c>
      <c r="AN34" s="2493">
        <v>4.4618000000000002</v>
      </c>
      <c r="AO34" s="2489">
        <v>4.5190000000000001</v>
      </c>
      <c r="AP34" s="2494">
        <v>4.7126000000000001</v>
      </c>
      <c r="AQ34" s="2489">
        <v>4.8304999999999998</v>
      </c>
      <c r="AR34" s="2494">
        <v>4.7476000000000003</v>
      </c>
      <c r="AS34" s="2493">
        <v>4.7031999999999998</v>
      </c>
      <c r="AT34" s="2493">
        <v>4.9432</v>
      </c>
      <c r="AU34" s="2493">
        <v>5.1862000000000004</v>
      </c>
      <c r="AV34" s="2489">
        <v>5.1719999999999997</v>
      </c>
      <c r="AW34" s="2489">
        <v>5.0731999999999999</v>
      </c>
      <c r="AX34" s="2494">
        <v>5.21</v>
      </c>
      <c r="AY34" s="2493">
        <v>5.0294999999999996</v>
      </c>
      <c r="AZ34" s="2489">
        <v>4.5781999999999998</v>
      </c>
      <c r="BA34" s="2494">
        <v>4.5313999999999997</v>
      </c>
      <c r="BB34" s="2493">
        <v>4.7542999999999997</v>
      </c>
      <c r="BC34" s="2493">
        <v>4.54</v>
      </c>
      <c r="BD34" s="2489">
        <v>4.4432999999999998</v>
      </c>
      <c r="BE34" s="2494">
        <v>4.7389999999999999</v>
      </c>
      <c r="BF34" s="2493">
        <v>4.9080000000000004</v>
      </c>
      <c r="BG34" s="2489">
        <v>4.8367000000000004</v>
      </c>
      <c r="BH34" s="2494">
        <v>4.8316999999999997</v>
      </c>
      <c r="BI34" s="2493">
        <v>4.6425000000000001</v>
      </c>
      <c r="BJ34" s="2493">
        <v>4.7004999999999999</v>
      </c>
      <c r="BK34" s="2493">
        <v>4.6285999999999996</v>
      </c>
      <c r="BL34" s="2493">
        <v>4.5510000000000002</v>
      </c>
      <c r="BM34" s="2493">
        <v>4.6664000000000003</v>
      </c>
      <c r="BN34" s="2489">
        <v>4.4466999999999999</v>
      </c>
      <c r="BO34" s="2489">
        <v>4.5033000000000003</v>
      </c>
      <c r="BP34" s="2489">
        <v>4.6576000000000004</v>
      </c>
      <c r="BQ34" s="2489">
        <v>4.6500000000000004</v>
      </c>
      <c r="BR34" s="2489">
        <v>4.4543999999999997</v>
      </c>
      <c r="BS34" s="2489">
        <v>4.2629000000000001</v>
      </c>
      <c r="BT34" s="2489">
        <v>3.8361999999999998</v>
      </c>
      <c r="BU34" s="2489">
        <v>3.4605999999999999</v>
      </c>
      <c r="BV34" s="2489">
        <v>3.4661</v>
      </c>
      <c r="BW34" s="2493">
        <v>3.6922000000000001</v>
      </c>
      <c r="BX34" s="2493">
        <v>3.5630999999999999</v>
      </c>
      <c r="BY34" s="2493">
        <v>3.6261999999999999</v>
      </c>
      <c r="BZ34" s="2489">
        <v>3.7364999999999999</v>
      </c>
      <c r="CA34" s="2489">
        <v>3.7227999999999999</v>
      </c>
      <c r="CB34" s="2489">
        <v>3.2473000000000001</v>
      </c>
      <c r="CC34" s="2489">
        <v>3.2812999999999999</v>
      </c>
      <c r="CD34" s="2489">
        <v>3.3353000000000002</v>
      </c>
      <c r="CE34" s="2489">
        <v>3.3984000000000001</v>
      </c>
      <c r="CF34" s="2489">
        <v>3.4552999999999998</v>
      </c>
      <c r="CG34" s="2489">
        <v>3.5225</v>
      </c>
      <c r="CH34" s="2489">
        <v>3.8546999999999998</v>
      </c>
      <c r="CI34" s="2489">
        <v>4.0790649999999999</v>
      </c>
      <c r="CJ34" s="2489">
        <v>4.1658772727272737</v>
      </c>
      <c r="CK34" s="2489">
        <v>4.1837086956521743</v>
      </c>
      <c r="CL34" s="2489">
        <v>4.1656550000000001</v>
      </c>
      <c r="CM34" s="2489">
        <v>4.30397619047619</v>
      </c>
      <c r="CN34" s="2489">
        <v>4.2520727272727266</v>
      </c>
      <c r="CO34" s="2489">
        <v>4.1721850000000007</v>
      </c>
      <c r="CP34" s="2489">
        <v>4.3959999999999999</v>
      </c>
      <c r="CQ34" s="2489">
        <v>4.2772433017535469</v>
      </c>
      <c r="CR34" s="2489">
        <v>4.3295198587026569</v>
      </c>
      <c r="CS34" s="2489">
        <v>4.4357190662529149</v>
      </c>
      <c r="CT34" s="2489">
        <v>4.4624094718396288</v>
      </c>
      <c r="CU34" s="2489">
        <v>4.4655108426880306</v>
      </c>
      <c r="CV34" s="2489">
        <v>4.6267038636392366</v>
      </c>
      <c r="CW34" s="2489">
        <v>4.5356470210893081</v>
      </c>
      <c r="CX34" s="2489">
        <v>4.2620224636081163</v>
      </c>
      <c r="CY34" s="2489">
        <v>4.3386433542192933</v>
      </c>
      <c r="CZ34" s="2489">
        <v>4.3238891020413135</v>
      </c>
      <c r="DA34" s="2489">
        <v>4.208836395000211</v>
      </c>
      <c r="DB34" s="2489">
        <v>4.2697037917046785</v>
      </c>
      <c r="DC34" s="2489">
        <v>4.300147130799755</v>
      </c>
      <c r="DD34" s="2489">
        <v>4.1081725569487864</v>
      </c>
      <c r="DE34" s="2489">
        <v>3.909848208732813</v>
      </c>
      <c r="DF34" s="2489">
        <v>3.7625954346183024</v>
      </c>
      <c r="DG34" s="2489">
        <v>3.6827117070059883</v>
      </c>
      <c r="DH34" s="2489">
        <v>3.6979842359907096</v>
      </c>
      <c r="DI34" s="2489">
        <v>3.7828404874052901</v>
      </c>
      <c r="DJ34" s="2489">
        <v>3.9191637932017236</v>
      </c>
      <c r="DK34" s="2489">
        <v>3.9514543026214488</v>
      </c>
      <c r="DL34" s="2489">
        <v>3.8359853005092184</v>
      </c>
      <c r="DM34" s="2489">
        <v>3.7274638806544615</v>
      </c>
      <c r="DN34" s="2489">
        <v>3.7306375348746883</v>
      </c>
      <c r="DO34" s="2489">
        <v>3.8802480426309258</v>
      </c>
      <c r="DP34" s="2489">
        <v>3.8329099385933123</v>
      </c>
      <c r="DQ34" s="2489">
        <v>3.7804619281712579</v>
      </c>
      <c r="DR34" s="2489">
        <v>3.6630073893087989</v>
      </c>
      <c r="DS34" s="2489">
        <v>3.6192437040455188</v>
      </c>
      <c r="DT34" s="2489">
        <v>3.6527415832442087</v>
      </c>
      <c r="DU34" s="2489">
        <v>3.5576262187028851</v>
      </c>
      <c r="DV34" s="2489">
        <v>3.5266240813225913</v>
      </c>
      <c r="DW34" s="2489">
        <v>3.4548237904409915</v>
      </c>
      <c r="DX34" s="2554">
        <v>3.492511961893848</v>
      </c>
      <c r="DY34" s="2554">
        <v>3.4153373573757264</v>
      </c>
      <c r="DZ34" s="2554">
        <v>3.1550674573292907</v>
      </c>
      <c r="EA34" s="2554">
        <v>3.2093342079043912</v>
      </c>
      <c r="EB34" s="2554">
        <v>3.1358030997531885</v>
      </c>
      <c r="EC34" s="2554">
        <v>3.1677634558290126</v>
      </c>
      <c r="ED34" s="2554">
        <v>3.1473238687509282</v>
      </c>
      <c r="EE34" s="2554">
        <v>3.0695100067739309</v>
      </c>
      <c r="EF34" s="2554">
        <v>2.9986284940067907</v>
      </c>
      <c r="EG34" s="2554">
        <v>2.8665131912974284</v>
      </c>
      <c r="EH34" s="2554">
        <v>2.8307984638668495</v>
      </c>
      <c r="EI34" s="2554">
        <v>2.8703791531057448</v>
      </c>
      <c r="EJ34" s="2554">
        <v>2.93147652163253</v>
      </c>
      <c r="EK34" s="2554">
        <v>2.9753364948827432</v>
      </c>
      <c r="EL34" s="2554">
        <v>2.9062170832109917</v>
      </c>
      <c r="EM34" s="2555">
        <v>2.9112595055048947</v>
      </c>
    </row>
    <row r="35" spans="1:143" s="2445" customFormat="1" ht="21" customHeight="1">
      <c r="A35" s="2544" t="s">
        <v>3643</v>
      </c>
      <c r="B35" s="2545">
        <v>18.302</v>
      </c>
      <c r="C35" s="2545">
        <v>17.972999999999999</v>
      </c>
      <c r="D35" s="2545">
        <v>19.152272727272727</v>
      </c>
      <c r="E35" s="2552">
        <v>19.6465</v>
      </c>
      <c r="F35" s="2552">
        <v>20.420000000000002</v>
      </c>
      <c r="G35" s="2552">
        <v>20.020476190476192</v>
      </c>
      <c r="H35" s="2552">
        <v>20.015999999999998</v>
      </c>
      <c r="I35" s="2552">
        <v>20.027000000000001</v>
      </c>
      <c r="J35" s="2552">
        <v>20.305</v>
      </c>
      <c r="K35" s="2557">
        <v>20.577999999999999</v>
      </c>
      <c r="L35" s="2557">
        <v>21.103000000000002</v>
      </c>
      <c r="M35" s="2557">
        <v>20.626000000000001</v>
      </c>
      <c r="N35" s="2557">
        <v>20.436</v>
      </c>
      <c r="O35" s="2552">
        <v>20.059999999999999</v>
      </c>
      <c r="P35" s="2552">
        <v>21.216000000000001</v>
      </c>
      <c r="Q35" s="2552">
        <v>21.661999999999999</v>
      </c>
      <c r="R35" s="2552">
        <v>21.852</v>
      </c>
      <c r="S35" s="2552">
        <v>21.306000000000001</v>
      </c>
      <c r="T35" s="2552">
        <v>21.279</v>
      </c>
      <c r="U35" s="2552">
        <v>21.818999999999999</v>
      </c>
      <c r="V35" s="2552">
        <v>21.428000000000001</v>
      </c>
      <c r="W35" s="2552">
        <v>21.501000000000001</v>
      </c>
      <c r="X35" s="2553">
        <v>21.24</v>
      </c>
      <c r="Y35" s="2489">
        <v>20.849</v>
      </c>
      <c r="Z35" s="2494">
        <v>20.655999999999999</v>
      </c>
      <c r="AA35" s="2489">
        <v>21.132999999999999</v>
      </c>
      <c r="AB35" s="2494">
        <v>21.975999999999999</v>
      </c>
      <c r="AC35" s="2489">
        <v>22.724</v>
      </c>
      <c r="AD35" s="2494">
        <v>22.913</v>
      </c>
      <c r="AE35" s="2489">
        <v>22.687000000000001</v>
      </c>
      <c r="AF35" s="2494">
        <v>22.805</v>
      </c>
      <c r="AG35" s="2489">
        <v>23.326000000000001</v>
      </c>
      <c r="AH35" s="2494">
        <v>24.552</v>
      </c>
      <c r="AI35" s="2489">
        <v>24.945</v>
      </c>
      <c r="AJ35" s="2494">
        <v>24.318999999999999</v>
      </c>
      <c r="AK35" s="2493">
        <v>24.84</v>
      </c>
      <c r="AL35" s="2493">
        <v>24.512</v>
      </c>
      <c r="AM35" s="2489">
        <v>24.161000000000001</v>
      </c>
      <c r="AN35" s="2493">
        <v>23.3691</v>
      </c>
      <c r="AO35" s="2489">
        <v>22.993300000000001</v>
      </c>
      <c r="AP35" s="2494">
        <v>23.687000000000001</v>
      </c>
      <c r="AQ35" s="2489">
        <v>23.834299999999999</v>
      </c>
      <c r="AR35" s="2494">
        <v>23.723800000000001</v>
      </c>
      <c r="AS35" s="2493">
        <v>23.371600000000001</v>
      </c>
      <c r="AT35" s="2493">
        <v>23.5977</v>
      </c>
      <c r="AU35" s="2493">
        <v>24.1252</v>
      </c>
      <c r="AV35" s="2489">
        <v>23.677</v>
      </c>
      <c r="AW35" s="2489">
        <v>23.735499999999998</v>
      </c>
      <c r="AX35" s="2494">
        <v>24.166</v>
      </c>
      <c r="AY35" s="2493">
        <v>25.488199999999999</v>
      </c>
      <c r="AZ35" s="2489">
        <v>25.234999999999999</v>
      </c>
      <c r="BA35" s="2494">
        <v>25.367100000000001</v>
      </c>
      <c r="BB35" s="2493">
        <v>26.208100000000002</v>
      </c>
      <c r="BC35" s="2493">
        <v>26.445699999999999</v>
      </c>
      <c r="BD35" s="2489">
        <v>26.268999999999998</v>
      </c>
      <c r="BE35" s="2494">
        <v>27.004000000000001</v>
      </c>
      <c r="BF35" s="2493">
        <v>27.774000000000001</v>
      </c>
      <c r="BG35" s="2489">
        <v>27.1538</v>
      </c>
      <c r="BH35" s="2494">
        <v>27.171099999999999</v>
      </c>
      <c r="BI35" s="2493">
        <v>27.3325</v>
      </c>
      <c r="BJ35" s="2493">
        <v>27.041899999999998</v>
      </c>
      <c r="BK35" s="2493">
        <v>26.09</v>
      </c>
      <c r="BL35" s="2493">
        <v>25.984000000000002</v>
      </c>
      <c r="BM35" s="2493">
        <v>26.453199999999999</v>
      </c>
      <c r="BN35" s="2489">
        <v>26.263100000000001</v>
      </c>
      <c r="BO35" s="2489">
        <v>26.5534</v>
      </c>
      <c r="BP35" s="2489">
        <v>26.389800000000001</v>
      </c>
      <c r="BQ35" s="2489">
        <v>27.465</v>
      </c>
      <c r="BR35" s="2489">
        <v>26.335699999999999</v>
      </c>
      <c r="BS35" s="2489">
        <v>26.551400000000001</v>
      </c>
      <c r="BT35" s="2489">
        <v>26.3902</v>
      </c>
      <c r="BU35" s="2489">
        <v>27.081</v>
      </c>
      <c r="BV35" s="2489">
        <v>26.2255</v>
      </c>
      <c r="BW35" s="2493">
        <v>26.531300000000002</v>
      </c>
      <c r="BX35" s="2493">
        <v>26.857700000000001</v>
      </c>
      <c r="BY35" s="2493">
        <v>26.646899999999999</v>
      </c>
      <c r="BZ35" s="2489">
        <v>26.029499999999999</v>
      </c>
      <c r="CA35" s="2489">
        <v>26.732299999999999</v>
      </c>
      <c r="CB35" s="2489">
        <v>27.132200000000001</v>
      </c>
      <c r="CC35" s="2489">
        <v>27.476199999999999</v>
      </c>
      <c r="CD35" s="2489">
        <v>28.6631</v>
      </c>
      <c r="CE35" s="2489">
        <v>29.387</v>
      </c>
      <c r="CF35" s="2489">
        <v>28.995799999999999</v>
      </c>
      <c r="CG35" s="2489">
        <v>29.960799999999999</v>
      </c>
      <c r="CH35" s="2489">
        <v>29.9358</v>
      </c>
      <c r="CI35" s="2489">
        <v>30.529914999999999</v>
      </c>
      <c r="CJ35" s="2489">
        <v>30.758495454545457</v>
      </c>
      <c r="CK35" s="2489">
        <v>30.491508695652168</v>
      </c>
      <c r="CL35" s="2489">
        <v>30.580559999999998</v>
      </c>
      <c r="CM35" s="2489">
        <v>30.739638095238092</v>
      </c>
      <c r="CN35" s="2489">
        <v>30.574972727272733</v>
      </c>
      <c r="CO35" s="2489">
        <v>30.526254999999999</v>
      </c>
      <c r="CP35" s="2489">
        <v>29.404</v>
      </c>
      <c r="CQ35" s="2489">
        <v>30.367096466572946</v>
      </c>
      <c r="CR35" s="2489">
        <v>30.101642702534516</v>
      </c>
      <c r="CS35" s="2489">
        <v>31.318911415157316</v>
      </c>
      <c r="CT35" s="2489">
        <v>31.560772432947495</v>
      </c>
      <c r="CU35" s="2489">
        <v>31.333431707080347</v>
      </c>
      <c r="CV35" s="2489">
        <v>32.34166974693634</v>
      </c>
      <c r="CW35" s="2489">
        <v>32.424401345729812</v>
      </c>
      <c r="CX35" s="2489">
        <v>31.98539608510147</v>
      </c>
      <c r="CY35" s="2489">
        <v>32.540519347357375</v>
      </c>
      <c r="CZ35" s="2489">
        <v>32.143370290013429</v>
      </c>
      <c r="DA35" s="2489">
        <v>32.687098743326437</v>
      </c>
      <c r="DB35" s="2489">
        <v>34.164880077421074</v>
      </c>
      <c r="DC35" s="2489">
        <v>35.073493335868726</v>
      </c>
      <c r="DD35" s="2489">
        <v>36.938373618955467</v>
      </c>
      <c r="DE35" s="2489">
        <v>33.522896861722046</v>
      </c>
      <c r="DF35" s="2489">
        <v>32.940132570404089</v>
      </c>
      <c r="DG35" s="2489">
        <v>32.631981889323313</v>
      </c>
      <c r="DH35" s="2489">
        <v>32.12002594736542</v>
      </c>
      <c r="DI35" s="2489">
        <v>32.008933689835402</v>
      </c>
      <c r="DJ35" s="2489">
        <v>32.584446394653597</v>
      </c>
      <c r="DK35" s="2489">
        <v>32.544198005631692</v>
      </c>
      <c r="DL35" s="2489">
        <v>32.547496948851574</v>
      </c>
      <c r="DM35" s="2489">
        <v>32.045384894727938</v>
      </c>
      <c r="DN35" s="2489">
        <v>32.326526565066331</v>
      </c>
      <c r="DO35" s="2489">
        <v>32.446190471738937</v>
      </c>
      <c r="DP35" s="2489">
        <v>32.349890677758879</v>
      </c>
      <c r="DQ35" s="2489">
        <v>32.921402274366635</v>
      </c>
      <c r="DR35" s="2489">
        <v>33.56317891110902</v>
      </c>
      <c r="DS35" s="2489">
        <v>33.620944286596142</v>
      </c>
      <c r="DT35" s="2489">
        <v>33.87942714991911</v>
      </c>
      <c r="DU35" s="2489">
        <v>33.482000641837146</v>
      </c>
      <c r="DV35" s="2489">
        <v>33.644336495333903</v>
      </c>
      <c r="DW35" s="2489">
        <v>33.202552792325392</v>
      </c>
      <c r="DX35" s="2554">
        <v>33.58852054607091</v>
      </c>
      <c r="DY35" s="2554">
        <v>32.98489892011316</v>
      </c>
      <c r="DZ35" s="2554">
        <v>33.622921813261094</v>
      </c>
      <c r="EA35" s="2554">
        <v>33.365411879552788</v>
      </c>
      <c r="EB35" s="2554">
        <v>33.794220401829655</v>
      </c>
      <c r="EC35" s="2554">
        <v>33.872531969098993</v>
      </c>
      <c r="ED35" s="2554">
        <v>34.177164998813303</v>
      </c>
      <c r="EE35" s="2554">
        <v>33.914881686720776</v>
      </c>
      <c r="EF35" s="2554">
        <v>34.384516562301435</v>
      </c>
      <c r="EG35" s="2554">
        <v>34.002848663691381</v>
      </c>
      <c r="EH35" s="2554">
        <v>34.358601326841324</v>
      </c>
      <c r="EI35" s="2554">
        <v>34.728895806029115</v>
      </c>
      <c r="EJ35" s="2554">
        <v>34.662762353722385</v>
      </c>
      <c r="EK35" s="2554">
        <v>34.512673559385981</v>
      </c>
      <c r="EL35" s="2554">
        <v>34.360934230235934</v>
      </c>
      <c r="EM35" s="2555">
        <v>34.364150449734439</v>
      </c>
    </row>
    <row r="36" spans="1:143" s="2445" customFormat="1" ht="21" customHeight="1">
      <c r="A36" s="2544" t="s">
        <v>3644</v>
      </c>
      <c r="B36" s="2545">
        <v>30.48</v>
      </c>
      <c r="C36" s="2545">
        <v>30.515999999999998</v>
      </c>
      <c r="D36" s="2552">
        <v>30.411568181818176</v>
      </c>
      <c r="E36" s="2552">
        <v>30.28931</v>
      </c>
      <c r="F36" s="2552">
        <v>30.076565217391302</v>
      </c>
      <c r="G36" s="2552">
        <v>29.938290476190474</v>
      </c>
      <c r="H36" s="2552">
        <v>29.885439999999999</v>
      </c>
      <c r="I36" s="2552">
        <v>29.876999999999999</v>
      </c>
      <c r="J36" s="2552">
        <v>29.739000000000001</v>
      </c>
      <c r="K36" s="2552">
        <v>29.605989999999998</v>
      </c>
      <c r="L36" s="2552">
        <v>29.05</v>
      </c>
      <c r="M36" s="2552">
        <v>28.125</v>
      </c>
      <c r="N36" s="2552">
        <v>27.860099999999999</v>
      </c>
      <c r="O36" s="2552">
        <v>27.677</v>
      </c>
      <c r="P36" s="2552">
        <v>27.815000000000001</v>
      </c>
      <c r="Q36" s="2552">
        <v>28.588999999999999</v>
      </c>
      <c r="R36" s="2552">
        <v>29.77</v>
      </c>
      <c r="S36" s="2552">
        <v>29.466000000000001</v>
      </c>
      <c r="T36" s="2552">
        <v>29.350999999999999</v>
      </c>
      <c r="U36" s="2552">
        <v>28.904</v>
      </c>
      <c r="V36" s="2552">
        <v>28.623999999999999</v>
      </c>
      <c r="W36" s="2552">
        <v>27.271999999999998</v>
      </c>
      <c r="X36" s="2553">
        <v>26.442</v>
      </c>
      <c r="Y36" s="2489">
        <v>26.079000000000001</v>
      </c>
      <c r="Z36" s="2494">
        <v>26.469000000000001</v>
      </c>
      <c r="AA36" s="2489">
        <v>27.405999999999999</v>
      </c>
      <c r="AB36" s="2494">
        <v>28.221</v>
      </c>
      <c r="AC36" s="2489">
        <v>28.42</v>
      </c>
      <c r="AD36" s="2494">
        <v>28.491</v>
      </c>
      <c r="AE36" s="2489">
        <v>28.62</v>
      </c>
      <c r="AF36" s="2494">
        <v>28.780999999999999</v>
      </c>
      <c r="AG36" s="2489">
        <v>28.814</v>
      </c>
      <c r="AH36" s="2494">
        <v>28.745000000000001</v>
      </c>
      <c r="AI36" s="2489">
        <v>28.565000000000001</v>
      </c>
      <c r="AJ36" s="2494">
        <v>28.663</v>
      </c>
      <c r="AK36" s="2493">
        <v>29.161000000000001</v>
      </c>
      <c r="AL36" s="2493">
        <v>29.311199999999999</v>
      </c>
      <c r="AM36" s="2489">
        <v>29.378299999999999</v>
      </c>
      <c r="AN36" s="2493">
        <v>29.5322</v>
      </c>
      <c r="AO36" s="2489">
        <v>29.7195</v>
      </c>
      <c r="AP36" s="2494">
        <v>29.929600000000001</v>
      </c>
      <c r="AQ36" s="2489">
        <v>30.129200000000001</v>
      </c>
      <c r="AR36" s="2494">
        <v>30.528500000000001</v>
      </c>
      <c r="AS36" s="2493">
        <v>30.6585</v>
      </c>
      <c r="AT36" s="2493">
        <v>30.772099999999998</v>
      </c>
      <c r="AU36" s="2493">
        <v>30.7911</v>
      </c>
      <c r="AV36" s="2489">
        <v>30.849599999999999</v>
      </c>
      <c r="AW36" s="2489">
        <v>30.909300000000002</v>
      </c>
      <c r="AX36" s="2494">
        <v>30.974599999999999</v>
      </c>
      <c r="AY36" s="2493">
        <v>30.979399999999998</v>
      </c>
      <c r="AZ36" s="2489">
        <v>30.987500000000001</v>
      </c>
      <c r="BA36" s="2494">
        <v>31.266999999999999</v>
      </c>
      <c r="BB36" s="2493">
        <v>32.0807</v>
      </c>
      <c r="BC36" s="2493">
        <v>32.616700000000002</v>
      </c>
      <c r="BD36" s="2489">
        <v>32.846499999999999</v>
      </c>
      <c r="BE36" s="2494">
        <v>33.113</v>
      </c>
      <c r="BF36" s="2493">
        <v>33.304900000000004</v>
      </c>
      <c r="BG36" s="2489">
        <v>33.567799999999998</v>
      </c>
      <c r="BH36" s="2494">
        <v>33.511099999999999</v>
      </c>
      <c r="BI36" s="2493">
        <v>33.086199999999998</v>
      </c>
      <c r="BJ36" s="2493">
        <v>32.654699999999998</v>
      </c>
      <c r="BK36" s="2493">
        <v>31.895800000000001</v>
      </c>
      <c r="BL36" s="2493">
        <v>31.992000000000001</v>
      </c>
      <c r="BM36" s="2493">
        <v>31.892700000000001</v>
      </c>
      <c r="BN36" s="2489">
        <v>31.524799999999999</v>
      </c>
      <c r="BO36" s="2489">
        <v>31.4406</v>
      </c>
      <c r="BP36" s="2489">
        <v>30.9251</v>
      </c>
      <c r="BQ36" s="2489">
        <v>30.692</v>
      </c>
      <c r="BR36" s="2489">
        <v>29.962800000000001</v>
      </c>
      <c r="BS36" s="2489">
        <v>29.1815</v>
      </c>
      <c r="BT36" s="2489">
        <v>28.791699999999999</v>
      </c>
      <c r="BU36" s="2489">
        <v>27.340900000000001</v>
      </c>
      <c r="BV36" s="2489">
        <v>26.566099999999999</v>
      </c>
      <c r="BW36" s="2493">
        <v>27.6828</v>
      </c>
      <c r="BX36" s="2493">
        <v>27.789100000000001</v>
      </c>
      <c r="BY36" s="2493">
        <v>27.296099999999999</v>
      </c>
      <c r="BZ36" s="2489">
        <v>28.122499999999999</v>
      </c>
      <c r="CA36" s="2489">
        <v>29.536000000000001</v>
      </c>
      <c r="CB36" s="2489">
        <v>30.868200000000002</v>
      </c>
      <c r="CC36" s="2489">
        <v>32.529899999999998</v>
      </c>
      <c r="CD36" s="2489">
        <v>32.531300000000002</v>
      </c>
      <c r="CE36" s="2489">
        <v>32.883299999999998</v>
      </c>
      <c r="CF36" s="2489">
        <v>33.808900000000001</v>
      </c>
      <c r="CG36" s="2489">
        <v>34.463099999999997</v>
      </c>
      <c r="CH36" s="2489">
        <v>34.204099999999997</v>
      </c>
      <c r="CI36" s="2489">
        <v>33.680095000000001</v>
      </c>
      <c r="CJ36" s="2489">
        <v>33.103550000000006</v>
      </c>
      <c r="CK36" s="2489">
        <v>32.852173913043487</v>
      </c>
      <c r="CL36" s="2489">
        <v>32.630909999999993</v>
      </c>
      <c r="CM36" s="2489">
        <v>31.966957142857144</v>
      </c>
      <c r="CN36" s="2489">
        <v>31.282936363636363</v>
      </c>
      <c r="CO36" s="2489">
        <v>30.84427500000001</v>
      </c>
      <c r="CP36" s="2489">
        <v>33.222999999999999</v>
      </c>
      <c r="CQ36" s="2489">
        <v>31.974693871171336</v>
      </c>
      <c r="CR36" s="2489">
        <v>31.276929178596401</v>
      </c>
      <c r="CS36" s="2489">
        <v>31.332206832108845</v>
      </c>
      <c r="CT36" s="2489">
        <v>30.540046698956036</v>
      </c>
      <c r="CU36" s="2489">
        <v>30.823271424995873</v>
      </c>
      <c r="CV36" s="2489">
        <v>31.312730052763982</v>
      </c>
      <c r="CW36" s="2489">
        <v>31.000889127687969</v>
      </c>
      <c r="CX36" s="2489">
        <v>30.356005798710314</v>
      </c>
      <c r="CY36" s="2489">
        <v>29.754140958782465</v>
      </c>
      <c r="CZ36" s="2489">
        <v>28.813938185803568</v>
      </c>
      <c r="DA36" s="2489">
        <v>28.525412085357139</v>
      </c>
      <c r="DB36" s="2489">
        <v>28.716500147500007</v>
      </c>
      <c r="DC36" s="2489">
        <v>28.880026576496601</v>
      </c>
      <c r="DD36" s="2489">
        <v>28.72296722483766</v>
      </c>
      <c r="DE36" s="2489">
        <v>29.207330984829934</v>
      </c>
      <c r="DF36" s="2489">
        <v>29.596017442714281</v>
      </c>
      <c r="DG36" s="2489">
        <v>29.678089665821425</v>
      </c>
      <c r="DH36" s="2489">
        <v>29.934107816980518</v>
      </c>
      <c r="DI36" s="2489">
        <v>30.005328842285714</v>
      </c>
      <c r="DJ36" s="2489">
        <v>29.693063409722228</v>
      </c>
      <c r="DK36" s="2489">
        <v>29.680604799999998</v>
      </c>
      <c r="DL36" s="2489">
        <v>29.716380008707482</v>
      </c>
      <c r="DM36" s="2489">
        <v>30.05609916402598</v>
      </c>
      <c r="DN36" s="2489">
        <v>30.932721267006801</v>
      </c>
      <c r="DO36" s="2489">
        <v>31.653170896103902</v>
      </c>
      <c r="DP36" s="2489">
        <v>31.337346506802717</v>
      </c>
      <c r="DQ36" s="2489">
        <v>30.914747535714284</v>
      </c>
      <c r="DR36" s="2489">
        <v>31.306451739130431</v>
      </c>
      <c r="DS36" s="2489">
        <v>31.525007057142865</v>
      </c>
      <c r="DT36" s="2489">
        <v>31.171176964285706</v>
      </c>
      <c r="DU36" s="2489">
        <v>30.936054421768702</v>
      </c>
      <c r="DV36" s="2489">
        <v>30.917318646616536</v>
      </c>
      <c r="DW36" s="2489">
        <v>31.334401928571424</v>
      </c>
      <c r="DX36" s="2554">
        <v>31.392931992857143</v>
      </c>
      <c r="DY36" s="2554">
        <v>31.444321055194813</v>
      </c>
      <c r="DZ36" s="2554">
        <v>31.292577892857146</v>
      </c>
      <c r="EA36" s="2554">
        <v>31.438483183229817</v>
      </c>
      <c r="EB36" s="2554">
        <v>31.234327261904767</v>
      </c>
      <c r="EC36" s="2554">
        <v>31.235243946428568</v>
      </c>
      <c r="ED36" s="2554">
        <v>30.829681149068325</v>
      </c>
      <c r="EE36" s="2554">
        <v>30.944521853571427</v>
      </c>
      <c r="EF36" s="2554">
        <v>30.715731275510194</v>
      </c>
      <c r="EG36" s="2554">
        <v>30.719229398496239</v>
      </c>
      <c r="EH36" s="2554">
        <v>30.698071650793647</v>
      </c>
      <c r="EI36" s="2554">
        <v>30.554526879699246</v>
      </c>
      <c r="EJ36" s="2554">
        <v>30.573887902597402</v>
      </c>
      <c r="EK36" s="2554">
        <v>30.613980391156463</v>
      </c>
      <c r="EL36" s="2554">
        <v>30.745648513605445</v>
      </c>
      <c r="EM36" s="2555">
        <v>30.763624523181818</v>
      </c>
    </row>
    <row r="37" spans="1:143" s="2445" customFormat="1" ht="21" customHeight="1">
      <c r="A37" s="2544" t="s">
        <v>3645</v>
      </c>
      <c r="B37" s="2545">
        <v>43.728999999999999</v>
      </c>
      <c r="C37" s="2545">
        <v>43.457000000000001</v>
      </c>
      <c r="D37" s="2552">
        <v>44.411136363636359</v>
      </c>
      <c r="E37" s="2552">
        <v>44.873800000000003</v>
      </c>
      <c r="F37" s="2552">
        <v>46.786782608695653</v>
      </c>
      <c r="G37" s="2552">
        <v>46.077190476190474</v>
      </c>
      <c r="H37" s="2552">
        <v>46.498899999999992</v>
      </c>
      <c r="I37" s="2552">
        <v>46.552999999999997</v>
      </c>
      <c r="J37" s="2552">
        <v>46.753</v>
      </c>
      <c r="K37" s="2552">
        <v>46.969099999999997</v>
      </c>
      <c r="L37" s="2552">
        <v>46.94</v>
      </c>
      <c r="M37" s="2552">
        <v>45.247999999999998</v>
      </c>
      <c r="N37" s="2552">
        <v>44.021799999999999</v>
      </c>
      <c r="O37" s="2552">
        <v>43.539000000000001</v>
      </c>
      <c r="P37" s="2552">
        <v>45.064999999999998</v>
      </c>
      <c r="Q37" s="2552">
        <v>47.393999999999998</v>
      </c>
      <c r="R37" s="2552">
        <v>48.311999999999998</v>
      </c>
      <c r="S37" s="2552">
        <v>46.908999999999999</v>
      </c>
      <c r="T37" s="2552">
        <v>47.237000000000002</v>
      </c>
      <c r="U37" s="2552">
        <v>48.387</v>
      </c>
      <c r="V37" s="2552">
        <v>48.26</v>
      </c>
      <c r="W37" s="2552">
        <v>47.637999999999998</v>
      </c>
      <c r="X37" s="2553">
        <v>48.09</v>
      </c>
      <c r="Y37" s="2489">
        <v>48.585000000000001</v>
      </c>
      <c r="Z37" s="2494">
        <v>48.39</v>
      </c>
      <c r="AA37" s="2489">
        <v>49.530999999999999</v>
      </c>
      <c r="AB37" s="2494">
        <v>50.45</v>
      </c>
      <c r="AC37" s="2489">
        <v>52.070999999999998</v>
      </c>
      <c r="AD37" s="2494">
        <v>52.654000000000003</v>
      </c>
      <c r="AE37" s="2489">
        <v>52.191000000000003</v>
      </c>
      <c r="AF37" s="2494">
        <v>51.664999999999999</v>
      </c>
      <c r="AG37" s="2489">
        <v>52.084000000000003</v>
      </c>
      <c r="AH37" s="2494">
        <v>53.478999999999999</v>
      </c>
      <c r="AI37" s="2489">
        <v>55.128999999999998</v>
      </c>
      <c r="AJ37" s="2494">
        <v>53.886000000000003</v>
      </c>
      <c r="AK37" s="2493">
        <v>55.552</v>
      </c>
      <c r="AL37" s="2493">
        <v>55.546999999999997</v>
      </c>
      <c r="AM37" s="2489">
        <v>54.582000000000001</v>
      </c>
      <c r="AN37" s="2493">
        <v>53.764400000000002</v>
      </c>
      <c r="AO37" s="2489">
        <v>52.118899999999996</v>
      </c>
      <c r="AP37" s="2494">
        <v>53.663699999999999</v>
      </c>
      <c r="AQ37" s="2489">
        <v>54.507399999999997</v>
      </c>
      <c r="AR37" s="2494">
        <v>53.908099999999997</v>
      </c>
      <c r="AS37" s="2493">
        <v>53.1374</v>
      </c>
      <c r="AT37" s="2493">
        <v>53.831800000000001</v>
      </c>
      <c r="AU37" s="2493">
        <v>54.496600000000001</v>
      </c>
      <c r="AV37" s="2489">
        <v>54.075000000000003</v>
      </c>
      <c r="AW37" s="2489">
        <v>54.119</v>
      </c>
      <c r="AX37" s="2494">
        <v>54.866999999999997</v>
      </c>
      <c r="AY37" s="2493">
        <v>58.089300000000001</v>
      </c>
      <c r="AZ37" s="2489">
        <v>57.344499999999996</v>
      </c>
      <c r="BA37" s="2494">
        <v>57.874600000000001</v>
      </c>
      <c r="BB37" s="2493">
        <v>61.101599999999998</v>
      </c>
      <c r="BC37" s="2493">
        <v>62.146799999999999</v>
      </c>
      <c r="BD37" s="2489">
        <v>62.403399999999998</v>
      </c>
      <c r="BE37" s="2494">
        <v>64.438999999999993</v>
      </c>
      <c r="BF37" s="2493">
        <v>66.757000000000005</v>
      </c>
      <c r="BG37" s="2489">
        <v>66.881399999999999</v>
      </c>
      <c r="BH37" s="2494">
        <v>66.0886</v>
      </c>
      <c r="BI37" s="2493">
        <v>64.609800000000007</v>
      </c>
      <c r="BJ37" s="2493">
        <v>64.9114</v>
      </c>
      <c r="BK37" s="2493">
        <v>63.135199999999998</v>
      </c>
      <c r="BL37" s="2493">
        <v>63.54</v>
      </c>
      <c r="BM37" s="2493">
        <v>64.853700000000003</v>
      </c>
      <c r="BN37" s="2489">
        <v>63.315199999999997</v>
      </c>
      <c r="BO37" s="2489">
        <v>63.431899999999999</v>
      </c>
      <c r="BP37" s="2489">
        <v>63.187199999999997</v>
      </c>
      <c r="BQ37" s="2489">
        <v>63.508000000000003</v>
      </c>
      <c r="BR37" s="2489">
        <v>60.499299999999998</v>
      </c>
      <c r="BS37" s="2489">
        <v>57.462400000000002</v>
      </c>
      <c r="BT37" s="2489">
        <v>56.447699999999998</v>
      </c>
      <c r="BU37" s="2489">
        <v>54.580100000000002</v>
      </c>
      <c r="BV37" s="2489">
        <v>52.476599999999998</v>
      </c>
      <c r="BW37" s="2493">
        <v>54.421500000000002</v>
      </c>
      <c r="BX37" s="2493">
        <v>54.688000000000002</v>
      </c>
      <c r="BY37" s="2493">
        <v>54.360100000000003</v>
      </c>
      <c r="BZ37" s="2489">
        <v>53.308599999999998</v>
      </c>
      <c r="CA37" s="2489">
        <v>53.242800000000003</v>
      </c>
      <c r="CB37" s="2489">
        <v>52.551699999999997</v>
      </c>
      <c r="CC37" s="2489">
        <v>50.118400000000001</v>
      </c>
      <c r="CD37" s="2489">
        <v>48.8065</v>
      </c>
      <c r="CE37" s="2489">
        <v>47.9435</v>
      </c>
      <c r="CF37" s="2489">
        <v>48.941099999999999</v>
      </c>
      <c r="CG37" s="2489">
        <v>49.177199999999999</v>
      </c>
      <c r="CH37" s="2489">
        <v>50.3904</v>
      </c>
      <c r="CI37" s="2489">
        <v>51.997425000000007</v>
      </c>
      <c r="CJ37" s="2489">
        <v>54.15423636363635</v>
      </c>
      <c r="CK37" s="2489">
        <v>53.77383913043478</v>
      </c>
      <c r="CL37" s="2489">
        <v>54.015855000000002</v>
      </c>
      <c r="CM37" s="2489">
        <v>52.218390476190471</v>
      </c>
      <c r="CN37" s="2489">
        <v>50.61692272727273</v>
      </c>
      <c r="CO37" s="2489">
        <v>51.228165000000004</v>
      </c>
      <c r="CP37" s="2489">
        <v>48.692999999999998</v>
      </c>
      <c r="CQ37" s="2489">
        <v>48.806878729562932</v>
      </c>
      <c r="CR37" s="2489">
        <v>48.958594615396649</v>
      </c>
      <c r="CS37" s="2489">
        <v>48.77421588518299</v>
      </c>
      <c r="CT37" s="2489">
        <v>48.390693699980176</v>
      </c>
      <c r="CU37" s="2489">
        <v>49.170999878195829</v>
      </c>
      <c r="CV37" s="2489">
        <v>48.849220701302791</v>
      </c>
      <c r="CW37" s="2489">
        <v>48.859723931757514</v>
      </c>
      <c r="CX37" s="2489">
        <v>48.967660895773207</v>
      </c>
      <c r="CY37" s="2489">
        <v>48.04873846943795</v>
      </c>
      <c r="CZ37" s="2489">
        <v>47.140436357137055</v>
      </c>
      <c r="DA37" s="2489">
        <v>46.644883418231572</v>
      </c>
      <c r="DB37" s="2489">
        <v>46.601999999999997</v>
      </c>
      <c r="DC37" s="2489">
        <v>46.606915109975475</v>
      </c>
      <c r="DD37" s="2489">
        <v>47.038349551055369</v>
      </c>
      <c r="DE37" s="2489">
        <v>46.102613001097964</v>
      </c>
      <c r="DF37" s="2489">
        <v>46.540730881416351</v>
      </c>
      <c r="DG37" s="2489">
        <v>46.851776451724426</v>
      </c>
      <c r="DH37" s="2489">
        <v>46.65938320057856</v>
      </c>
      <c r="DI37" s="2489">
        <v>46.506041449670001</v>
      </c>
      <c r="DJ37" s="2489">
        <v>46.882226647117442</v>
      </c>
      <c r="DK37" s="2489">
        <v>46.976751921753575</v>
      </c>
      <c r="DL37" s="2489">
        <v>47.515788821065975</v>
      </c>
      <c r="DM37" s="2489">
        <v>47.847977443803892</v>
      </c>
      <c r="DN37" s="2489">
        <v>48.074325805291835</v>
      </c>
      <c r="DO37" s="2489">
        <v>49.318251485604875</v>
      </c>
      <c r="DP37" s="2489">
        <v>49.198320199061222</v>
      </c>
      <c r="DQ37" s="2489">
        <v>49.769450572677449</v>
      </c>
      <c r="DR37" s="2489">
        <v>50.296109249531675</v>
      </c>
      <c r="DS37" s="2489">
        <v>50.357271021734284</v>
      </c>
      <c r="DT37" s="2489">
        <v>50.296383674850873</v>
      </c>
      <c r="DU37" s="2489">
        <v>49.329138781198374</v>
      </c>
      <c r="DV37" s="2489">
        <v>47.838994520413159</v>
      </c>
      <c r="DW37" s="2489">
        <v>47.28084500143077</v>
      </c>
      <c r="DX37" s="2554">
        <v>48.031743889321731</v>
      </c>
      <c r="DY37" s="2554">
        <v>48.101600739466932</v>
      </c>
      <c r="DZ37" s="2554">
        <v>48.511040084653153</v>
      </c>
      <c r="EA37" s="2554">
        <v>47.741576837549445</v>
      </c>
      <c r="EB37" s="2554">
        <v>48.32930820432172</v>
      </c>
      <c r="EC37" s="2554">
        <v>49.510648892855528</v>
      </c>
      <c r="ED37" s="2554">
        <v>49.53463940601354</v>
      </c>
      <c r="EE37" s="2554">
        <v>49.695637320513782</v>
      </c>
      <c r="EF37" s="2554">
        <v>50.201156482045903</v>
      </c>
      <c r="EG37" s="2554">
        <v>50.494718162538248</v>
      </c>
      <c r="EH37" s="2554">
        <v>50.738415048376332</v>
      </c>
      <c r="EI37" s="2554">
        <v>50.655478818344179</v>
      </c>
      <c r="EJ37" s="2554">
        <v>51.046950656861092</v>
      </c>
      <c r="EK37" s="2554">
        <v>51.441731019201356</v>
      </c>
      <c r="EL37" s="2554">
        <v>51.831212040949616</v>
      </c>
      <c r="EM37" s="2555">
        <v>52.437318183954424</v>
      </c>
    </row>
    <row r="38" spans="1:143" s="2445" customFormat="1" ht="21" customHeight="1">
      <c r="A38" s="2544" t="s">
        <v>3029</v>
      </c>
      <c r="B38" s="2545">
        <v>26.988</v>
      </c>
      <c r="C38" s="2545">
        <v>26.56</v>
      </c>
      <c r="D38" s="2552">
        <v>27.893154545454539</v>
      </c>
      <c r="E38" s="2553">
        <v>28.911529999999992</v>
      </c>
      <c r="F38" s="2552">
        <v>29.871547826086953</v>
      </c>
      <c r="G38" s="2552">
        <v>29.293201428571429</v>
      </c>
      <c r="H38" s="2552">
        <v>29.332744999999999</v>
      </c>
      <c r="I38" s="2552">
        <v>29.332999999999998</v>
      </c>
      <c r="J38" s="2552">
        <v>29.795999999999999</v>
      </c>
      <c r="K38" s="2552">
        <v>30.186250000000001</v>
      </c>
      <c r="L38" s="2552">
        <v>30.849</v>
      </c>
      <c r="M38" s="2552">
        <v>30.256</v>
      </c>
      <c r="N38" s="2552">
        <v>30.021699999999999</v>
      </c>
      <c r="O38" s="2552">
        <v>30.023</v>
      </c>
      <c r="P38" s="2552">
        <v>32.133000000000003</v>
      </c>
      <c r="Q38" s="2552">
        <v>33.326000000000001</v>
      </c>
      <c r="R38" s="2552">
        <v>33.813000000000002</v>
      </c>
      <c r="S38" s="2552">
        <v>32.808999999999997</v>
      </c>
      <c r="T38" s="2552">
        <v>32.93</v>
      </c>
      <c r="U38" s="2552">
        <v>33.767000000000003</v>
      </c>
      <c r="V38" s="2552">
        <v>33.417999999999999</v>
      </c>
      <c r="W38" s="2552">
        <v>33.418999999999997</v>
      </c>
      <c r="X38" s="2553">
        <v>33.226999999999997</v>
      </c>
      <c r="Y38" s="2489">
        <v>32.749000000000002</v>
      </c>
      <c r="Z38" s="2494">
        <v>32.326000000000001</v>
      </c>
      <c r="AA38" s="2489">
        <v>32.841000000000001</v>
      </c>
      <c r="AB38" s="2494">
        <v>33.851999999999997</v>
      </c>
      <c r="AC38" s="2489">
        <v>34.515999999999998</v>
      </c>
      <c r="AD38" s="2494">
        <v>35.011000000000003</v>
      </c>
      <c r="AE38" s="2489">
        <v>34.917999999999999</v>
      </c>
      <c r="AF38" s="2494">
        <v>35.198999999999998</v>
      </c>
      <c r="AG38" s="2489">
        <v>36.01</v>
      </c>
      <c r="AH38" s="2494">
        <v>37.374000000000002</v>
      </c>
      <c r="AI38" s="2489">
        <v>38.311</v>
      </c>
      <c r="AJ38" s="2494">
        <v>37.639000000000003</v>
      </c>
      <c r="AK38" s="2493">
        <v>38.488</v>
      </c>
      <c r="AL38" s="2493">
        <v>37.937100000000001</v>
      </c>
      <c r="AM38" s="2489">
        <v>37.3324</v>
      </c>
      <c r="AN38" s="2493">
        <v>35.9617</v>
      </c>
      <c r="AO38" s="2489">
        <v>35.831400000000002</v>
      </c>
      <c r="AP38" s="2494">
        <v>36.8018</v>
      </c>
      <c r="AQ38" s="2489">
        <v>36.947200000000002</v>
      </c>
      <c r="AR38" s="2494">
        <v>36.759</v>
      </c>
      <c r="AS38" s="2493">
        <v>36.128300000000003</v>
      </c>
      <c r="AT38" s="2493">
        <v>36.570300000000003</v>
      </c>
      <c r="AU38" s="2493">
        <v>37.427500000000002</v>
      </c>
      <c r="AV38" s="2489">
        <v>36.978200000000001</v>
      </c>
      <c r="AW38" s="2489">
        <v>37.3033</v>
      </c>
      <c r="AX38" s="2494">
        <v>38.146900000000002</v>
      </c>
      <c r="AY38" s="2493">
        <v>39.7316</v>
      </c>
      <c r="AZ38" s="2489">
        <v>39.474299999999999</v>
      </c>
      <c r="BA38" s="2494">
        <v>40.032299999999999</v>
      </c>
      <c r="BB38" s="2493">
        <v>41.585099999999997</v>
      </c>
      <c r="BC38" s="2493">
        <v>42.183900000000001</v>
      </c>
      <c r="BD38" s="2489">
        <v>42.297400000000003</v>
      </c>
      <c r="BE38" s="2494">
        <v>43.722000000000001</v>
      </c>
      <c r="BF38" s="2493">
        <v>45.226199999999999</v>
      </c>
      <c r="BG38" s="2489">
        <v>44.5914</v>
      </c>
      <c r="BH38" s="2494">
        <v>44.027700000000003</v>
      </c>
      <c r="BI38" s="2493">
        <v>43.876100000000001</v>
      </c>
      <c r="BJ38" s="2493">
        <v>44.061399999999999</v>
      </c>
      <c r="BK38" s="2493">
        <v>42.864899999999999</v>
      </c>
      <c r="BL38" s="2493">
        <v>42.908000000000001</v>
      </c>
      <c r="BM38" s="2493">
        <v>43.735300000000002</v>
      </c>
      <c r="BN38" s="2489">
        <v>42.918399999999998</v>
      </c>
      <c r="BO38" s="2489">
        <v>43.683599999999998</v>
      </c>
      <c r="BP38" s="2489">
        <v>44.004899999999999</v>
      </c>
      <c r="BQ38" s="2489">
        <v>45.140999999999998</v>
      </c>
      <c r="BR38" s="2489">
        <v>43.5959</v>
      </c>
      <c r="BS38" s="2489">
        <v>42.938000000000002</v>
      </c>
      <c r="BT38" s="2489">
        <v>42.346400000000003</v>
      </c>
      <c r="BU38" s="2489">
        <v>42.311100000000003</v>
      </c>
      <c r="BV38" s="2489">
        <v>41.720599999999997</v>
      </c>
      <c r="BW38" s="2493">
        <v>43.08</v>
      </c>
      <c r="BX38" s="2493">
        <v>43.280200000000001</v>
      </c>
      <c r="BY38" s="2493">
        <v>43.126800000000003</v>
      </c>
      <c r="BZ38" s="2489">
        <v>42.257300000000001</v>
      </c>
      <c r="CA38" s="2489">
        <v>42.547600000000003</v>
      </c>
      <c r="CB38" s="2489">
        <v>41.288400000000003</v>
      </c>
      <c r="CC38" s="2489">
        <v>41.592799999999997</v>
      </c>
      <c r="CD38" s="2489">
        <v>44.098999999999997</v>
      </c>
      <c r="CE38" s="2489">
        <v>43.933900000000001</v>
      </c>
      <c r="CF38" s="2489">
        <v>43.467500000000001</v>
      </c>
      <c r="CG38" s="2489">
        <v>45.121200000000002</v>
      </c>
      <c r="CH38" s="2489">
        <v>45.264800000000001</v>
      </c>
      <c r="CI38" s="2489">
        <v>46.021804999999993</v>
      </c>
      <c r="CJ38" s="2489">
        <v>46.389254545454556</v>
      </c>
      <c r="CK38" s="2489">
        <v>46.219386956521745</v>
      </c>
      <c r="CL38" s="2489">
        <v>46.508844999999994</v>
      </c>
      <c r="CM38" s="2489">
        <v>46.451747619047616</v>
      </c>
      <c r="CN38" s="2489">
        <v>46.273659090909085</v>
      </c>
      <c r="CO38" s="2489">
        <v>45.969035000000005</v>
      </c>
      <c r="CP38" s="2489">
        <v>41.761000000000003</v>
      </c>
      <c r="CQ38" s="2489">
        <v>40.788937688107772</v>
      </c>
      <c r="CR38" s="2489">
        <v>40.353235643284414</v>
      </c>
      <c r="CS38" s="2489">
        <v>40.898157033266315</v>
      </c>
      <c r="CT38" s="2489">
        <v>42.381500572960199</v>
      </c>
      <c r="CU38" s="2489">
        <v>42.029289971006563</v>
      </c>
      <c r="CV38" s="2489">
        <v>41.376235680734169</v>
      </c>
      <c r="CW38" s="2489">
        <v>41.382492427934586</v>
      </c>
      <c r="CX38" s="2489">
        <v>41.454518391591272</v>
      </c>
      <c r="CY38" s="2489">
        <v>41.653467054852328</v>
      </c>
      <c r="CZ38" s="2489">
        <v>41.62362382545107</v>
      </c>
      <c r="DA38" s="2489">
        <v>40.920233868964353</v>
      </c>
      <c r="DB38" s="2489">
        <v>41.322000000000003</v>
      </c>
      <c r="DC38" s="2489">
        <v>41.295400092087753</v>
      </c>
      <c r="DD38" s="2489">
        <v>41.190157325024842</v>
      </c>
      <c r="DE38" s="2489">
        <v>40.171026975144891</v>
      </c>
      <c r="DF38" s="2489">
        <v>40.513264656413895</v>
      </c>
      <c r="DG38" s="2489">
        <v>40.215295007276538</v>
      </c>
      <c r="DH38" s="2489">
        <v>39.430396342392854</v>
      </c>
      <c r="DI38" s="2489">
        <v>38.731369771281429</v>
      </c>
      <c r="DJ38" s="2489">
        <v>39.324573475240669</v>
      </c>
      <c r="DK38" s="2489">
        <v>39.262034004392312</v>
      </c>
      <c r="DL38" s="2489">
        <v>39.130394517650693</v>
      </c>
      <c r="DM38" s="2489">
        <v>38.469562545023344</v>
      </c>
      <c r="DN38" s="2489">
        <v>38.816736706118711</v>
      </c>
      <c r="DO38" s="2489">
        <v>38.953894707309182</v>
      </c>
      <c r="DP38" s="2489">
        <v>38.853427035586158</v>
      </c>
      <c r="DQ38" s="2489">
        <v>39.746504392379592</v>
      </c>
      <c r="DR38" s="2489">
        <v>40.567579824156667</v>
      </c>
      <c r="DS38" s="2489">
        <v>40.48995420486964</v>
      </c>
      <c r="DT38" s="2489">
        <v>40.874716756091793</v>
      </c>
      <c r="DU38" s="2489">
        <v>41.070415856300805</v>
      </c>
      <c r="DV38" s="2489">
        <v>41.243199117533813</v>
      </c>
      <c r="DW38" s="2489">
        <v>40.609226301103234</v>
      </c>
      <c r="DX38" s="2554">
        <v>40.88262855513814</v>
      </c>
      <c r="DY38" s="2554">
        <v>40.834681363313365</v>
      </c>
      <c r="DZ38" s="2554">
        <v>41.330157811438049</v>
      </c>
      <c r="EA38" s="2554">
        <v>41.13710754342079</v>
      </c>
      <c r="EB38" s="2554">
        <v>41.582836676494189</v>
      </c>
      <c r="EC38" s="2554">
        <v>41.693499965664742</v>
      </c>
      <c r="ED38" s="2554">
        <v>41.949048926622815</v>
      </c>
      <c r="EE38" s="2554">
        <v>41.637729421964714</v>
      </c>
      <c r="EF38" s="2554">
        <v>41.97991694485237</v>
      </c>
      <c r="EG38" s="2554">
        <v>41.755562255745602</v>
      </c>
      <c r="EH38" s="2554">
        <v>41.839638913033951</v>
      </c>
      <c r="EI38" s="2554">
        <v>42.136577356869346</v>
      </c>
      <c r="EJ38" s="2554">
        <v>42.108483090364707</v>
      </c>
      <c r="EK38" s="2554">
        <v>41.945176383325538</v>
      </c>
      <c r="EL38" s="2554">
        <v>41.703571540941233</v>
      </c>
      <c r="EM38" s="2555">
        <v>41.596919425794077</v>
      </c>
    </row>
    <row r="39" spans="1:143" s="2445" customFormat="1" ht="9" customHeight="1" thickBot="1">
      <c r="A39" s="2558"/>
      <c r="B39" s="2559"/>
      <c r="C39" s="2559"/>
      <c r="D39" s="2560"/>
      <c r="E39" s="2560"/>
      <c r="F39" s="2560"/>
      <c r="G39" s="2561"/>
      <c r="H39" s="2560"/>
      <c r="I39" s="2560"/>
      <c r="J39" s="2560"/>
      <c r="K39" s="2560"/>
      <c r="L39" s="2560"/>
      <c r="M39" s="2560"/>
      <c r="N39" s="2560"/>
      <c r="O39" s="2560"/>
      <c r="P39" s="2560"/>
      <c r="Q39" s="2560"/>
      <c r="R39" s="2560"/>
      <c r="S39" s="2560"/>
      <c r="T39" s="2560"/>
      <c r="U39" s="2560"/>
      <c r="V39" s="2560"/>
      <c r="W39" s="2560"/>
      <c r="X39" s="2562"/>
      <c r="Y39" s="2504"/>
      <c r="Z39" s="2506"/>
      <c r="AA39" s="2504"/>
      <c r="AB39" s="2506"/>
      <c r="AC39" s="2504"/>
      <c r="AD39" s="2506"/>
      <c r="AE39" s="2504"/>
      <c r="AF39" s="2506"/>
      <c r="AG39" s="2504"/>
      <c r="AH39" s="2506"/>
      <c r="AI39" s="2504"/>
      <c r="AJ39" s="2504"/>
      <c r="AK39" s="2505"/>
      <c r="AL39" s="2505"/>
      <c r="AM39" s="2504"/>
      <c r="AN39" s="2505"/>
      <c r="AO39" s="2504"/>
      <c r="AP39" s="2506"/>
      <c r="AQ39" s="2504"/>
      <c r="AR39" s="2506"/>
      <c r="AS39" s="2505"/>
      <c r="AT39" s="2505"/>
      <c r="AU39" s="2507"/>
      <c r="AV39" s="2508"/>
      <c r="AW39" s="2508"/>
      <c r="AX39" s="2510"/>
      <c r="AY39" s="2507"/>
      <c r="AZ39" s="2508"/>
      <c r="BA39" s="2510"/>
      <c r="BB39" s="2507"/>
      <c r="BC39" s="2507"/>
      <c r="BD39" s="2508"/>
      <c r="BE39" s="2510"/>
      <c r="BF39" s="2507"/>
      <c r="BG39" s="2508"/>
      <c r="BH39" s="2510"/>
      <c r="BI39" s="2563"/>
      <c r="BJ39" s="2507"/>
      <c r="BK39" s="2507"/>
      <c r="BL39" s="2507"/>
      <c r="BM39" s="2505"/>
      <c r="BN39" s="2504"/>
      <c r="BO39" s="2504"/>
      <c r="BP39" s="2504"/>
      <c r="BQ39" s="2504"/>
      <c r="BR39" s="2504"/>
      <c r="BS39" s="2504"/>
      <c r="BT39" s="2504"/>
      <c r="BU39" s="2504"/>
      <c r="BV39" s="2504"/>
      <c r="BW39" s="2505"/>
      <c r="BX39" s="2505"/>
      <c r="BY39" s="2505"/>
      <c r="BZ39" s="2504"/>
      <c r="CA39" s="2504"/>
      <c r="CB39" s="2504"/>
      <c r="CC39" s="2504"/>
      <c r="CD39" s="2504"/>
      <c r="CE39" s="2504"/>
      <c r="CF39" s="2504"/>
      <c r="CG39" s="2504"/>
      <c r="CH39" s="2504"/>
      <c r="CI39" s="2504"/>
      <c r="CJ39" s="2504"/>
      <c r="CK39" s="2504"/>
      <c r="CL39" s="2504"/>
      <c r="CM39" s="2504"/>
      <c r="CN39" s="2504"/>
      <c r="CO39" s="2504"/>
      <c r="CP39" s="2504"/>
      <c r="CQ39" s="2504"/>
      <c r="CR39" s="2504"/>
      <c r="CS39" s="2504"/>
      <c r="CT39" s="2504"/>
      <c r="CU39" s="2504"/>
      <c r="CV39" s="2504"/>
      <c r="CW39" s="2504"/>
      <c r="CX39" s="2504"/>
      <c r="CY39" s="2504"/>
      <c r="CZ39" s="2504"/>
      <c r="DA39" s="2504"/>
      <c r="DB39" s="2504"/>
      <c r="DC39" s="2504"/>
      <c r="DD39" s="2504"/>
      <c r="DE39" s="2504"/>
      <c r="DF39" s="2504"/>
      <c r="DG39" s="2504"/>
      <c r="DH39" s="2504"/>
      <c r="DI39" s="2504"/>
      <c r="DJ39" s="2504"/>
      <c r="DK39" s="2504"/>
      <c r="DL39" s="2504"/>
      <c r="DM39" s="2504"/>
      <c r="DN39" s="2504"/>
      <c r="DO39" s="2504"/>
      <c r="DP39" s="2504"/>
      <c r="DQ39" s="2504"/>
      <c r="DR39" s="2504"/>
      <c r="DS39" s="2504"/>
      <c r="DT39" s="2504"/>
      <c r="DU39" s="2504"/>
      <c r="DV39" s="2504"/>
      <c r="DW39" s="2504"/>
      <c r="DX39" s="2504"/>
      <c r="DY39" s="2504"/>
      <c r="DZ39" s="2504"/>
      <c r="EA39" s="2504"/>
      <c r="EB39" s="2504"/>
      <c r="EC39" s="2504"/>
      <c r="ED39" s="2504"/>
      <c r="EE39" s="2504"/>
      <c r="EF39" s="2504"/>
      <c r="EG39" s="2504"/>
      <c r="EH39" s="2504"/>
      <c r="EI39" s="2504"/>
      <c r="EJ39" s="2504"/>
      <c r="EK39" s="2504"/>
      <c r="EL39" s="2504"/>
      <c r="EM39" s="2564"/>
    </row>
    <row r="40" spans="1:143" s="2445" customFormat="1" ht="24">
      <c r="A40" s="2512" t="s">
        <v>3646</v>
      </c>
      <c r="B40" s="2565"/>
      <c r="C40" s="2565"/>
      <c r="D40" s="2565"/>
      <c r="E40" s="2565"/>
      <c r="F40" s="2565"/>
      <c r="G40" s="2565"/>
      <c r="H40" s="2565"/>
      <c r="I40" s="2565"/>
      <c r="J40" s="2565"/>
      <c r="K40" s="2565"/>
      <c r="L40" s="2565"/>
      <c r="M40" s="2565"/>
      <c r="N40" s="2565"/>
      <c r="O40" s="2565"/>
      <c r="P40" s="2565"/>
      <c r="Q40" s="2565"/>
      <c r="R40" s="2565"/>
      <c r="S40" s="2565"/>
      <c r="T40" s="2565"/>
      <c r="U40" s="2565"/>
      <c r="V40" s="2565"/>
      <c r="W40" s="2565"/>
      <c r="X40" s="2565"/>
      <c r="Y40" s="2565"/>
      <c r="Z40" s="2565"/>
      <c r="AA40" s="2565"/>
      <c r="AB40" s="2565"/>
      <c r="AC40" s="2565"/>
      <c r="AD40" s="2565"/>
      <c r="AE40" s="2565"/>
      <c r="AF40" s="2565"/>
      <c r="AG40" s="2565"/>
      <c r="AH40" s="2565"/>
      <c r="AI40" s="2565"/>
      <c r="AJ40" s="2565"/>
      <c r="AK40" s="2565"/>
      <c r="AL40" s="2565"/>
      <c r="AM40" s="2566"/>
      <c r="AN40" s="2566"/>
      <c r="AO40" s="2566"/>
      <c r="AP40" s="2566"/>
      <c r="AQ40" s="2566"/>
      <c r="AR40" s="2566"/>
      <c r="AS40" s="2566"/>
      <c r="AT40" s="2566"/>
      <c r="AU40" s="2566"/>
      <c r="AV40" s="2566"/>
      <c r="AW40" s="2566"/>
      <c r="AX40" s="2566"/>
      <c r="AY40" s="2566"/>
      <c r="AZ40" s="2566"/>
      <c r="BA40" s="2566"/>
      <c r="BB40" s="2566"/>
      <c r="BC40" s="2566"/>
      <c r="BD40" s="2566"/>
      <c r="BE40" s="2566"/>
      <c r="BF40" s="2566"/>
      <c r="BG40" s="2566"/>
      <c r="BH40" s="2566"/>
      <c r="BI40" s="2566"/>
      <c r="BJ40" s="2566"/>
      <c r="BK40" s="2566"/>
      <c r="BL40" s="2566"/>
      <c r="BM40" s="2566"/>
      <c r="BN40" s="2566"/>
      <c r="BO40" s="2566"/>
      <c r="BP40" s="2566"/>
      <c r="BQ40" s="2566"/>
      <c r="BR40" s="2566"/>
      <c r="BS40" s="2566"/>
      <c r="BT40" s="2566"/>
      <c r="BU40" s="2566"/>
      <c r="BV40" s="2566"/>
      <c r="BW40" s="2566"/>
      <c r="BX40" s="2566"/>
      <c r="BY40" s="2566"/>
      <c r="BZ40" s="2566"/>
      <c r="CA40" s="2566"/>
      <c r="CB40" s="2566"/>
      <c r="CC40" s="2566"/>
      <c r="CD40" s="2566"/>
      <c r="CE40" s="2566"/>
      <c r="CF40" s="2566"/>
      <c r="CG40" s="2566"/>
      <c r="CH40" s="2566"/>
      <c r="CI40" s="2566"/>
      <c r="CJ40" s="2566"/>
      <c r="CK40" s="2566"/>
      <c r="CL40" s="2566"/>
      <c r="CM40" s="2566"/>
      <c r="CN40" s="2566"/>
      <c r="CO40" s="2566"/>
      <c r="CP40" s="2566"/>
      <c r="CQ40" s="2566"/>
      <c r="CR40" s="2566"/>
      <c r="CS40" s="2566"/>
      <c r="CT40" s="2566"/>
      <c r="CU40" s="2566"/>
      <c r="CV40" s="2566"/>
      <c r="CW40" s="2566"/>
      <c r="CX40" s="2566"/>
      <c r="CY40" s="2566"/>
      <c r="CZ40" s="2566"/>
      <c r="DA40" s="2566"/>
      <c r="DB40" s="2566"/>
      <c r="DC40" s="2566"/>
      <c r="DD40" s="2566"/>
      <c r="DE40" s="2566"/>
      <c r="DF40" s="2566"/>
      <c r="DG40" s="2566"/>
      <c r="DH40" s="2566"/>
      <c r="DI40" s="2566"/>
      <c r="DJ40" s="2566"/>
      <c r="DK40" s="2566"/>
      <c r="DL40" s="2566"/>
      <c r="DM40" s="2566"/>
      <c r="DN40" s="2566"/>
      <c r="DO40" s="2566"/>
      <c r="DP40" s="2566"/>
      <c r="DQ40" s="2566"/>
      <c r="DR40" s="2566"/>
      <c r="DS40" s="2566"/>
      <c r="DT40" s="2566"/>
      <c r="DU40" s="2566"/>
      <c r="DV40" s="2566"/>
      <c r="DW40" s="2566"/>
      <c r="DX40" s="2566"/>
      <c r="DY40" s="2566"/>
      <c r="DZ40" s="2566"/>
      <c r="EA40" s="2566"/>
      <c r="EB40" s="2566"/>
      <c r="EC40" s="2566"/>
      <c r="ED40" s="2566"/>
      <c r="EE40" s="2567"/>
      <c r="EF40" s="2567"/>
      <c r="EG40" s="2524"/>
      <c r="EH40" s="2524"/>
    </row>
    <row r="41" spans="1:143" s="2445" customFormat="1" ht="15.75">
      <c r="A41" s="2522" t="s">
        <v>680</v>
      </c>
      <c r="B41" s="2568"/>
      <c r="C41" s="2568"/>
      <c r="D41" s="2568"/>
      <c r="E41" s="2568"/>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8"/>
      <c r="AK41" s="2568"/>
      <c r="AL41" s="2568"/>
      <c r="AM41" s="2569"/>
      <c r="AN41" s="2569"/>
      <c r="AO41" s="2569"/>
      <c r="AP41" s="2569"/>
      <c r="AQ41" s="2569"/>
      <c r="AR41" s="2569"/>
      <c r="AS41" s="2569"/>
      <c r="AT41" s="2569"/>
      <c r="AU41" s="2569"/>
      <c r="AV41" s="2569"/>
      <c r="AW41" s="2569"/>
      <c r="AX41" s="2569"/>
      <c r="AY41" s="2569"/>
      <c r="AZ41" s="2569"/>
      <c r="BA41" s="2569"/>
      <c r="BB41" s="2569"/>
      <c r="BC41" s="2569"/>
      <c r="BD41" s="2569"/>
      <c r="BE41" s="2569"/>
      <c r="BF41" s="2569"/>
      <c r="BG41" s="2569"/>
      <c r="BH41" s="2569"/>
      <c r="BI41" s="2569"/>
      <c r="BJ41" s="2569"/>
      <c r="BK41" s="2569"/>
      <c r="BL41" s="2569"/>
      <c r="BM41" s="2569"/>
      <c r="BN41" s="2569"/>
      <c r="BO41" s="2569"/>
      <c r="BP41" s="2569"/>
      <c r="BQ41" s="2569"/>
      <c r="BR41" s="2569"/>
      <c r="BS41" s="2569"/>
      <c r="BT41" s="2569"/>
      <c r="BU41" s="2569"/>
      <c r="BV41" s="2569"/>
      <c r="BW41" s="2569"/>
      <c r="BX41" s="2569"/>
      <c r="BY41" s="2569"/>
      <c r="BZ41" s="2569"/>
      <c r="CA41" s="2569"/>
      <c r="CB41" s="2569"/>
      <c r="CC41" s="2569"/>
      <c r="CD41" s="2569"/>
      <c r="CE41" s="2569"/>
      <c r="CF41" s="2569"/>
      <c r="CG41" s="2569"/>
      <c r="CH41" s="2569"/>
      <c r="CI41" s="2569"/>
      <c r="CJ41" s="2569"/>
      <c r="CK41" s="2569"/>
      <c r="CL41" s="2569"/>
      <c r="CM41" s="2569"/>
      <c r="CN41" s="2569"/>
      <c r="CO41" s="2569"/>
      <c r="CP41" s="2569"/>
      <c r="CQ41" s="2569"/>
      <c r="CR41" s="2569"/>
      <c r="CS41" s="2569"/>
      <c r="CT41" s="2569"/>
      <c r="CU41" s="2569"/>
      <c r="CV41" s="2569"/>
      <c r="CW41" s="2569"/>
      <c r="CX41" s="2569"/>
      <c r="CY41" s="2569"/>
      <c r="CZ41" s="2569"/>
      <c r="DA41" s="2569"/>
      <c r="DB41" s="2569"/>
      <c r="DC41" s="2569"/>
      <c r="DD41" s="2569"/>
      <c r="DE41" s="2569"/>
      <c r="DF41" s="2569"/>
      <c r="DG41" s="2569"/>
      <c r="DH41" s="2569"/>
      <c r="DI41" s="2569"/>
      <c r="DJ41" s="2569"/>
      <c r="DK41" s="2569"/>
      <c r="DL41" s="2569"/>
      <c r="DM41" s="2569"/>
      <c r="DN41" s="2569"/>
      <c r="DO41" s="2569"/>
      <c r="DP41" s="2569"/>
      <c r="DQ41" s="2569"/>
      <c r="DR41" s="2569"/>
      <c r="DS41" s="2569"/>
      <c r="DT41" s="2569"/>
      <c r="DU41" s="2569"/>
      <c r="DV41" s="2569"/>
      <c r="DW41" s="2569"/>
      <c r="DX41" s="2569"/>
      <c r="DY41" s="2569"/>
      <c r="DZ41" s="2569"/>
      <c r="EA41" s="2570"/>
      <c r="EB41" s="2570"/>
      <c r="EC41" s="2570"/>
      <c r="ED41" s="2570"/>
      <c r="EE41" s="2524"/>
      <c r="EF41" s="2524"/>
      <c r="EG41" s="2524"/>
      <c r="EH41" s="2524"/>
    </row>
    <row r="42" spans="1:143" s="2445" customFormat="1">
      <c r="A42" s="2571"/>
      <c r="B42" s="2571"/>
      <c r="C42" s="2571"/>
      <c r="D42" s="2571"/>
      <c r="E42" s="2571"/>
      <c r="F42" s="2571"/>
      <c r="G42" s="2571"/>
      <c r="H42" s="2571"/>
      <c r="I42" s="2571"/>
      <c r="J42" s="2571"/>
      <c r="K42" s="2571"/>
      <c r="L42" s="2571"/>
      <c r="M42" s="2571"/>
      <c r="N42" s="2571"/>
      <c r="O42" s="2571"/>
      <c r="P42" s="2571"/>
      <c r="Q42" s="2571"/>
      <c r="R42" s="2571"/>
      <c r="S42" s="2571"/>
      <c r="T42" s="2571"/>
      <c r="U42" s="2571"/>
      <c r="V42" s="2571"/>
      <c r="W42" s="2571"/>
      <c r="X42" s="2571"/>
      <c r="Y42" s="2571"/>
      <c r="Z42" s="2571"/>
      <c r="AA42" s="2571"/>
      <c r="AB42" s="2571"/>
      <c r="AC42" s="2571"/>
      <c r="AD42" s="2571"/>
      <c r="AE42" s="2571"/>
      <c r="AF42" s="2571"/>
      <c r="AG42" s="2571"/>
      <c r="AH42" s="2571"/>
      <c r="AI42" s="2571"/>
      <c r="AJ42" s="2571"/>
      <c r="AK42" s="2571"/>
      <c r="AL42" s="2571"/>
      <c r="AM42" s="2571"/>
      <c r="AN42" s="2571"/>
      <c r="AO42" s="2571"/>
      <c r="AP42" s="2571"/>
      <c r="AQ42" s="2571"/>
      <c r="AR42" s="2571"/>
      <c r="AS42" s="2571"/>
      <c r="AT42" s="2571"/>
      <c r="AU42" s="2571"/>
      <c r="AV42" s="2571"/>
      <c r="AW42" s="2571"/>
      <c r="AX42" s="2571"/>
      <c r="AY42" s="2571"/>
      <c r="AZ42" s="2571"/>
      <c r="BA42" s="2571"/>
      <c r="BB42" s="2571"/>
      <c r="BC42" s="2571"/>
      <c r="BD42" s="2571"/>
      <c r="BE42" s="2571"/>
      <c r="BF42" s="2571"/>
      <c r="BG42" s="2571"/>
      <c r="BH42" s="2571"/>
      <c r="BI42" s="2571"/>
      <c r="BJ42" s="2571"/>
      <c r="BK42" s="2571"/>
      <c r="BL42" s="2571"/>
      <c r="BM42" s="2571"/>
      <c r="BN42" s="2571"/>
      <c r="BO42" s="2571"/>
      <c r="BP42" s="2571"/>
      <c r="BQ42" s="2571"/>
      <c r="BR42" s="2571"/>
      <c r="BS42" s="2571"/>
      <c r="BT42" s="2571"/>
      <c r="BU42" s="2571"/>
      <c r="BV42" s="2571"/>
      <c r="BW42" s="2571"/>
      <c r="BX42" s="2571"/>
      <c r="BY42" s="2571"/>
      <c r="BZ42" s="2571"/>
      <c r="CA42" s="2571"/>
      <c r="CB42" s="2571"/>
      <c r="CC42" s="2571"/>
      <c r="CD42" s="2571"/>
      <c r="CE42" s="2571"/>
      <c r="CF42" s="2571"/>
      <c r="CG42" s="2571"/>
      <c r="CH42" s="2571"/>
      <c r="CI42" s="2571"/>
      <c r="CJ42" s="2571"/>
      <c r="CK42" s="2571"/>
      <c r="CL42" s="2571"/>
      <c r="CM42" s="2571"/>
      <c r="CN42" s="2571"/>
      <c r="CO42" s="2571"/>
      <c r="CP42" s="2571"/>
      <c r="CQ42" s="2571"/>
      <c r="CR42" s="2571"/>
      <c r="CS42" s="2571"/>
      <c r="CT42" s="2571"/>
      <c r="CU42" s="2571"/>
      <c r="CV42" s="2571"/>
      <c r="CW42" s="2571"/>
      <c r="CX42" s="2571"/>
      <c r="CY42" s="2571"/>
      <c r="CZ42" s="2571"/>
      <c r="DA42" s="2571"/>
      <c r="DB42" s="2571"/>
      <c r="DC42" s="2571"/>
      <c r="DD42" s="2571"/>
      <c r="DE42" s="2571"/>
      <c r="DF42" s="2571"/>
      <c r="DG42" s="2571"/>
      <c r="DH42" s="2571"/>
      <c r="DI42" s="2571"/>
      <c r="DJ42" s="2571"/>
      <c r="DK42" s="2571"/>
      <c r="DL42" s="2571"/>
      <c r="DM42" s="2571"/>
      <c r="DN42" s="2571"/>
      <c r="DO42" s="2571"/>
      <c r="DP42" s="2571"/>
      <c r="DQ42" s="2571"/>
      <c r="DR42" s="2571"/>
      <c r="DS42" s="2571"/>
      <c r="DT42" s="2571"/>
      <c r="DU42" s="2571"/>
      <c r="DV42" s="2571"/>
      <c r="DW42" s="2571"/>
      <c r="DX42" s="2571"/>
      <c r="DY42" s="2571"/>
      <c r="DZ42" s="2571"/>
      <c r="EA42" s="2571"/>
      <c r="EB42" s="2571"/>
      <c r="EC42" s="2571"/>
      <c r="ED42" s="2571"/>
      <c r="EE42" s="2571"/>
      <c r="EF42" s="2571"/>
      <c r="EG42" s="2571"/>
    </row>
    <row r="43" spans="1:143" s="2445" customFormat="1"/>
    <row r="44" spans="1:143" s="2445" customFormat="1"/>
    <row r="45" spans="1:143" s="2445" customFormat="1"/>
    <row r="46" spans="1:143" s="2445" customFormat="1"/>
    <row r="47" spans="1:143" s="2445" customFormat="1"/>
    <row r="48" spans="1:143" s="2445" customFormat="1"/>
    <row r="49" s="2445" customFormat="1"/>
    <row r="50" s="2445" customFormat="1"/>
    <row r="51" s="2445" customFormat="1"/>
    <row r="52" s="2445" customFormat="1"/>
    <row r="53" s="2445" customFormat="1"/>
    <row r="54" s="2445" customFormat="1"/>
    <row r="55" s="2445" customFormat="1"/>
    <row r="56" s="2445" customFormat="1"/>
    <row r="57" s="2445" customFormat="1"/>
    <row r="58" s="2445" customFormat="1"/>
    <row r="59" s="2445" customFormat="1"/>
    <row r="60" s="2445" customFormat="1"/>
    <row r="61" s="2445" customFormat="1"/>
    <row r="62" s="2445" customFormat="1"/>
    <row r="63" s="2445" customFormat="1"/>
    <row r="64" s="2445" customFormat="1"/>
    <row r="65" s="2445" customFormat="1"/>
    <row r="66" s="2445" customFormat="1"/>
    <row r="67" s="2445" customFormat="1"/>
    <row r="68" s="2445" customFormat="1"/>
    <row r="69" s="2445" customFormat="1"/>
    <row r="70" s="2445" customFormat="1"/>
    <row r="71" s="2445" customFormat="1"/>
    <row r="72" s="2445" customFormat="1"/>
    <row r="73" s="2445" customFormat="1"/>
    <row r="74" s="2445" customFormat="1"/>
    <row r="75" s="2445" customFormat="1"/>
    <row r="76" s="2445" customFormat="1"/>
    <row r="77" s="2445" customFormat="1"/>
    <row r="78" s="2445" customFormat="1"/>
    <row r="79" s="2445" customFormat="1"/>
    <row r="80" s="2445" customFormat="1"/>
    <row r="81" s="2445" customFormat="1"/>
    <row r="82" s="2445" customFormat="1"/>
    <row r="83" s="2445" customFormat="1"/>
    <row r="84" s="2445" customFormat="1"/>
    <row r="85" s="2445" customFormat="1"/>
    <row r="86" s="2445" customFormat="1"/>
    <row r="87" s="2445" customFormat="1"/>
    <row r="88" s="2445" customFormat="1"/>
    <row r="89" s="2445" customFormat="1"/>
    <row r="90" s="2445" customFormat="1"/>
    <row r="91" s="2445" customFormat="1"/>
    <row r="92" s="2445" customFormat="1"/>
    <row r="93" s="2445" customFormat="1"/>
    <row r="94" s="2445" customFormat="1"/>
    <row r="95" s="2445" customFormat="1"/>
    <row r="96" s="2445" customFormat="1"/>
    <row r="97" s="2445" customFormat="1"/>
    <row r="98" s="2445" customFormat="1"/>
    <row r="99" s="2445" customFormat="1"/>
    <row r="100" s="2445" customFormat="1"/>
    <row r="101" s="2445" customFormat="1"/>
    <row r="102" s="2445" customFormat="1"/>
    <row r="103" s="2445" customFormat="1"/>
    <row r="104" s="2445" customFormat="1"/>
    <row r="105" s="2445" customFormat="1"/>
    <row r="106" s="2445" customFormat="1"/>
    <row r="107" s="2445" customFormat="1"/>
    <row r="108" s="2445" customFormat="1"/>
    <row r="109" s="2445" customFormat="1"/>
    <row r="110" s="2445" customFormat="1"/>
    <row r="111" s="2445" customFormat="1"/>
    <row r="112" s="2445" customFormat="1"/>
    <row r="113" s="2445" customFormat="1"/>
    <row r="114" s="2445" customFormat="1"/>
    <row r="115" s="2445" customFormat="1"/>
    <row r="116" s="2445" customFormat="1"/>
    <row r="117" s="2445" customFormat="1"/>
    <row r="118" s="2445" customFormat="1"/>
    <row r="119" s="2445" customFormat="1"/>
    <row r="120" s="2445" customFormat="1"/>
    <row r="121" s="2445" customFormat="1"/>
    <row r="122" s="2445" customFormat="1"/>
    <row r="123" s="2445" customFormat="1"/>
    <row r="124" s="2445" customFormat="1"/>
    <row r="125" s="2445" customFormat="1"/>
    <row r="126" s="2445" customFormat="1"/>
    <row r="127" s="2445" customFormat="1"/>
    <row r="128" s="2445" customFormat="1"/>
    <row r="129" s="2445" customFormat="1"/>
    <row r="130" s="2445" customFormat="1"/>
    <row r="131" s="2445" customFormat="1"/>
    <row r="132" s="2445" customFormat="1"/>
    <row r="133" s="2445" customFormat="1"/>
    <row r="134" s="2445" customFormat="1"/>
    <row r="135" s="2445" customFormat="1"/>
    <row r="136" s="2445" customFormat="1"/>
    <row r="137" s="2445" customFormat="1"/>
    <row r="138" s="2445" customFormat="1"/>
    <row r="139" s="2445" customFormat="1"/>
    <row r="140" s="2445" customFormat="1"/>
    <row r="141" s="2445" customFormat="1"/>
    <row r="142" s="2445" customFormat="1"/>
    <row r="143" s="2445" customFormat="1"/>
    <row r="144" s="2445" customFormat="1"/>
    <row r="145" s="2445" customFormat="1"/>
    <row r="146" s="2445" customFormat="1"/>
    <row r="147" s="2445" customFormat="1"/>
    <row r="148" s="2445" customFormat="1"/>
    <row r="149" s="2445" customFormat="1"/>
    <row r="150" s="2445" customFormat="1"/>
    <row r="151" s="2445" customFormat="1"/>
    <row r="152" s="2445" customFormat="1"/>
    <row r="153" s="2445" customFormat="1"/>
    <row r="154" s="2445" customFormat="1"/>
    <row r="155" s="2445" customFormat="1"/>
    <row r="156" s="2445" customFormat="1"/>
    <row r="157" s="2445" customFormat="1"/>
    <row r="158" s="2445" customFormat="1"/>
    <row r="159" s="2445" customFormat="1"/>
    <row r="160" s="2445" customFormat="1"/>
    <row r="161" s="2445" customFormat="1"/>
    <row r="162" s="2445" customFormat="1"/>
    <row r="163" s="2445" customFormat="1"/>
    <row r="164" s="2445" customFormat="1"/>
    <row r="165" s="2445" customFormat="1"/>
    <row r="166" s="2445" customFormat="1"/>
    <row r="167" s="2445" customFormat="1"/>
    <row r="168" s="2445" customFormat="1"/>
    <row r="169" s="2445" customFormat="1"/>
    <row r="170" s="2445" customFormat="1"/>
    <row r="171" s="2445" customFormat="1"/>
    <row r="172" s="2445" customFormat="1"/>
    <row r="173" s="2445" customFormat="1"/>
    <row r="174" s="2445" customFormat="1"/>
    <row r="175" s="2445" customFormat="1"/>
    <row r="176" s="2445" customFormat="1"/>
    <row r="177" s="2445" customFormat="1"/>
    <row r="178" s="2445" customFormat="1"/>
    <row r="179" s="2445" customFormat="1"/>
    <row r="180" s="2445" customFormat="1"/>
    <row r="181" s="2445" customFormat="1"/>
    <row r="182" s="2445" customFormat="1"/>
    <row r="183" s="2445" customFormat="1"/>
    <row r="184" s="2445" customFormat="1"/>
    <row r="185" s="2445" customFormat="1"/>
    <row r="186" s="2445" customFormat="1"/>
    <row r="187" s="2445" customFormat="1"/>
    <row r="188" s="2445" customFormat="1"/>
    <row r="189" s="2445" customFormat="1"/>
    <row r="190" s="2445" customFormat="1"/>
    <row r="191" s="2445" customFormat="1"/>
    <row r="192" s="2445" customFormat="1"/>
    <row r="193" s="2445" customFormat="1"/>
    <row r="194" s="2445" customFormat="1"/>
    <row r="195" s="2445" customFormat="1"/>
    <row r="196" s="2445" customFormat="1"/>
    <row r="197" s="2445" customFormat="1"/>
    <row r="198" s="2445" customFormat="1"/>
    <row r="199" s="2445" customFormat="1"/>
    <row r="200" s="2445" customFormat="1"/>
    <row r="201" s="2445" customFormat="1"/>
    <row r="202" s="2445" customFormat="1"/>
    <row r="203" s="2445" customFormat="1"/>
    <row r="204" s="2445" customFormat="1"/>
    <row r="205" s="2445" customFormat="1"/>
    <row r="206" s="2445" customFormat="1"/>
    <row r="207" s="2445" customFormat="1"/>
    <row r="208" s="2445" customFormat="1"/>
    <row r="209" s="2445" customFormat="1"/>
    <row r="210" s="2445" customFormat="1"/>
    <row r="211" s="2445" customFormat="1"/>
    <row r="212" s="2445" customFormat="1"/>
    <row r="213" s="2445" customFormat="1"/>
    <row r="214" s="2445" customFormat="1"/>
    <row r="215" s="2445" customFormat="1"/>
    <row r="216" s="2445" customFormat="1"/>
    <row r="217" s="2445" customFormat="1"/>
    <row r="218" s="2445" customFormat="1"/>
    <row r="219" s="2445" customFormat="1"/>
    <row r="220" s="2445" customFormat="1"/>
    <row r="221" s="2445" customFormat="1"/>
    <row r="222" s="2445" customFormat="1"/>
    <row r="223" s="2445" customFormat="1"/>
    <row r="224" s="2445" customFormat="1"/>
    <row r="225" s="2445" customFormat="1"/>
    <row r="226" s="2445" customFormat="1"/>
    <row r="227" s="2445" customFormat="1"/>
    <row r="228" s="2445" customFormat="1"/>
    <row r="229" s="2445" customFormat="1"/>
    <row r="230" s="2445" customFormat="1"/>
    <row r="231" s="2445" customFormat="1"/>
    <row r="232" s="2445" customFormat="1"/>
    <row r="233" s="2445" customFormat="1"/>
    <row r="234" s="2445" customFormat="1"/>
    <row r="235" s="2445" customFormat="1"/>
    <row r="236" s="2445" customFormat="1"/>
    <row r="237" s="2445" customFormat="1"/>
    <row r="238" s="2445" customFormat="1"/>
    <row r="239" s="2445" customFormat="1"/>
    <row r="240" s="2445" customFormat="1"/>
    <row r="241" s="2445" customFormat="1"/>
    <row r="242" s="2445" customFormat="1"/>
    <row r="243" s="2445" customFormat="1"/>
    <row r="244" s="2445" customFormat="1"/>
    <row r="245" s="2445" customFormat="1"/>
    <row r="246" s="2445" customFormat="1"/>
    <row r="247" s="2445" customFormat="1"/>
    <row r="248" s="2445" customFormat="1"/>
    <row r="249" s="2445" customFormat="1"/>
    <row r="250" s="2445" customFormat="1"/>
    <row r="251" s="2445" customFormat="1"/>
    <row r="252" s="2445" customFormat="1"/>
    <row r="253" s="2445" customFormat="1"/>
    <row r="254" s="2445" customFormat="1"/>
    <row r="255" s="2445" customFormat="1"/>
    <row r="256" s="2445" customFormat="1"/>
    <row r="257" s="2445" customFormat="1"/>
    <row r="258" s="2445" customFormat="1"/>
    <row r="259" s="2445" customFormat="1"/>
    <row r="260" s="2445" customFormat="1"/>
    <row r="261" s="2445" customFormat="1"/>
    <row r="262" s="2445" customFormat="1"/>
    <row r="263" s="2445" customFormat="1"/>
    <row r="264" s="2445" customFormat="1"/>
    <row r="265" s="2445" customFormat="1"/>
    <row r="266" s="2445" customFormat="1"/>
    <row r="267" s="2445" customFormat="1"/>
    <row r="268" s="2445" customFormat="1"/>
    <row r="269" s="2445" customFormat="1"/>
    <row r="270" s="2445" customFormat="1"/>
    <row r="271" s="2445" customFormat="1"/>
    <row r="272" s="2445" customFormat="1"/>
    <row r="273" spans="8:9" s="2445" customFormat="1"/>
    <row r="274" spans="8:9" s="2445" customFormat="1"/>
    <row r="275" spans="8:9" s="2445" customFormat="1"/>
    <row r="276" spans="8:9" s="2445" customFormat="1"/>
    <row r="277" spans="8:9" s="2445" customFormat="1"/>
    <row r="278" spans="8:9" s="2445" customFormat="1"/>
    <row r="279" spans="8:9" s="2445" customFormat="1"/>
    <row r="280" spans="8:9" s="2445" customFormat="1"/>
    <row r="281" spans="8:9" s="2445" customFormat="1"/>
    <row r="282" spans="8:9" s="2445" customFormat="1"/>
    <row r="283" spans="8:9" s="2445" customFormat="1"/>
    <row r="284" spans="8:9" s="2445" customFormat="1"/>
    <row r="285" spans="8:9" s="2445" customFormat="1"/>
    <row r="286" spans="8:9" s="2445" customFormat="1"/>
    <row r="287" spans="8:9" s="2445" customFormat="1"/>
    <row r="288" spans="8:9" s="2445" customFormat="1">
      <c r="H288" s="2446"/>
      <c r="I288" s="2446"/>
    </row>
    <row r="289" spans="8:9" s="2445" customFormat="1">
      <c r="H289" s="2446"/>
      <c r="I289" s="2446"/>
    </row>
    <row r="290" spans="8:9" s="2445" customFormat="1">
      <c r="H290" s="2446"/>
      <c r="I290" s="2446"/>
    </row>
  </sheetData>
  <printOptions horizontalCentered="1"/>
  <pageMargins left="0.196850393700787" right="0.196850393700787" top="1.4468503939999999" bottom="0.196850393700787" header="0" footer="0"/>
  <pageSetup paperSize="9" scale="7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activeCell="F11" sqref="F11"/>
      <selection pane="topRight" activeCell="F14" sqref="F14"/>
    </sheetView>
  </sheetViews>
  <sheetFormatPr defaultRowHeight="12.75"/>
  <cols>
    <col min="1" max="1" width="31.85546875" style="2575" customWidth="1"/>
    <col min="2" max="3" width="22.28515625" style="2575" bestFit="1" customWidth="1"/>
    <col min="4" max="4" width="22" style="2575" customWidth="1"/>
    <col min="5" max="5" width="10.5703125" style="2575" customWidth="1"/>
    <col min="6" max="6" width="9.5703125" style="2575" customWidth="1"/>
    <col min="7" max="10" width="9.140625" style="2575"/>
    <col min="11" max="11" width="13" style="2575" customWidth="1"/>
    <col min="12" max="256" width="9.140625" style="2575"/>
    <col min="257" max="257" width="31.85546875" style="2575" customWidth="1"/>
    <col min="258" max="259" width="22.28515625" style="2575" bestFit="1" customWidth="1"/>
    <col min="260" max="260" width="22" style="2575" customWidth="1"/>
    <col min="261" max="261" width="10.5703125" style="2575" customWidth="1"/>
    <col min="262" max="262" width="9.5703125" style="2575" customWidth="1"/>
    <col min="263" max="266" width="9.140625" style="2575"/>
    <col min="267" max="267" width="13" style="2575" customWidth="1"/>
    <col min="268" max="512" width="9.140625" style="2575"/>
    <col min="513" max="513" width="31.85546875" style="2575" customWidth="1"/>
    <col min="514" max="515" width="22.28515625" style="2575" bestFit="1" customWidth="1"/>
    <col min="516" max="516" width="22" style="2575" customWidth="1"/>
    <col min="517" max="517" width="10.5703125" style="2575" customWidth="1"/>
    <col min="518" max="518" width="9.5703125" style="2575" customWidth="1"/>
    <col min="519" max="522" width="9.140625" style="2575"/>
    <col min="523" max="523" width="13" style="2575" customWidth="1"/>
    <col min="524" max="768" width="9.140625" style="2575"/>
    <col min="769" max="769" width="31.85546875" style="2575" customWidth="1"/>
    <col min="770" max="771" width="22.28515625" style="2575" bestFit="1" customWidth="1"/>
    <col min="772" max="772" width="22" style="2575" customWidth="1"/>
    <col min="773" max="773" width="10.5703125" style="2575" customWidth="1"/>
    <col min="774" max="774" width="9.5703125" style="2575" customWidth="1"/>
    <col min="775" max="778" width="9.140625" style="2575"/>
    <col min="779" max="779" width="13" style="2575" customWidth="1"/>
    <col min="780" max="1024" width="9.140625" style="2575"/>
    <col min="1025" max="1025" width="31.85546875" style="2575" customWidth="1"/>
    <col min="1026" max="1027" width="22.28515625" style="2575" bestFit="1" customWidth="1"/>
    <col min="1028" max="1028" width="22" style="2575" customWidth="1"/>
    <col min="1029" max="1029" width="10.5703125" style="2575" customWidth="1"/>
    <col min="1030" max="1030" width="9.5703125" style="2575" customWidth="1"/>
    <col min="1031" max="1034" width="9.140625" style="2575"/>
    <col min="1035" max="1035" width="13" style="2575" customWidth="1"/>
    <col min="1036" max="1280" width="9.140625" style="2575"/>
    <col min="1281" max="1281" width="31.85546875" style="2575" customWidth="1"/>
    <col min="1282" max="1283" width="22.28515625" style="2575" bestFit="1" customWidth="1"/>
    <col min="1284" max="1284" width="22" style="2575" customWidth="1"/>
    <col min="1285" max="1285" width="10.5703125" style="2575" customWidth="1"/>
    <col min="1286" max="1286" width="9.5703125" style="2575" customWidth="1"/>
    <col min="1287" max="1290" width="9.140625" style="2575"/>
    <col min="1291" max="1291" width="13" style="2575" customWidth="1"/>
    <col min="1292" max="1536" width="9.140625" style="2575"/>
    <col min="1537" max="1537" width="31.85546875" style="2575" customWidth="1"/>
    <col min="1538" max="1539" width="22.28515625" style="2575" bestFit="1" customWidth="1"/>
    <col min="1540" max="1540" width="22" style="2575" customWidth="1"/>
    <col min="1541" max="1541" width="10.5703125" style="2575" customWidth="1"/>
    <col min="1542" max="1542" width="9.5703125" style="2575" customWidth="1"/>
    <col min="1543" max="1546" width="9.140625" style="2575"/>
    <col min="1547" max="1547" width="13" style="2575" customWidth="1"/>
    <col min="1548" max="1792" width="9.140625" style="2575"/>
    <col min="1793" max="1793" width="31.85546875" style="2575" customWidth="1"/>
    <col min="1794" max="1795" width="22.28515625" style="2575" bestFit="1" customWidth="1"/>
    <col min="1796" max="1796" width="22" style="2575" customWidth="1"/>
    <col min="1797" max="1797" width="10.5703125" style="2575" customWidth="1"/>
    <col min="1798" max="1798" width="9.5703125" style="2575" customWidth="1"/>
    <col min="1799" max="1802" width="9.140625" style="2575"/>
    <col min="1803" max="1803" width="13" style="2575" customWidth="1"/>
    <col min="1804" max="2048" width="9.140625" style="2575"/>
    <col min="2049" max="2049" width="31.85546875" style="2575" customWidth="1"/>
    <col min="2050" max="2051" width="22.28515625" style="2575" bestFit="1" customWidth="1"/>
    <col min="2052" max="2052" width="22" style="2575" customWidth="1"/>
    <col min="2053" max="2053" width="10.5703125" style="2575" customWidth="1"/>
    <col min="2054" max="2054" width="9.5703125" style="2575" customWidth="1"/>
    <col min="2055" max="2058" width="9.140625" style="2575"/>
    <col min="2059" max="2059" width="13" style="2575" customWidth="1"/>
    <col min="2060" max="2304" width="9.140625" style="2575"/>
    <col min="2305" max="2305" width="31.85546875" style="2575" customWidth="1"/>
    <col min="2306" max="2307" width="22.28515625" style="2575" bestFit="1" customWidth="1"/>
    <col min="2308" max="2308" width="22" style="2575" customWidth="1"/>
    <col min="2309" max="2309" width="10.5703125" style="2575" customWidth="1"/>
    <col min="2310" max="2310" width="9.5703125" style="2575" customWidth="1"/>
    <col min="2311" max="2314" width="9.140625" style="2575"/>
    <col min="2315" max="2315" width="13" style="2575" customWidth="1"/>
    <col min="2316" max="2560" width="9.140625" style="2575"/>
    <col min="2561" max="2561" width="31.85546875" style="2575" customWidth="1"/>
    <col min="2562" max="2563" width="22.28515625" style="2575" bestFit="1" customWidth="1"/>
    <col min="2564" max="2564" width="22" style="2575" customWidth="1"/>
    <col min="2565" max="2565" width="10.5703125" style="2575" customWidth="1"/>
    <col min="2566" max="2566" width="9.5703125" style="2575" customWidth="1"/>
    <col min="2567" max="2570" width="9.140625" style="2575"/>
    <col min="2571" max="2571" width="13" style="2575" customWidth="1"/>
    <col min="2572" max="2816" width="9.140625" style="2575"/>
    <col min="2817" max="2817" width="31.85546875" style="2575" customWidth="1"/>
    <col min="2818" max="2819" width="22.28515625" style="2575" bestFit="1" customWidth="1"/>
    <col min="2820" max="2820" width="22" style="2575" customWidth="1"/>
    <col min="2821" max="2821" width="10.5703125" style="2575" customWidth="1"/>
    <col min="2822" max="2822" width="9.5703125" style="2575" customWidth="1"/>
    <col min="2823" max="2826" width="9.140625" style="2575"/>
    <col min="2827" max="2827" width="13" style="2575" customWidth="1"/>
    <col min="2828" max="3072" width="9.140625" style="2575"/>
    <col min="3073" max="3073" width="31.85546875" style="2575" customWidth="1"/>
    <col min="3074" max="3075" width="22.28515625" style="2575" bestFit="1" customWidth="1"/>
    <col min="3076" max="3076" width="22" style="2575" customWidth="1"/>
    <col min="3077" max="3077" width="10.5703125" style="2575" customWidth="1"/>
    <col min="3078" max="3078" width="9.5703125" style="2575" customWidth="1"/>
    <col min="3079" max="3082" width="9.140625" style="2575"/>
    <col min="3083" max="3083" width="13" style="2575" customWidth="1"/>
    <col min="3084" max="3328" width="9.140625" style="2575"/>
    <col min="3329" max="3329" width="31.85546875" style="2575" customWidth="1"/>
    <col min="3330" max="3331" width="22.28515625" style="2575" bestFit="1" customWidth="1"/>
    <col min="3332" max="3332" width="22" style="2575" customWidth="1"/>
    <col min="3333" max="3333" width="10.5703125" style="2575" customWidth="1"/>
    <col min="3334" max="3334" width="9.5703125" style="2575" customWidth="1"/>
    <col min="3335" max="3338" width="9.140625" style="2575"/>
    <col min="3339" max="3339" width="13" style="2575" customWidth="1"/>
    <col min="3340" max="3584" width="9.140625" style="2575"/>
    <col min="3585" max="3585" width="31.85546875" style="2575" customWidth="1"/>
    <col min="3586" max="3587" width="22.28515625" style="2575" bestFit="1" customWidth="1"/>
    <col min="3588" max="3588" width="22" style="2575" customWidth="1"/>
    <col min="3589" max="3589" width="10.5703125" style="2575" customWidth="1"/>
    <col min="3590" max="3590" width="9.5703125" style="2575" customWidth="1"/>
    <col min="3591" max="3594" width="9.140625" style="2575"/>
    <col min="3595" max="3595" width="13" style="2575" customWidth="1"/>
    <col min="3596" max="3840" width="9.140625" style="2575"/>
    <col min="3841" max="3841" width="31.85546875" style="2575" customWidth="1"/>
    <col min="3842" max="3843" width="22.28515625" style="2575" bestFit="1" customWidth="1"/>
    <col min="3844" max="3844" width="22" style="2575" customWidth="1"/>
    <col min="3845" max="3845" width="10.5703125" style="2575" customWidth="1"/>
    <col min="3846" max="3846" width="9.5703125" style="2575" customWidth="1"/>
    <col min="3847" max="3850" width="9.140625" style="2575"/>
    <col min="3851" max="3851" width="13" style="2575" customWidth="1"/>
    <col min="3852" max="4096" width="9.140625" style="2575"/>
    <col min="4097" max="4097" width="31.85546875" style="2575" customWidth="1"/>
    <col min="4098" max="4099" width="22.28515625" style="2575" bestFit="1" customWidth="1"/>
    <col min="4100" max="4100" width="22" style="2575" customWidth="1"/>
    <col min="4101" max="4101" width="10.5703125" style="2575" customWidth="1"/>
    <col min="4102" max="4102" width="9.5703125" style="2575" customWidth="1"/>
    <col min="4103" max="4106" width="9.140625" style="2575"/>
    <col min="4107" max="4107" width="13" style="2575" customWidth="1"/>
    <col min="4108" max="4352" width="9.140625" style="2575"/>
    <col min="4353" max="4353" width="31.85546875" style="2575" customWidth="1"/>
    <col min="4354" max="4355" width="22.28515625" style="2575" bestFit="1" customWidth="1"/>
    <col min="4356" max="4356" width="22" style="2575" customWidth="1"/>
    <col min="4357" max="4357" width="10.5703125" style="2575" customWidth="1"/>
    <col min="4358" max="4358" width="9.5703125" style="2575" customWidth="1"/>
    <col min="4359" max="4362" width="9.140625" style="2575"/>
    <col min="4363" max="4363" width="13" style="2575" customWidth="1"/>
    <col min="4364" max="4608" width="9.140625" style="2575"/>
    <col min="4609" max="4609" width="31.85546875" style="2575" customWidth="1"/>
    <col min="4610" max="4611" width="22.28515625" style="2575" bestFit="1" customWidth="1"/>
    <col min="4612" max="4612" width="22" style="2575" customWidth="1"/>
    <col min="4613" max="4613" width="10.5703125" style="2575" customWidth="1"/>
    <col min="4614" max="4614" width="9.5703125" style="2575" customWidth="1"/>
    <col min="4615" max="4618" width="9.140625" style="2575"/>
    <col min="4619" max="4619" width="13" style="2575" customWidth="1"/>
    <col min="4620" max="4864" width="9.140625" style="2575"/>
    <col min="4865" max="4865" width="31.85546875" style="2575" customWidth="1"/>
    <col min="4866" max="4867" width="22.28515625" style="2575" bestFit="1" customWidth="1"/>
    <col min="4868" max="4868" width="22" style="2575" customWidth="1"/>
    <col min="4869" max="4869" width="10.5703125" style="2575" customWidth="1"/>
    <col min="4870" max="4870" width="9.5703125" style="2575" customWidth="1"/>
    <col min="4871" max="4874" width="9.140625" style="2575"/>
    <col min="4875" max="4875" width="13" style="2575" customWidth="1"/>
    <col min="4876" max="5120" width="9.140625" style="2575"/>
    <col min="5121" max="5121" width="31.85546875" style="2575" customWidth="1"/>
    <col min="5122" max="5123" width="22.28515625" style="2575" bestFit="1" customWidth="1"/>
    <col min="5124" max="5124" width="22" style="2575" customWidth="1"/>
    <col min="5125" max="5125" width="10.5703125" style="2575" customWidth="1"/>
    <col min="5126" max="5126" width="9.5703125" style="2575" customWidth="1"/>
    <col min="5127" max="5130" width="9.140625" style="2575"/>
    <col min="5131" max="5131" width="13" style="2575" customWidth="1"/>
    <col min="5132" max="5376" width="9.140625" style="2575"/>
    <col min="5377" max="5377" width="31.85546875" style="2575" customWidth="1"/>
    <col min="5378" max="5379" width="22.28515625" style="2575" bestFit="1" customWidth="1"/>
    <col min="5380" max="5380" width="22" style="2575" customWidth="1"/>
    <col min="5381" max="5381" width="10.5703125" style="2575" customWidth="1"/>
    <col min="5382" max="5382" width="9.5703125" style="2575" customWidth="1"/>
    <col min="5383" max="5386" width="9.140625" style="2575"/>
    <col min="5387" max="5387" width="13" style="2575" customWidth="1"/>
    <col min="5388" max="5632" width="9.140625" style="2575"/>
    <col min="5633" max="5633" width="31.85546875" style="2575" customWidth="1"/>
    <col min="5634" max="5635" width="22.28515625" style="2575" bestFit="1" customWidth="1"/>
    <col min="5636" max="5636" width="22" style="2575" customWidth="1"/>
    <col min="5637" max="5637" width="10.5703125" style="2575" customWidth="1"/>
    <col min="5638" max="5638" width="9.5703125" style="2575" customWidth="1"/>
    <col min="5639" max="5642" width="9.140625" style="2575"/>
    <col min="5643" max="5643" width="13" style="2575" customWidth="1"/>
    <col min="5644" max="5888" width="9.140625" style="2575"/>
    <col min="5889" max="5889" width="31.85546875" style="2575" customWidth="1"/>
    <col min="5890" max="5891" width="22.28515625" style="2575" bestFit="1" customWidth="1"/>
    <col min="5892" max="5892" width="22" style="2575" customWidth="1"/>
    <col min="5893" max="5893" width="10.5703125" style="2575" customWidth="1"/>
    <col min="5894" max="5894" width="9.5703125" style="2575" customWidth="1"/>
    <col min="5895" max="5898" width="9.140625" style="2575"/>
    <col min="5899" max="5899" width="13" style="2575" customWidth="1"/>
    <col min="5900" max="6144" width="9.140625" style="2575"/>
    <col min="6145" max="6145" width="31.85546875" style="2575" customWidth="1"/>
    <col min="6146" max="6147" width="22.28515625" style="2575" bestFit="1" customWidth="1"/>
    <col min="6148" max="6148" width="22" style="2575" customWidth="1"/>
    <col min="6149" max="6149" width="10.5703125" style="2575" customWidth="1"/>
    <col min="6150" max="6150" width="9.5703125" style="2575" customWidth="1"/>
    <col min="6151" max="6154" width="9.140625" style="2575"/>
    <col min="6155" max="6155" width="13" style="2575" customWidth="1"/>
    <col min="6156" max="6400" width="9.140625" style="2575"/>
    <col min="6401" max="6401" width="31.85546875" style="2575" customWidth="1"/>
    <col min="6402" max="6403" width="22.28515625" style="2575" bestFit="1" customWidth="1"/>
    <col min="6404" max="6404" width="22" style="2575" customWidth="1"/>
    <col min="6405" max="6405" width="10.5703125" style="2575" customWidth="1"/>
    <col min="6406" max="6406" width="9.5703125" style="2575" customWidth="1"/>
    <col min="6407" max="6410" width="9.140625" style="2575"/>
    <col min="6411" max="6411" width="13" style="2575" customWidth="1"/>
    <col min="6412" max="6656" width="9.140625" style="2575"/>
    <col min="6657" max="6657" width="31.85546875" style="2575" customWidth="1"/>
    <col min="6658" max="6659" width="22.28515625" style="2575" bestFit="1" customWidth="1"/>
    <col min="6660" max="6660" width="22" style="2575" customWidth="1"/>
    <col min="6661" max="6661" width="10.5703125" style="2575" customWidth="1"/>
    <col min="6662" max="6662" width="9.5703125" style="2575" customWidth="1"/>
    <col min="6663" max="6666" width="9.140625" style="2575"/>
    <col min="6667" max="6667" width="13" style="2575" customWidth="1"/>
    <col min="6668" max="6912" width="9.140625" style="2575"/>
    <col min="6913" max="6913" width="31.85546875" style="2575" customWidth="1"/>
    <col min="6914" max="6915" width="22.28515625" style="2575" bestFit="1" customWidth="1"/>
    <col min="6916" max="6916" width="22" style="2575" customWidth="1"/>
    <col min="6917" max="6917" width="10.5703125" style="2575" customWidth="1"/>
    <col min="6918" max="6918" width="9.5703125" style="2575" customWidth="1"/>
    <col min="6919" max="6922" width="9.140625" style="2575"/>
    <col min="6923" max="6923" width="13" style="2575" customWidth="1"/>
    <col min="6924" max="7168" width="9.140625" style="2575"/>
    <col min="7169" max="7169" width="31.85546875" style="2575" customWidth="1"/>
    <col min="7170" max="7171" width="22.28515625" style="2575" bestFit="1" customWidth="1"/>
    <col min="7172" max="7172" width="22" style="2575" customWidth="1"/>
    <col min="7173" max="7173" width="10.5703125" style="2575" customWidth="1"/>
    <col min="7174" max="7174" width="9.5703125" style="2575" customWidth="1"/>
    <col min="7175" max="7178" width="9.140625" style="2575"/>
    <col min="7179" max="7179" width="13" style="2575" customWidth="1"/>
    <col min="7180" max="7424" width="9.140625" style="2575"/>
    <col min="7425" max="7425" width="31.85546875" style="2575" customWidth="1"/>
    <col min="7426" max="7427" width="22.28515625" style="2575" bestFit="1" customWidth="1"/>
    <col min="7428" max="7428" width="22" style="2575" customWidth="1"/>
    <col min="7429" max="7429" width="10.5703125" style="2575" customWidth="1"/>
    <col min="7430" max="7430" width="9.5703125" style="2575" customWidth="1"/>
    <col min="7431" max="7434" width="9.140625" style="2575"/>
    <col min="7435" max="7435" width="13" style="2575" customWidth="1"/>
    <col min="7436" max="7680" width="9.140625" style="2575"/>
    <col min="7681" max="7681" width="31.85546875" style="2575" customWidth="1"/>
    <col min="7682" max="7683" width="22.28515625" style="2575" bestFit="1" customWidth="1"/>
    <col min="7684" max="7684" width="22" style="2575" customWidth="1"/>
    <col min="7685" max="7685" width="10.5703125" style="2575" customWidth="1"/>
    <col min="7686" max="7686" width="9.5703125" style="2575" customWidth="1"/>
    <col min="7687" max="7690" width="9.140625" style="2575"/>
    <col min="7691" max="7691" width="13" style="2575" customWidth="1"/>
    <col min="7692" max="7936" width="9.140625" style="2575"/>
    <col min="7937" max="7937" width="31.85546875" style="2575" customWidth="1"/>
    <col min="7938" max="7939" width="22.28515625" style="2575" bestFit="1" customWidth="1"/>
    <col min="7940" max="7940" width="22" style="2575" customWidth="1"/>
    <col min="7941" max="7941" width="10.5703125" style="2575" customWidth="1"/>
    <col min="7942" max="7942" width="9.5703125" style="2575" customWidth="1"/>
    <col min="7943" max="7946" width="9.140625" style="2575"/>
    <col min="7947" max="7947" width="13" style="2575" customWidth="1"/>
    <col min="7948" max="8192" width="9.140625" style="2575"/>
    <col min="8193" max="8193" width="31.85546875" style="2575" customWidth="1"/>
    <col min="8194" max="8195" width="22.28515625" style="2575" bestFit="1" customWidth="1"/>
    <col min="8196" max="8196" width="22" style="2575" customWidth="1"/>
    <col min="8197" max="8197" width="10.5703125" style="2575" customWidth="1"/>
    <col min="8198" max="8198" width="9.5703125" style="2575" customWidth="1"/>
    <col min="8199" max="8202" width="9.140625" style="2575"/>
    <col min="8203" max="8203" width="13" style="2575" customWidth="1"/>
    <col min="8204" max="8448" width="9.140625" style="2575"/>
    <col min="8449" max="8449" width="31.85546875" style="2575" customWidth="1"/>
    <col min="8450" max="8451" width="22.28515625" style="2575" bestFit="1" customWidth="1"/>
    <col min="8452" max="8452" width="22" style="2575" customWidth="1"/>
    <col min="8453" max="8453" width="10.5703125" style="2575" customWidth="1"/>
    <col min="8454" max="8454" width="9.5703125" style="2575" customWidth="1"/>
    <col min="8455" max="8458" width="9.140625" style="2575"/>
    <col min="8459" max="8459" width="13" style="2575" customWidth="1"/>
    <col min="8460" max="8704" width="9.140625" style="2575"/>
    <col min="8705" max="8705" width="31.85546875" style="2575" customWidth="1"/>
    <col min="8706" max="8707" width="22.28515625" style="2575" bestFit="1" customWidth="1"/>
    <col min="8708" max="8708" width="22" style="2575" customWidth="1"/>
    <col min="8709" max="8709" width="10.5703125" style="2575" customWidth="1"/>
    <col min="8710" max="8710" width="9.5703125" style="2575" customWidth="1"/>
    <col min="8711" max="8714" width="9.140625" style="2575"/>
    <col min="8715" max="8715" width="13" style="2575" customWidth="1"/>
    <col min="8716" max="8960" width="9.140625" style="2575"/>
    <col min="8961" max="8961" width="31.85546875" style="2575" customWidth="1"/>
    <col min="8962" max="8963" width="22.28515625" style="2575" bestFit="1" customWidth="1"/>
    <col min="8964" max="8964" width="22" style="2575" customWidth="1"/>
    <col min="8965" max="8965" width="10.5703125" style="2575" customWidth="1"/>
    <col min="8966" max="8966" width="9.5703125" style="2575" customWidth="1"/>
    <col min="8967" max="8970" width="9.140625" style="2575"/>
    <col min="8971" max="8971" width="13" style="2575" customWidth="1"/>
    <col min="8972" max="9216" width="9.140625" style="2575"/>
    <col min="9217" max="9217" width="31.85546875" style="2575" customWidth="1"/>
    <col min="9218" max="9219" width="22.28515625" style="2575" bestFit="1" customWidth="1"/>
    <col min="9220" max="9220" width="22" style="2575" customWidth="1"/>
    <col min="9221" max="9221" width="10.5703125" style="2575" customWidth="1"/>
    <col min="9222" max="9222" width="9.5703125" style="2575" customWidth="1"/>
    <col min="9223" max="9226" width="9.140625" style="2575"/>
    <col min="9227" max="9227" width="13" style="2575" customWidth="1"/>
    <col min="9228" max="9472" width="9.140625" style="2575"/>
    <col min="9473" max="9473" width="31.85546875" style="2575" customWidth="1"/>
    <col min="9474" max="9475" width="22.28515625" style="2575" bestFit="1" customWidth="1"/>
    <col min="9476" max="9476" width="22" style="2575" customWidth="1"/>
    <col min="9477" max="9477" width="10.5703125" style="2575" customWidth="1"/>
    <col min="9478" max="9478" width="9.5703125" style="2575" customWidth="1"/>
    <col min="9479" max="9482" width="9.140625" style="2575"/>
    <col min="9483" max="9483" width="13" style="2575" customWidth="1"/>
    <col min="9484" max="9728" width="9.140625" style="2575"/>
    <col min="9729" max="9729" width="31.85546875" style="2575" customWidth="1"/>
    <col min="9730" max="9731" width="22.28515625" style="2575" bestFit="1" customWidth="1"/>
    <col min="9732" max="9732" width="22" style="2575" customWidth="1"/>
    <col min="9733" max="9733" width="10.5703125" style="2575" customWidth="1"/>
    <col min="9734" max="9734" width="9.5703125" style="2575" customWidth="1"/>
    <col min="9735" max="9738" width="9.140625" style="2575"/>
    <col min="9739" max="9739" width="13" style="2575" customWidth="1"/>
    <col min="9740" max="9984" width="9.140625" style="2575"/>
    <col min="9985" max="9985" width="31.85546875" style="2575" customWidth="1"/>
    <col min="9986" max="9987" width="22.28515625" style="2575" bestFit="1" customWidth="1"/>
    <col min="9988" max="9988" width="22" style="2575" customWidth="1"/>
    <col min="9989" max="9989" width="10.5703125" style="2575" customWidth="1"/>
    <col min="9990" max="9990" width="9.5703125" style="2575" customWidth="1"/>
    <col min="9991" max="9994" width="9.140625" style="2575"/>
    <col min="9995" max="9995" width="13" style="2575" customWidth="1"/>
    <col min="9996" max="10240" width="9.140625" style="2575"/>
    <col min="10241" max="10241" width="31.85546875" style="2575" customWidth="1"/>
    <col min="10242" max="10243" width="22.28515625" style="2575" bestFit="1" customWidth="1"/>
    <col min="10244" max="10244" width="22" style="2575" customWidth="1"/>
    <col min="10245" max="10245" width="10.5703125" style="2575" customWidth="1"/>
    <col min="10246" max="10246" width="9.5703125" style="2575" customWidth="1"/>
    <col min="10247" max="10250" width="9.140625" style="2575"/>
    <col min="10251" max="10251" width="13" style="2575" customWidth="1"/>
    <col min="10252" max="10496" width="9.140625" style="2575"/>
    <col min="10497" max="10497" width="31.85546875" style="2575" customWidth="1"/>
    <col min="10498" max="10499" width="22.28515625" style="2575" bestFit="1" customWidth="1"/>
    <col min="10500" max="10500" width="22" style="2575" customWidth="1"/>
    <col min="10501" max="10501" width="10.5703125" style="2575" customWidth="1"/>
    <col min="10502" max="10502" width="9.5703125" style="2575" customWidth="1"/>
    <col min="10503" max="10506" width="9.140625" style="2575"/>
    <col min="10507" max="10507" width="13" style="2575" customWidth="1"/>
    <col min="10508" max="10752" width="9.140625" style="2575"/>
    <col min="10753" max="10753" width="31.85546875" style="2575" customWidth="1"/>
    <col min="10754" max="10755" width="22.28515625" style="2575" bestFit="1" customWidth="1"/>
    <col min="10756" max="10756" width="22" style="2575" customWidth="1"/>
    <col min="10757" max="10757" width="10.5703125" style="2575" customWidth="1"/>
    <col min="10758" max="10758" width="9.5703125" style="2575" customWidth="1"/>
    <col min="10759" max="10762" width="9.140625" style="2575"/>
    <col min="10763" max="10763" width="13" style="2575" customWidth="1"/>
    <col min="10764" max="11008" width="9.140625" style="2575"/>
    <col min="11009" max="11009" width="31.85546875" style="2575" customWidth="1"/>
    <col min="11010" max="11011" width="22.28515625" style="2575" bestFit="1" customWidth="1"/>
    <col min="11012" max="11012" width="22" style="2575" customWidth="1"/>
    <col min="11013" max="11013" width="10.5703125" style="2575" customWidth="1"/>
    <col min="11014" max="11014" width="9.5703125" style="2575" customWidth="1"/>
    <col min="11015" max="11018" width="9.140625" style="2575"/>
    <col min="11019" max="11019" width="13" style="2575" customWidth="1"/>
    <col min="11020" max="11264" width="9.140625" style="2575"/>
    <col min="11265" max="11265" width="31.85546875" style="2575" customWidth="1"/>
    <col min="11266" max="11267" width="22.28515625" style="2575" bestFit="1" customWidth="1"/>
    <col min="11268" max="11268" width="22" style="2575" customWidth="1"/>
    <col min="11269" max="11269" width="10.5703125" style="2575" customWidth="1"/>
    <col min="11270" max="11270" width="9.5703125" style="2575" customWidth="1"/>
    <col min="11271" max="11274" width="9.140625" style="2575"/>
    <col min="11275" max="11275" width="13" style="2575" customWidth="1"/>
    <col min="11276" max="11520" width="9.140625" style="2575"/>
    <col min="11521" max="11521" width="31.85546875" style="2575" customWidth="1"/>
    <col min="11522" max="11523" width="22.28515625" style="2575" bestFit="1" customWidth="1"/>
    <col min="11524" max="11524" width="22" style="2575" customWidth="1"/>
    <col min="11525" max="11525" width="10.5703125" style="2575" customWidth="1"/>
    <col min="11526" max="11526" width="9.5703125" style="2575" customWidth="1"/>
    <col min="11527" max="11530" width="9.140625" style="2575"/>
    <col min="11531" max="11531" width="13" style="2575" customWidth="1"/>
    <col min="11532" max="11776" width="9.140625" style="2575"/>
    <col min="11777" max="11777" width="31.85546875" style="2575" customWidth="1"/>
    <col min="11778" max="11779" width="22.28515625" style="2575" bestFit="1" customWidth="1"/>
    <col min="11780" max="11780" width="22" style="2575" customWidth="1"/>
    <col min="11781" max="11781" width="10.5703125" style="2575" customWidth="1"/>
    <col min="11782" max="11782" width="9.5703125" style="2575" customWidth="1"/>
    <col min="11783" max="11786" width="9.140625" style="2575"/>
    <col min="11787" max="11787" width="13" style="2575" customWidth="1"/>
    <col min="11788" max="12032" width="9.140625" style="2575"/>
    <col min="12033" max="12033" width="31.85546875" style="2575" customWidth="1"/>
    <col min="12034" max="12035" width="22.28515625" style="2575" bestFit="1" customWidth="1"/>
    <col min="12036" max="12036" width="22" style="2575" customWidth="1"/>
    <col min="12037" max="12037" width="10.5703125" style="2575" customWidth="1"/>
    <col min="12038" max="12038" width="9.5703125" style="2575" customWidth="1"/>
    <col min="12039" max="12042" width="9.140625" style="2575"/>
    <col min="12043" max="12043" width="13" style="2575" customWidth="1"/>
    <col min="12044" max="12288" width="9.140625" style="2575"/>
    <col min="12289" max="12289" width="31.85546875" style="2575" customWidth="1"/>
    <col min="12290" max="12291" width="22.28515625" style="2575" bestFit="1" customWidth="1"/>
    <col min="12292" max="12292" width="22" style="2575" customWidth="1"/>
    <col min="12293" max="12293" width="10.5703125" style="2575" customWidth="1"/>
    <col min="12294" max="12294" width="9.5703125" style="2575" customWidth="1"/>
    <col min="12295" max="12298" width="9.140625" style="2575"/>
    <col min="12299" max="12299" width="13" style="2575" customWidth="1"/>
    <col min="12300" max="12544" width="9.140625" style="2575"/>
    <col min="12545" max="12545" width="31.85546875" style="2575" customWidth="1"/>
    <col min="12546" max="12547" width="22.28515625" style="2575" bestFit="1" customWidth="1"/>
    <col min="12548" max="12548" width="22" style="2575" customWidth="1"/>
    <col min="12549" max="12549" width="10.5703125" style="2575" customWidth="1"/>
    <col min="12550" max="12550" width="9.5703125" style="2575" customWidth="1"/>
    <col min="12551" max="12554" width="9.140625" style="2575"/>
    <col min="12555" max="12555" width="13" style="2575" customWidth="1"/>
    <col min="12556" max="12800" width="9.140625" style="2575"/>
    <col min="12801" max="12801" width="31.85546875" style="2575" customWidth="1"/>
    <col min="12802" max="12803" width="22.28515625" style="2575" bestFit="1" customWidth="1"/>
    <col min="12804" max="12804" width="22" style="2575" customWidth="1"/>
    <col min="12805" max="12805" width="10.5703125" style="2575" customWidth="1"/>
    <col min="12806" max="12806" width="9.5703125" style="2575" customWidth="1"/>
    <col min="12807" max="12810" width="9.140625" style="2575"/>
    <col min="12811" max="12811" width="13" style="2575" customWidth="1"/>
    <col min="12812" max="13056" width="9.140625" style="2575"/>
    <col min="13057" max="13057" width="31.85546875" style="2575" customWidth="1"/>
    <col min="13058" max="13059" width="22.28515625" style="2575" bestFit="1" customWidth="1"/>
    <col min="13060" max="13060" width="22" style="2575" customWidth="1"/>
    <col min="13061" max="13061" width="10.5703125" style="2575" customWidth="1"/>
    <col min="13062" max="13062" width="9.5703125" style="2575" customWidth="1"/>
    <col min="13063" max="13066" width="9.140625" style="2575"/>
    <col min="13067" max="13067" width="13" style="2575" customWidth="1"/>
    <col min="13068" max="13312" width="9.140625" style="2575"/>
    <col min="13313" max="13313" width="31.85546875" style="2575" customWidth="1"/>
    <col min="13314" max="13315" width="22.28515625" style="2575" bestFit="1" customWidth="1"/>
    <col min="13316" max="13316" width="22" style="2575" customWidth="1"/>
    <col min="13317" max="13317" width="10.5703125" style="2575" customWidth="1"/>
    <col min="13318" max="13318" width="9.5703125" style="2575" customWidth="1"/>
    <col min="13319" max="13322" width="9.140625" style="2575"/>
    <col min="13323" max="13323" width="13" style="2575" customWidth="1"/>
    <col min="13324" max="13568" width="9.140625" style="2575"/>
    <col min="13569" max="13569" width="31.85546875" style="2575" customWidth="1"/>
    <col min="13570" max="13571" width="22.28515625" style="2575" bestFit="1" customWidth="1"/>
    <col min="13572" max="13572" width="22" style="2575" customWidth="1"/>
    <col min="13573" max="13573" width="10.5703125" style="2575" customWidth="1"/>
    <col min="13574" max="13574" width="9.5703125" style="2575" customWidth="1"/>
    <col min="13575" max="13578" width="9.140625" style="2575"/>
    <col min="13579" max="13579" width="13" style="2575" customWidth="1"/>
    <col min="13580" max="13824" width="9.140625" style="2575"/>
    <col min="13825" max="13825" width="31.85546875" style="2575" customWidth="1"/>
    <col min="13826" max="13827" width="22.28515625" style="2575" bestFit="1" customWidth="1"/>
    <col min="13828" max="13828" width="22" style="2575" customWidth="1"/>
    <col min="13829" max="13829" width="10.5703125" style="2575" customWidth="1"/>
    <col min="13830" max="13830" width="9.5703125" style="2575" customWidth="1"/>
    <col min="13831" max="13834" width="9.140625" style="2575"/>
    <col min="13835" max="13835" width="13" style="2575" customWidth="1"/>
    <col min="13836" max="14080" width="9.140625" style="2575"/>
    <col min="14081" max="14081" width="31.85546875" style="2575" customWidth="1"/>
    <col min="14082" max="14083" width="22.28515625" style="2575" bestFit="1" customWidth="1"/>
    <col min="14084" max="14084" width="22" style="2575" customWidth="1"/>
    <col min="14085" max="14085" width="10.5703125" style="2575" customWidth="1"/>
    <col min="14086" max="14086" width="9.5703125" style="2575" customWidth="1"/>
    <col min="14087" max="14090" width="9.140625" style="2575"/>
    <col min="14091" max="14091" width="13" style="2575" customWidth="1"/>
    <col min="14092" max="14336" width="9.140625" style="2575"/>
    <col min="14337" max="14337" width="31.85546875" style="2575" customWidth="1"/>
    <col min="14338" max="14339" width="22.28515625" style="2575" bestFit="1" customWidth="1"/>
    <col min="14340" max="14340" width="22" style="2575" customWidth="1"/>
    <col min="14341" max="14341" width="10.5703125" style="2575" customWidth="1"/>
    <col min="14342" max="14342" width="9.5703125" style="2575" customWidth="1"/>
    <col min="14343" max="14346" width="9.140625" style="2575"/>
    <col min="14347" max="14347" width="13" style="2575" customWidth="1"/>
    <col min="14348" max="14592" width="9.140625" style="2575"/>
    <col min="14593" max="14593" width="31.85546875" style="2575" customWidth="1"/>
    <col min="14594" max="14595" width="22.28515625" style="2575" bestFit="1" customWidth="1"/>
    <col min="14596" max="14596" width="22" style="2575" customWidth="1"/>
    <col min="14597" max="14597" width="10.5703125" style="2575" customWidth="1"/>
    <col min="14598" max="14598" width="9.5703125" style="2575" customWidth="1"/>
    <col min="14599" max="14602" width="9.140625" style="2575"/>
    <col min="14603" max="14603" width="13" style="2575" customWidth="1"/>
    <col min="14604" max="14848" width="9.140625" style="2575"/>
    <col min="14849" max="14849" width="31.85546875" style="2575" customWidth="1"/>
    <col min="14850" max="14851" width="22.28515625" style="2575" bestFit="1" customWidth="1"/>
    <col min="14852" max="14852" width="22" style="2575" customWidth="1"/>
    <col min="14853" max="14853" width="10.5703125" style="2575" customWidth="1"/>
    <col min="14854" max="14854" width="9.5703125" style="2575" customWidth="1"/>
    <col min="14855" max="14858" width="9.140625" style="2575"/>
    <col min="14859" max="14859" width="13" style="2575" customWidth="1"/>
    <col min="14860" max="15104" width="9.140625" style="2575"/>
    <col min="15105" max="15105" width="31.85546875" style="2575" customWidth="1"/>
    <col min="15106" max="15107" width="22.28515625" style="2575" bestFit="1" customWidth="1"/>
    <col min="15108" max="15108" width="22" style="2575" customWidth="1"/>
    <col min="15109" max="15109" width="10.5703125" style="2575" customWidth="1"/>
    <col min="15110" max="15110" width="9.5703125" style="2575" customWidth="1"/>
    <col min="15111" max="15114" width="9.140625" style="2575"/>
    <col min="15115" max="15115" width="13" style="2575" customWidth="1"/>
    <col min="15116" max="15360" width="9.140625" style="2575"/>
    <col min="15361" max="15361" width="31.85546875" style="2575" customWidth="1"/>
    <col min="15362" max="15363" width="22.28515625" style="2575" bestFit="1" customWidth="1"/>
    <col min="15364" max="15364" width="22" style="2575" customWidth="1"/>
    <col min="15365" max="15365" width="10.5703125" style="2575" customWidth="1"/>
    <col min="15366" max="15366" width="9.5703125" style="2575" customWidth="1"/>
    <col min="15367" max="15370" width="9.140625" style="2575"/>
    <col min="15371" max="15371" width="13" style="2575" customWidth="1"/>
    <col min="15372" max="15616" width="9.140625" style="2575"/>
    <col min="15617" max="15617" width="31.85546875" style="2575" customWidth="1"/>
    <col min="15618" max="15619" width="22.28515625" style="2575" bestFit="1" customWidth="1"/>
    <col min="15620" max="15620" width="22" style="2575" customWidth="1"/>
    <col min="15621" max="15621" width="10.5703125" style="2575" customWidth="1"/>
    <col min="15622" max="15622" width="9.5703125" style="2575" customWidth="1"/>
    <col min="15623" max="15626" width="9.140625" style="2575"/>
    <col min="15627" max="15627" width="13" style="2575" customWidth="1"/>
    <col min="15628" max="15872" width="9.140625" style="2575"/>
    <col min="15873" max="15873" width="31.85546875" style="2575" customWidth="1"/>
    <col min="15874" max="15875" width="22.28515625" style="2575" bestFit="1" customWidth="1"/>
    <col min="15876" max="15876" width="22" style="2575" customWidth="1"/>
    <col min="15877" max="15877" width="10.5703125" style="2575" customWidth="1"/>
    <col min="15878" max="15878" width="9.5703125" style="2575" customWidth="1"/>
    <col min="15879" max="15882" width="9.140625" style="2575"/>
    <col min="15883" max="15883" width="13" style="2575" customWidth="1"/>
    <col min="15884" max="16128" width="9.140625" style="2575"/>
    <col min="16129" max="16129" width="31.85546875" style="2575" customWidth="1"/>
    <col min="16130" max="16131" width="22.28515625" style="2575" bestFit="1" customWidth="1"/>
    <col min="16132" max="16132" width="22" style="2575" customWidth="1"/>
    <col min="16133" max="16133" width="10.5703125" style="2575" customWidth="1"/>
    <col min="16134" max="16134" width="9.5703125" style="2575" customWidth="1"/>
    <col min="16135" max="16138" width="9.140625" style="2575"/>
    <col min="16139" max="16139" width="13" style="2575" customWidth="1"/>
    <col min="16140" max="16384" width="9.140625" style="2575"/>
  </cols>
  <sheetData>
    <row r="1" spans="1:13" ht="18.75">
      <c r="A1" s="2572" t="s">
        <v>3648</v>
      </c>
      <c r="B1" s="2573"/>
      <c r="C1" s="2574"/>
      <c r="D1" s="1100"/>
    </row>
    <row r="2" spans="1:13" ht="18.75">
      <c r="A2" s="2572" t="s">
        <v>3649</v>
      </c>
      <c r="B2" s="2576"/>
      <c r="C2" s="2574"/>
      <c r="D2" s="1100"/>
    </row>
    <row r="3" spans="1:13" ht="4.5" customHeight="1" thickBot="1">
      <c r="B3" s="2577"/>
      <c r="C3" s="2578"/>
    </row>
    <row r="4" spans="1:13" ht="13.5" customHeight="1" thickTop="1">
      <c r="A4" s="2579" t="s">
        <v>3633</v>
      </c>
      <c r="B4" s="2579" t="s">
        <v>3650</v>
      </c>
      <c r="C4" s="2579" t="s">
        <v>3650</v>
      </c>
      <c r="D4" s="2579" t="s">
        <v>3651</v>
      </c>
    </row>
    <row r="5" spans="1:13" ht="13.5" customHeight="1" thickBot="1">
      <c r="A5" s="2580" t="s">
        <v>3634</v>
      </c>
      <c r="B5" s="2580" t="s">
        <v>3652</v>
      </c>
      <c r="C5" s="2580" t="s">
        <v>3652</v>
      </c>
      <c r="D5" s="2580" t="s">
        <v>3653</v>
      </c>
    </row>
    <row r="6" spans="1:13" ht="13.5" customHeight="1" thickTop="1" thickBot="1">
      <c r="A6" s="2581"/>
      <c r="B6" s="2582" t="s">
        <v>3654</v>
      </c>
      <c r="C6" s="2583" t="s">
        <v>3655</v>
      </c>
      <c r="D6" s="2584" t="s">
        <v>3656</v>
      </c>
      <c r="M6" s="2585"/>
    </row>
    <row r="7" spans="1:13" ht="13.5" customHeight="1" thickTop="1">
      <c r="A7" s="2581"/>
      <c r="B7" s="2586"/>
      <c r="C7" s="2587"/>
      <c r="D7" s="2584" t="s">
        <v>3657</v>
      </c>
      <c r="G7" s="2588"/>
      <c r="J7" s="2588"/>
    </row>
    <row r="8" spans="1:13" ht="13.5" customHeight="1">
      <c r="A8" s="2581"/>
      <c r="B8" s="2586" t="s">
        <v>3658</v>
      </c>
      <c r="C8" s="2587" t="s">
        <v>3659</v>
      </c>
      <c r="D8" s="2589" t="s">
        <v>3660</v>
      </c>
      <c r="M8" s="2590"/>
    </row>
    <row r="9" spans="1:13" ht="3.75" customHeight="1" thickBot="1">
      <c r="A9" s="2591"/>
      <c r="B9" s="2592"/>
      <c r="C9" s="2593"/>
      <c r="D9" s="2594"/>
      <c r="H9" s="2595"/>
    </row>
    <row r="10" spans="1:13" ht="21" customHeight="1" thickTop="1">
      <c r="A10" s="2596" t="s">
        <v>3635</v>
      </c>
      <c r="B10" s="2597">
        <v>31.918865560349424</v>
      </c>
      <c r="C10" s="2598">
        <v>28.456658305660774</v>
      </c>
      <c r="D10" s="2599">
        <f>((B10/C10)-1)*100</f>
        <v>12.166598120904194</v>
      </c>
      <c r="F10" s="2595"/>
      <c r="G10" s="2600"/>
      <c r="H10" s="2595"/>
      <c r="I10" s="2600"/>
      <c r="J10" s="2600"/>
      <c r="K10" s="2595"/>
      <c r="M10" s="2585"/>
    </row>
    <row r="11" spans="1:13" ht="19.5" customHeight="1">
      <c r="A11" s="2596" t="s">
        <v>3661</v>
      </c>
      <c r="B11" s="2601">
        <v>4.0486169824969815</v>
      </c>
      <c r="C11" s="2598">
        <v>3.9866521640776296</v>
      </c>
      <c r="D11" s="2599">
        <f t="shared" ref="D11:D21" si="0">((B11/C11)-1)*100</f>
        <v>1.5543071195851077</v>
      </c>
      <c r="F11" s="2595"/>
      <c r="G11" s="2600"/>
      <c r="H11" s="2595"/>
      <c r="I11" s="2600"/>
      <c r="J11" s="2600"/>
      <c r="K11" s="2595"/>
      <c r="M11" s="2585"/>
    </row>
    <row r="12" spans="1:13" ht="19.5" customHeight="1">
      <c r="A12" s="2596" t="s">
        <v>3637</v>
      </c>
      <c r="B12" s="2601">
        <v>57.208380181437157</v>
      </c>
      <c r="C12" s="2598">
        <v>50.599274328566608</v>
      </c>
      <c r="D12" s="2599">
        <f t="shared" si="0"/>
        <v>13.06166133916129</v>
      </c>
      <c r="F12" s="2595"/>
      <c r="G12" s="2600"/>
      <c r="H12" s="2595"/>
      <c r="I12" s="2600"/>
      <c r="J12" s="2600"/>
      <c r="K12" s="2595"/>
      <c r="M12" s="2585"/>
    </row>
    <row r="13" spans="1:13" ht="19.5" customHeight="1">
      <c r="A13" s="2596" t="s">
        <v>3638</v>
      </c>
      <c r="B13" s="2601">
        <v>35.465799992348266</v>
      </c>
      <c r="C13" s="2598">
        <v>30.618527595562412</v>
      </c>
      <c r="D13" s="2599">
        <f t="shared" si="0"/>
        <v>15.831174055176888</v>
      </c>
      <c r="F13" s="2595"/>
      <c r="G13" s="2600"/>
      <c r="H13" s="2595"/>
      <c r="I13" s="2600"/>
      <c r="J13" s="2600"/>
      <c r="K13" s="2595"/>
      <c r="M13" s="2585"/>
    </row>
    <row r="14" spans="1:13" ht="20.100000000000001" customHeight="1">
      <c r="A14" s="2596" t="s">
        <v>3639</v>
      </c>
      <c r="B14" s="2601">
        <v>36.989149129464266</v>
      </c>
      <c r="C14" s="2598">
        <v>35.875790400812747</v>
      </c>
      <c r="D14" s="2599">
        <f t="shared" si="0"/>
        <v>3.1033705911781118</v>
      </c>
      <c r="F14" s="2595"/>
      <c r="G14" s="2600"/>
      <c r="H14" s="2595"/>
      <c r="I14" s="2600"/>
      <c r="J14" s="2600"/>
      <c r="K14" s="2595"/>
      <c r="M14" s="2585"/>
    </row>
    <row r="15" spans="1:13" ht="20.100000000000001" customHeight="1">
      <c r="A15" s="2596" t="s">
        <v>3640</v>
      </c>
      <c r="B15" s="2601">
        <v>25.747109784552787</v>
      </c>
      <c r="C15" s="2598">
        <v>25.911995525137467</v>
      </c>
      <c r="D15" s="2599">
        <f t="shared" si="0"/>
        <v>-0.63632976636138761</v>
      </c>
      <c r="F15" s="2595"/>
      <c r="G15" s="2600"/>
      <c r="H15" s="2595"/>
      <c r="I15" s="2600"/>
      <c r="J15" s="2600"/>
      <c r="K15" s="2595"/>
      <c r="M15" s="2585"/>
    </row>
    <row r="16" spans="1:13" ht="20.100000000000001" customHeight="1">
      <c r="A16" s="2596" t="s">
        <v>3641</v>
      </c>
      <c r="B16" s="2601">
        <v>25.364929145175534</v>
      </c>
      <c r="C16" s="2598">
        <v>24.644807019283775</v>
      </c>
      <c r="D16" s="2599">
        <f t="shared" si="0"/>
        <v>2.9220035090081531</v>
      </c>
      <c r="F16" s="2602"/>
      <c r="G16" s="2600"/>
      <c r="H16" s="2595"/>
      <c r="I16" s="2600"/>
      <c r="J16" s="2600"/>
      <c r="K16" s="2595"/>
      <c r="M16" s="2585"/>
    </row>
    <row r="17" spans="1:13" ht="20.100000000000001" customHeight="1">
      <c r="A17" s="2596" t="s">
        <v>3642</v>
      </c>
      <c r="B17" s="2601">
        <v>3.5271167016969751</v>
      </c>
      <c r="C17" s="2598">
        <v>2.9877130620750818</v>
      </c>
      <c r="D17" s="2599">
        <f t="shared" si="0"/>
        <v>18.054064376826616</v>
      </c>
      <c r="F17" s="2595"/>
      <c r="G17" s="2600"/>
      <c r="H17" s="2595"/>
      <c r="I17" s="2600"/>
      <c r="J17" s="2600"/>
      <c r="K17" s="2595"/>
      <c r="M17" s="2585"/>
    </row>
    <row r="18" spans="1:13" ht="20.100000000000001" customHeight="1">
      <c r="A18" s="2596" t="s">
        <v>3643</v>
      </c>
      <c r="B18" s="2601">
        <v>33.34891713922174</v>
      </c>
      <c r="C18" s="2598">
        <v>34.262641127132788</v>
      </c>
      <c r="D18" s="2599">
        <f t="shared" si="0"/>
        <v>-2.6668229822699341</v>
      </c>
      <c r="F18" s="2595"/>
      <c r="G18" s="2600"/>
      <c r="H18" s="2595"/>
      <c r="I18" s="2600"/>
      <c r="J18" s="2600"/>
      <c r="K18" s="2595"/>
      <c r="M18" s="2585"/>
    </row>
    <row r="19" spans="1:13" ht="20.100000000000001" customHeight="1">
      <c r="A19" s="2596" t="s">
        <v>3644</v>
      </c>
      <c r="B19" s="2601">
        <v>31.257182097206222</v>
      </c>
      <c r="C19" s="2598">
        <v>30.803130976038176</v>
      </c>
      <c r="D19" s="2599">
        <f t="shared" si="0"/>
        <v>1.4740421079962651</v>
      </c>
      <c r="F19" s="2595"/>
      <c r="G19" s="2600"/>
      <c r="H19" s="2595"/>
      <c r="I19" s="2600"/>
      <c r="J19" s="2600"/>
      <c r="K19" s="2595"/>
      <c r="M19" s="2585"/>
    </row>
    <row r="20" spans="1:13" ht="20.100000000000001" customHeight="1">
      <c r="A20" s="2596" t="s">
        <v>3645</v>
      </c>
      <c r="B20" s="2601">
        <v>48.896309536552934</v>
      </c>
      <c r="C20" s="2598">
        <v>50.498352717765471</v>
      </c>
      <c r="D20" s="2599">
        <f t="shared" si="0"/>
        <v>-3.1724662191781383</v>
      </c>
      <c r="F20" s="2595"/>
      <c r="G20" s="2600"/>
      <c r="H20" s="2595"/>
      <c r="I20" s="2600"/>
      <c r="J20" s="2600"/>
      <c r="K20" s="2595"/>
      <c r="M20" s="2585"/>
    </row>
    <row r="21" spans="1:13" ht="20.100000000000001" customHeight="1">
      <c r="A21" s="2596" t="s">
        <v>3029</v>
      </c>
      <c r="B21" s="2601">
        <v>40.639151368701498</v>
      </c>
      <c r="C21" s="2598">
        <v>41.827843133411264</v>
      </c>
      <c r="D21" s="2599">
        <f t="shared" si="0"/>
        <v>-2.8418672244667098</v>
      </c>
      <c r="F21" s="2595"/>
      <c r="G21" s="2600"/>
      <c r="H21" s="2595"/>
      <c r="I21" s="2600"/>
      <c r="J21" s="2600"/>
      <c r="K21" s="2595"/>
      <c r="M21" s="2585"/>
    </row>
    <row r="22" spans="1:13" ht="6.75" customHeight="1" thickBot="1">
      <c r="A22" s="2603"/>
      <c r="B22" s="2604"/>
      <c r="C22" s="2605"/>
      <c r="D22" s="2606"/>
      <c r="F22" s="2595"/>
      <c r="H22" s="2595"/>
      <c r="M22" s="2607"/>
    </row>
    <row r="23" spans="1:13" ht="15" customHeight="1" thickTop="1">
      <c r="A23" s="2608" t="s">
        <v>3662</v>
      </c>
      <c r="B23" s="2609"/>
      <c r="C23" s="2610"/>
      <c r="D23" s="2611"/>
      <c r="E23" s="2612"/>
    </row>
    <row r="24" spans="1:13" ht="11.25" customHeight="1">
      <c r="A24" s="2608" t="s">
        <v>3663</v>
      </c>
      <c r="B24" s="2613"/>
      <c r="C24" s="2610"/>
      <c r="D24" s="2612"/>
      <c r="E24" s="2612"/>
    </row>
    <row r="25" spans="1:13" ht="11.25" customHeight="1">
      <c r="A25" s="2608" t="s">
        <v>3664</v>
      </c>
      <c r="B25" s="2613"/>
      <c r="C25" s="2610"/>
      <c r="D25" s="2612"/>
      <c r="E25" s="2612"/>
    </row>
    <row r="26" spans="1:13" ht="11.25" customHeight="1">
      <c r="A26" s="2608" t="s">
        <v>3665</v>
      </c>
      <c r="B26" s="2613"/>
      <c r="C26" s="2610"/>
      <c r="D26" s="2612"/>
      <c r="E26" s="2612"/>
    </row>
    <row r="27" spans="1:13" ht="11.25" customHeight="1">
      <c r="A27" s="2608" t="s">
        <v>3666</v>
      </c>
      <c r="B27" s="2613"/>
      <c r="C27" s="2610"/>
      <c r="D27" s="2612"/>
      <c r="E27" s="2612"/>
    </row>
    <row r="28" spans="1:13" ht="12.75" customHeight="1">
      <c r="A28" s="2614" t="s">
        <v>680</v>
      </c>
      <c r="B28" s="2612"/>
      <c r="C28" s="2612"/>
      <c r="D28" s="2612"/>
      <c r="E28" s="2612"/>
    </row>
    <row r="29" spans="1:13" ht="12.75" customHeight="1"/>
    <row r="30" spans="1:13" ht="18.75">
      <c r="A30" s="2572" t="s">
        <v>3667</v>
      </c>
      <c r="B30" s="2572"/>
      <c r="C30" s="2572"/>
      <c r="D30" s="2572"/>
    </row>
    <row r="31" spans="1:13" ht="18.75">
      <c r="A31" s="2572" t="s">
        <v>3668</v>
      </c>
      <c r="B31" s="2615"/>
      <c r="C31" s="2572"/>
      <c r="D31" s="2572"/>
    </row>
    <row r="32" spans="1:13" ht="9" customHeight="1" thickBot="1">
      <c r="A32" s="2616"/>
      <c r="B32" s="2617"/>
      <c r="C32" s="2617"/>
      <c r="D32" s="2617"/>
    </row>
    <row r="33" spans="1:10" ht="13.5" thickTop="1">
      <c r="A33" s="2618"/>
      <c r="B33" s="2619"/>
      <c r="C33" s="2620"/>
      <c r="D33" s="2621" t="s">
        <v>3669</v>
      </c>
    </row>
    <row r="34" spans="1:10">
      <c r="A34" s="2622"/>
      <c r="B34" s="2623">
        <v>36161</v>
      </c>
      <c r="C34" s="2623">
        <v>41821</v>
      </c>
      <c r="D34" s="2624" t="s">
        <v>3653</v>
      </c>
    </row>
    <row r="35" spans="1:10">
      <c r="A35" s="2622"/>
      <c r="B35" s="2625"/>
      <c r="C35" s="2623"/>
      <c r="D35" s="2624" t="s">
        <v>3670</v>
      </c>
    </row>
    <row r="36" spans="1:10">
      <c r="A36" s="2622"/>
      <c r="B36" s="2625" t="s">
        <v>3658</v>
      </c>
      <c r="C36" s="2623" t="s">
        <v>3659</v>
      </c>
      <c r="D36" s="2624" t="s">
        <v>3657</v>
      </c>
      <c r="F36" s="2626"/>
      <c r="G36" s="2626"/>
    </row>
    <row r="37" spans="1:10" ht="13.5" thickBot="1">
      <c r="A37" s="2627"/>
      <c r="B37" s="2628"/>
      <c r="C37" s="2629"/>
      <c r="D37" s="2630" t="s">
        <v>1301</v>
      </c>
    </row>
    <row r="38" spans="1:10" ht="19.5" customHeight="1" thickTop="1">
      <c r="A38" s="2631" t="s">
        <v>3661</v>
      </c>
      <c r="B38" s="2632">
        <v>8.9688999999999997</v>
      </c>
      <c r="C38" s="2633">
        <v>10.504009090909092</v>
      </c>
      <c r="D38" s="2634">
        <v>-14.614506495788193</v>
      </c>
      <c r="F38" s="2602"/>
      <c r="G38" s="2635"/>
      <c r="H38" s="2602"/>
      <c r="I38" s="2635"/>
    </row>
    <row r="39" spans="1:10" ht="19.5" customHeight="1">
      <c r="A39" s="2631" t="s">
        <v>3671</v>
      </c>
      <c r="B39" s="2636">
        <v>9961.02</v>
      </c>
      <c r="C39" s="2637">
        <v>15811.361818181818</v>
      </c>
      <c r="D39" s="2634">
        <v>-37.000872445119725</v>
      </c>
      <c r="F39" s="2638"/>
      <c r="G39" s="2638"/>
      <c r="I39" s="2638"/>
    </row>
    <row r="40" spans="1:10" ht="19.5" customHeight="1">
      <c r="A40" s="2631" t="s">
        <v>3672</v>
      </c>
      <c r="B40" s="2636">
        <v>1358.76</v>
      </c>
      <c r="C40" s="2637">
        <v>1382.7195454545456</v>
      </c>
      <c r="D40" s="2634">
        <v>-1.7327841740075622</v>
      </c>
      <c r="F40" s="2638"/>
      <c r="G40" s="2638"/>
      <c r="I40" s="2638"/>
    </row>
    <row r="41" spans="1:10" ht="19.5" customHeight="1">
      <c r="A41" s="2631" t="s">
        <v>3673</v>
      </c>
      <c r="B41" s="2639">
        <v>28.986999999999998</v>
      </c>
      <c r="C41" s="2640">
        <v>41.596919425794077</v>
      </c>
      <c r="D41" s="2634">
        <v>-30.31455117316866</v>
      </c>
      <c r="G41" s="2641"/>
      <c r="H41" s="2641"/>
      <c r="I41" s="2641"/>
      <c r="J41" s="2641"/>
    </row>
    <row r="42" spans="1:10" ht="19.5" customHeight="1">
      <c r="A42" s="2631" t="s">
        <v>3674</v>
      </c>
      <c r="B42" s="2639">
        <v>44.395000000000003</v>
      </c>
      <c r="C42" s="2640">
        <v>58.907818181818193</v>
      </c>
      <c r="D42" s="2634">
        <v>-24.63648905994884</v>
      </c>
    </row>
    <row r="43" spans="1:10" ht="19.5" customHeight="1">
      <c r="A43" s="2631" t="s">
        <v>3641</v>
      </c>
      <c r="B43" s="2639">
        <v>1.9453</v>
      </c>
      <c r="C43" s="2640">
        <v>1.6845363636363635</v>
      </c>
      <c r="D43" s="2634">
        <v>15.479846086595185</v>
      </c>
    </row>
    <row r="44" spans="1:10" ht="19.5" customHeight="1">
      <c r="A44" s="2631" t="s">
        <v>3642</v>
      </c>
      <c r="B44" s="2639">
        <v>6.9690000000000003</v>
      </c>
      <c r="C44" s="2640">
        <v>14.452131818181817</v>
      </c>
      <c r="D44" s="2634">
        <v>-51.778740412314129</v>
      </c>
    </row>
    <row r="45" spans="1:10" ht="19.5" customHeight="1">
      <c r="A45" s="2631" t="s">
        <v>3675</v>
      </c>
      <c r="B45" s="2639">
        <v>37.332999999999998</v>
      </c>
      <c r="C45" s="2640">
        <v>40.571800000000003</v>
      </c>
      <c r="D45" s="2634">
        <v>-7.9828846637319595</v>
      </c>
    </row>
    <row r="46" spans="1:10" ht="19.5" customHeight="1">
      <c r="A46" s="2631" t="s">
        <v>3676</v>
      </c>
      <c r="B46" s="2632">
        <v>42.365499999999997</v>
      </c>
      <c r="C46" s="2633">
        <v>43.516231818181808</v>
      </c>
      <c r="D46" s="2634">
        <v>-2.6443737660690969</v>
      </c>
    </row>
    <row r="47" spans="1:10" ht="6" customHeight="1" thickBot="1">
      <c r="A47" s="2642"/>
      <c r="B47" s="2643"/>
      <c r="C47" s="2644"/>
      <c r="D47" s="2645"/>
    </row>
    <row r="48" spans="1:10" ht="13.5" thickTop="1">
      <c r="A48" s="2608" t="s">
        <v>3677</v>
      </c>
      <c r="B48" s="2646"/>
      <c r="C48" s="2646"/>
      <c r="D48" s="2647"/>
    </row>
    <row r="49" spans="1:11" ht="10.5" customHeight="1">
      <c r="A49" s="2608" t="s">
        <v>3678</v>
      </c>
      <c r="B49" s="2612"/>
      <c r="C49" s="2612"/>
      <c r="D49" s="2612"/>
    </row>
    <row r="50" spans="1:11" ht="12.75" customHeight="1">
      <c r="A50" s="2614" t="s">
        <v>680</v>
      </c>
      <c r="B50" s="2612"/>
      <c r="C50" s="2612"/>
      <c r="D50" s="2612"/>
    </row>
    <row r="51" spans="1:11" ht="27" customHeight="1">
      <c r="D51" s="2575" t="s">
        <v>28</v>
      </c>
    </row>
    <row r="52" spans="1:11" ht="18.75">
      <c r="A52" s="2572" t="s">
        <v>3679</v>
      </c>
      <c r="B52" s="2572"/>
      <c r="C52" s="2572"/>
      <c r="D52" s="2572"/>
      <c r="E52" s="2648"/>
    </row>
    <row r="53" spans="1:11" ht="6.75" customHeight="1" thickBot="1">
      <c r="A53" s="2572"/>
      <c r="B53" s="2615"/>
      <c r="C53" s="2572"/>
      <c r="D53" s="2572"/>
      <c r="E53" s="2648"/>
    </row>
    <row r="54" spans="1:11" ht="13.5" thickTop="1">
      <c r="A54" s="2649"/>
      <c r="B54" s="2619">
        <v>41821</v>
      </c>
      <c r="C54" s="2650">
        <f>B54</f>
        <v>41821</v>
      </c>
      <c r="D54" s="2650">
        <f>B54</f>
        <v>41821</v>
      </c>
      <c r="E54" s="2651">
        <v>41791</v>
      </c>
    </row>
    <row r="55" spans="1:11">
      <c r="A55" s="2652"/>
      <c r="B55" s="2625" t="s">
        <v>3680</v>
      </c>
      <c r="C55" s="2653" t="s">
        <v>3681</v>
      </c>
      <c r="D55" s="2653" t="s">
        <v>1230</v>
      </c>
      <c r="E55" s="2654" t="s">
        <v>1230</v>
      </c>
    </row>
    <row r="56" spans="1:11" ht="3" customHeight="1" thickBot="1">
      <c r="A56" s="2627"/>
      <c r="B56" s="2628"/>
      <c r="C56" s="2655"/>
      <c r="D56" s="2655"/>
      <c r="E56" s="2656"/>
    </row>
    <row r="57" spans="1:11" ht="18.75" customHeight="1" thickTop="1">
      <c r="A57" s="2657" t="s">
        <v>3682</v>
      </c>
      <c r="B57" s="2658" t="s">
        <v>3683</v>
      </c>
      <c r="C57" s="2659" t="s">
        <v>3684</v>
      </c>
      <c r="D57" s="2659" t="s">
        <v>3685</v>
      </c>
      <c r="E57" s="2660" t="s">
        <v>3686</v>
      </c>
      <c r="I57" s="2641"/>
      <c r="J57" s="2641"/>
      <c r="K57" s="2641"/>
    </row>
    <row r="58" spans="1:11" ht="18.75" customHeight="1">
      <c r="A58" s="2657" t="s">
        <v>3687</v>
      </c>
      <c r="B58" s="2659" t="s">
        <v>3688</v>
      </c>
      <c r="C58" s="2661" t="s">
        <v>3689</v>
      </c>
      <c r="D58" s="2659" t="s">
        <v>3690</v>
      </c>
      <c r="E58" s="2660" t="s">
        <v>3691</v>
      </c>
      <c r="G58" s="2602"/>
    </row>
    <row r="59" spans="1:11" ht="18.75" customHeight="1">
      <c r="A59" s="2657" t="s">
        <v>3692</v>
      </c>
      <c r="B59" s="2659" t="s">
        <v>3693</v>
      </c>
      <c r="C59" s="2662" t="s">
        <v>3694</v>
      </c>
      <c r="D59" s="2659" t="s">
        <v>3695</v>
      </c>
      <c r="E59" s="2660" t="s">
        <v>3696</v>
      </c>
    </row>
    <row r="60" spans="1:11" ht="7.5" customHeight="1" thickBot="1">
      <c r="A60" s="2591"/>
      <c r="B60" s="2663"/>
      <c r="C60" s="2664"/>
      <c r="D60" s="2664"/>
      <c r="E60" s="2665"/>
    </row>
    <row r="61" spans="1:11" ht="14.25" thickTop="1">
      <c r="A61" s="2666" t="s">
        <v>3697</v>
      </c>
      <c r="B61" s="2667"/>
      <c r="C61" s="2668"/>
      <c r="D61" s="2668"/>
      <c r="E61" s="2648"/>
    </row>
    <row r="62" spans="1:11">
      <c r="D62" s="2669"/>
    </row>
    <row r="63" spans="1:11">
      <c r="B63" s="2669"/>
      <c r="C63" s="2669"/>
      <c r="D63" s="2670"/>
    </row>
    <row r="64" spans="1:11">
      <c r="B64" s="2669"/>
      <c r="C64" s="2669"/>
      <c r="D64" s="2670"/>
    </row>
    <row r="65" spans="2:4">
      <c r="B65" s="2669"/>
      <c r="C65" s="2669"/>
      <c r="D65" s="2670"/>
    </row>
    <row r="66" spans="2:4">
      <c r="B66" s="2670"/>
      <c r="C66" s="2670"/>
      <c r="D66" s="2670"/>
    </row>
  </sheetData>
  <printOptions horizontalCentered="1"/>
  <pageMargins left="0" right="0" top="0.69685039400000004" bottom="0.196850393700787" header="0" footer="0"/>
  <pageSetup paperSize="9" scale="8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Q20" sqref="Q20"/>
    </sheetView>
  </sheetViews>
  <sheetFormatPr defaultRowHeight="12.75"/>
  <cols>
    <col min="1" max="1" width="17.28515625" style="2671" customWidth="1"/>
    <col min="2" max="6" width="8.7109375" style="2671" customWidth="1"/>
    <col min="7" max="7" width="9.5703125" style="2671" customWidth="1"/>
    <col min="8" max="9" width="8.7109375" style="2671" customWidth="1"/>
    <col min="10" max="10" width="9.42578125" style="2671" customWidth="1"/>
    <col min="11" max="256" width="9.140625" style="2671"/>
    <col min="257" max="257" width="17.28515625" style="2671" customWidth="1"/>
    <col min="258" max="262" width="8.7109375" style="2671" customWidth="1"/>
    <col min="263" max="263" width="9.5703125" style="2671" customWidth="1"/>
    <col min="264" max="265" width="8.7109375" style="2671" customWidth="1"/>
    <col min="266" max="266" width="9.42578125" style="2671" customWidth="1"/>
    <col min="267" max="512" width="9.140625" style="2671"/>
    <col min="513" max="513" width="17.28515625" style="2671" customWidth="1"/>
    <col min="514" max="518" width="8.7109375" style="2671" customWidth="1"/>
    <col min="519" max="519" width="9.5703125" style="2671" customWidth="1"/>
    <col min="520" max="521" width="8.7109375" style="2671" customWidth="1"/>
    <col min="522" max="522" width="9.42578125" style="2671" customWidth="1"/>
    <col min="523" max="768" width="9.140625" style="2671"/>
    <col min="769" max="769" width="17.28515625" style="2671" customWidth="1"/>
    <col min="770" max="774" width="8.7109375" style="2671" customWidth="1"/>
    <col min="775" max="775" width="9.5703125" style="2671" customWidth="1"/>
    <col min="776" max="777" width="8.7109375" style="2671" customWidth="1"/>
    <col min="778" max="778" width="9.42578125" style="2671" customWidth="1"/>
    <col min="779" max="1024" width="9.140625" style="2671"/>
    <col min="1025" max="1025" width="17.28515625" style="2671" customWidth="1"/>
    <col min="1026" max="1030" width="8.7109375" style="2671" customWidth="1"/>
    <col min="1031" max="1031" width="9.5703125" style="2671" customWidth="1"/>
    <col min="1032" max="1033" width="8.7109375" style="2671" customWidth="1"/>
    <col min="1034" max="1034" width="9.42578125" style="2671" customWidth="1"/>
    <col min="1035" max="1280" width="9.140625" style="2671"/>
    <col min="1281" max="1281" width="17.28515625" style="2671" customWidth="1"/>
    <col min="1282" max="1286" width="8.7109375" style="2671" customWidth="1"/>
    <col min="1287" max="1287" width="9.5703125" style="2671" customWidth="1"/>
    <col min="1288" max="1289" width="8.7109375" style="2671" customWidth="1"/>
    <col min="1290" max="1290" width="9.42578125" style="2671" customWidth="1"/>
    <col min="1291" max="1536" width="9.140625" style="2671"/>
    <col min="1537" max="1537" width="17.28515625" style="2671" customWidth="1"/>
    <col min="1538" max="1542" width="8.7109375" style="2671" customWidth="1"/>
    <col min="1543" max="1543" width="9.5703125" style="2671" customWidth="1"/>
    <col min="1544" max="1545" width="8.7109375" style="2671" customWidth="1"/>
    <col min="1546" max="1546" width="9.42578125" style="2671" customWidth="1"/>
    <col min="1547" max="1792" width="9.140625" style="2671"/>
    <col min="1793" max="1793" width="17.28515625" style="2671" customWidth="1"/>
    <col min="1794" max="1798" width="8.7109375" style="2671" customWidth="1"/>
    <col min="1799" max="1799" width="9.5703125" style="2671" customWidth="1"/>
    <col min="1800" max="1801" width="8.7109375" style="2671" customWidth="1"/>
    <col min="1802" max="1802" width="9.42578125" style="2671" customWidth="1"/>
    <col min="1803" max="2048" width="9.140625" style="2671"/>
    <col min="2049" max="2049" width="17.28515625" style="2671" customWidth="1"/>
    <col min="2050" max="2054" width="8.7109375" style="2671" customWidth="1"/>
    <col min="2055" max="2055" width="9.5703125" style="2671" customWidth="1"/>
    <col min="2056" max="2057" width="8.7109375" style="2671" customWidth="1"/>
    <col min="2058" max="2058" width="9.42578125" style="2671" customWidth="1"/>
    <col min="2059" max="2304" width="9.140625" style="2671"/>
    <col min="2305" max="2305" width="17.28515625" style="2671" customWidth="1"/>
    <col min="2306" max="2310" width="8.7109375" style="2671" customWidth="1"/>
    <col min="2311" max="2311" width="9.5703125" style="2671" customWidth="1"/>
    <col min="2312" max="2313" width="8.7109375" style="2671" customWidth="1"/>
    <col min="2314" max="2314" width="9.42578125" style="2671" customWidth="1"/>
    <col min="2315" max="2560" width="9.140625" style="2671"/>
    <col min="2561" max="2561" width="17.28515625" style="2671" customWidth="1"/>
    <col min="2562" max="2566" width="8.7109375" style="2671" customWidth="1"/>
    <col min="2567" max="2567" width="9.5703125" style="2671" customWidth="1"/>
    <col min="2568" max="2569" width="8.7109375" style="2671" customWidth="1"/>
    <col min="2570" max="2570" width="9.42578125" style="2671" customWidth="1"/>
    <col min="2571" max="2816" width="9.140625" style="2671"/>
    <col min="2817" max="2817" width="17.28515625" style="2671" customWidth="1"/>
    <col min="2818" max="2822" width="8.7109375" style="2671" customWidth="1"/>
    <col min="2823" max="2823" width="9.5703125" style="2671" customWidth="1"/>
    <col min="2824" max="2825" width="8.7109375" style="2671" customWidth="1"/>
    <col min="2826" max="2826" width="9.42578125" style="2671" customWidth="1"/>
    <col min="2827" max="3072" width="9.140625" style="2671"/>
    <col min="3073" max="3073" width="17.28515625" style="2671" customWidth="1"/>
    <col min="3074" max="3078" width="8.7109375" style="2671" customWidth="1"/>
    <col min="3079" max="3079" width="9.5703125" style="2671" customWidth="1"/>
    <col min="3080" max="3081" width="8.7109375" style="2671" customWidth="1"/>
    <col min="3082" max="3082" width="9.42578125" style="2671" customWidth="1"/>
    <col min="3083" max="3328" width="9.140625" style="2671"/>
    <col min="3329" max="3329" width="17.28515625" style="2671" customWidth="1"/>
    <col min="3330" max="3334" width="8.7109375" style="2671" customWidth="1"/>
    <col min="3335" max="3335" width="9.5703125" style="2671" customWidth="1"/>
    <col min="3336" max="3337" width="8.7109375" style="2671" customWidth="1"/>
    <col min="3338" max="3338" width="9.42578125" style="2671" customWidth="1"/>
    <col min="3339" max="3584" width="9.140625" style="2671"/>
    <col min="3585" max="3585" width="17.28515625" style="2671" customWidth="1"/>
    <col min="3586" max="3590" width="8.7109375" style="2671" customWidth="1"/>
    <col min="3591" max="3591" width="9.5703125" style="2671" customWidth="1"/>
    <col min="3592" max="3593" width="8.7109375" style="2671" customWidth="1"/>
    <col min="3594" max="3594" width="9.42578125" style="2671" customWidth="1"/>
    <col min="3595" max="3840" width="9.140625" style="2671"/>
    <col min="3841" max="3841" width="17.28515625" style="2671" customWidth="1"/>
    <col min="3842" max="3846" width="8.7109375" style="2671" customWidth="1"/>
    <col min="3847" max="3847" width="9.5703125" style="2671" customWidth="1"/>
    <col min="3848" max="3849" width="8.7109375" style="2671" customWidth="1"/>
    <col min="3850" max="3850" width="9.42578125" style="2671" customWidth="1"/>
    <col min="3851" max="4096" width="9.140625" style="2671"/>
    <col min="4097" max="4097" width="17.28515625" style="2671" customWidth="1"/>
    <col min="4098" max="4102" width="8.7109375" style="2671" customWidth="1"/>
    <col min="4103" max="4103" width="9.5703125" style="2671" customWidth="1"/>
    <col min="4104" max="4105" width="8.7109375" style="2671" customWidth="1"/>
    <col min="4106" max="4106" width="9.42578125" style="2671" customWidth="1"/>
    <col min="4107" max="4352" width="9.140625" style="2671"/>
    <col min="4353" max="4353" width="17.28515625" style="2671" customWidth="1"/>
    <col min="4354" max="4358" width="8.7109375" style="2671" customWidth="1"/>
    <col min="4359" max="4359" width="9.5703125" style="2671" customWidth="1"/>
    <col min="4360" max="4361" width="8.7109375" style="2671" customWidth="1"/>
    <col min="4362" max="4362" width="9.42578125" style="2671" customWidth="1"/>
    <col min="4363" max="4608" width="9.140625" style="2671"/>
    <col min="4609" max="4609" width="17.28515625" style="2671" customWidth="1"/>
    <col min="4610" max="4614" width="8.7109375" style="2671" customWidth="1"/>
    <col min="4615" max="4615" width="9.5703125" style="2671" customWidth="1"/>
    <col min="4616" max="4617" width="8.7109375" style="2671" customWidth="1"/>
    <col min="4618" max="4618" width="9.42578125" style="2671" customWidth="1"/>
    <col min="4619" max="4864" width="9.140625" style="2671"/>
    <col min="4865" max="4865" width="17.28515625" style="2671" customWidth="1"/>
    <col min="4866" max="4870" width="8.7109375" style="2671" customWidth="1"/>
    <col min="4871" max="4871" width="9.5703125" style="2671" customWidth="1"/>
    <col min="4872" max="4873" width="8.7109375" style="2671" customWidth="1"/>
    <col min="4874" max="4874" width="9.42578125" style="2671" customWidth="1"/>
    <col min="4875" max="5120" width="9.140625" style="2671"/>
    <col min="5121" max="5121" width="17.28515625" style="2671" customWidth="1"/>
    <col min="5122" max="5126" width="8.7109375" style="2671" customWidth="1"/>
    <col min="5127" max="5127" width="9.5703125" style="2671" customWidth="1"/>
    <col min="5128" max="5129" width="8.7109375" style="2671" customWidth="1"/>
    <col min="5130" max="5130" width="9.42578125" style="2671" customWidth="1"/>
    <col min="5131" max="5376" width="9.140625" style="2671"/>
    <col min="5377" max="5377" width="17.28515625" style="2671" customWidth="1"/>
    <col min="5378" max="5382" width="8.7109375" style="2671" customWidth="1"/>
    <col min="5383" max="5383" width="9.5703125" style="2671" customWidth="1"/>
    <col min="5384" max="5385" width="8.7109375" style="2671" customWidth="1"/>
    <col min="5386" max="5386" width="9.42578125" style="2671" customWidth="1"/>
    <col min="5387" max="5632" width="9.140625" style="2671"/>
    <col min="5633" max="5633" width="17.28515625" style="2671" customWidth="1"/>
    <col min="5634" max="5638" width="8.7109375" style="2671" customWidth="1"/>
    <col min="5639" max="5639" width="9.5703125" style="2671" customWidth="1"/>
    <col min="5640" max="5641" width="8.7109375" style="2671" customWidth="1"/>
    <col min="5642" max="5642" width="9.42578125" style="2671" customWidth="1"/>
    <col min="5643" max="5888" width="9.140625" style="2671"/>
    <col min="5889" max="5889" width="17.28515625" style="2671" customWidth="1"/>
    <col min="5890" max="5894" width="8.7109375" style="2671" customWidth="1"/>
    <col min="5895" max="5895" width="9.5703125" style="2671" customWidth="1"/>
    <col min="5896" max="5897" width="8.7109375" style="2671" customWidth="1"/>
    <col min="5898" max="5898" width="9.42578125" style="2671" customWidth="1"/>
    <col min="5899" max="6144" width="9.140625" style="2671"/>
    <col min="6145" max="6145" width="17.28515625" style="2671" customWidth="1"/>
    <col min="6146" max="6150" width="8.7109375" style="2671" customWidth="1"/>
    <col min="6151" max="6151" width="9.5703125" style="2671" customWidth="1"/>
    <col min="6152" max="6153" width="8.7109375" style="2671" customWidth="1"/>
    <col min="6154" max="6154" width="9.42578125" style="2671" customWidth="1"/>
    <col min="6155" max="6400" width="9.140625" style="2671"/>
    <col min="6401" max="6401" width="17.28515625" style="2671" customWidth="1"/>
    <col min="6402" max="6406" width="8.7109375" style="2671" customWidth="1"/>
    <col min="6407" max="6407" width="9.5703125" style="2671" customWidth="1"/>
    <col min="6408" max="6409" width="8.7109375" style="2671" customWidth="1"/>
    <col min="6410" max="6410" width="9.42578125" style="2671" customWidth="1"/>
    <col min="6411" max="6656" width="9.140625" style="2671"/>
    <col min="6657" max="6657" width="17.28515625" style="2671" customWidth="1"/>
    <col min="6658" max="6662" width="8.7109375" style="2671" customWidth="1"/>
    <col min="6663" max="6663" width="9.5703125" style="2671" customWidth="1"/>
    <col min="6664" max="6665" width="8.7109375" style="2671" customWidth="1"/>
    <col min="6666" max="6666" width="9.42578125" style="2671" customWidth="1"/>
    <col min="6667" max="6912" width="9.140625" style="2671"/>
    <col min="6913" max="6913" width="17.28515625" style="2671" customWidth="1"/>
    <col min="6914" max="6918" width="8.7109375" style="2671" customWidth="1"/>
    <col min="6919" max="6919" width="9.5703125" style="2671" customWidth="1"/>
    <col min="6920" max="6921" width="8.7109375" style="2671" customWidth="1"/>
    <col min="6922" max="6922" width="9.42578125" style="2671" customWidth="1"/>
    <col min="6923" max="7168" width="9.140625" style="2671"/>
    <col min="7169" max="7169" width="17.28515625" style="2671" customWidth="1"/>
    <col min="7170" max="7174" width="8.7109375" style="2671" customWidth="1"/>
    <col min="7175" max="7175" width="9.5703125" style="2671" customWidth="1"/>
    <col min="7176" max="7177" width="8.7109375" style="2671" customWidth="1"/>
    <col min="7178" max="7178" width="9.42578125" style="2671" customWidth="1"/>
    <col min="7179" max="7424" width="9.140625" style="2671"/>
    <col min="7425" max="7425" width="17.28515625" style="2671" customWidth="1"/>
    <col min="7426" max="7430" width="8.7109375" style="2671" customWidth="1"/>
    <col min="7431" max="7431" width="9.5703125" style="2671" customWidth="1"/>
    <col min="7432" max="7433" width="8.7109375" style="2671" customWidth="1"/>
    <col min="7434" max="7434" width="9.42578125" style="2671" customWidth="1"/>
    <col min="7435" max="7680" width="9.140625" style="2671"/>
    <col min="7681" max="7681" width="17.28515625" style="2671" customWidth="1"/>
    <col min="7682" max="7686" width="8.7109375" style="2671" customWidth="1"/>
    <col min="7687" max="7687" width="9.5703125" style="2671" customWidth="1"/>
    <col min="7688" max="7689" width="8.7109375" style="2671" customWidth="1"/>
    <col min="7690" max="7690" width="9.42578125" style="2671" customWidth="1"/>
    <col min="7691" max="7936" width="9.140625" style="2671"/>
    <col min="7937" max="7937" width="17.28515625" style="2671" customWidth="1"/>
    <col min="7938" max="7942" width="8.7109375" style="2671" customWidth="1"/>
    <col min="7943" max="7943" width="9.5703125" style="2671" customWidth="1"/>
    <col min="7944" max="7945" width="8.7109375" style="2671" customWidth="1"/>
    <col min="7946" max="7946" width="9.42578125" style="2671" customWidth="1"/>
    <col min="7947" max="8192" width="9.140625" style="2671"/>
    <col min="8193" max="8193" width="17.28515625" style="2671" customWidth="1"/>
    <col min="8194" max="8198" width="8.7109375" style="2671" customWidth="1"/>
    <col min="8199" max="8199" width="9.5703125" style="2671" customWidth="1"/>
    <col min="8200" max="8201" width="8.7109375" style="2671" customWidth="1"/>
    <col min="8202" max="8202" width="9.42578125" style="2671" customWidth="1"/>
    <col min="8203" max="8448" width="9.140625" style="2671"/>
    <col min="8449" max="8449" width="17.28515625" style="2671" customWidth="1"/>
    <col min="8450" max="8454" width="8.7109375" style="2671" customWidth="1"/>
    <col min="8455" max="8455" width="9.5703125" style="2671" customWidth="1"/>
    <col min="8456" max="8457" width="8.7109375" style="2671" customWidth="1"/>
    <col min="8458" max="8458" width="9.42578125" style="2671" customWidth="1"/>
    <col min="8459" max="8704" width="9.140625" style="2671"/>
    <col min="8705" max="8705" width="17.28515625" style="2671" customWidth="1"/>
    <col min="8706" max="8710" width="8.7109375" style="2671" customWidth="1"/>
    <col min="8711" max="8711" width="9.5703125" style="2671" customWidth="1"/>
    <col min="8712" max="8713" width="8.7109375" style="2671" customWidth="1"/>
    <col min="8714" max="8714" width="9.42578125" style="2671" customWidth="1"/>
    <col min="8715" max="8960" width="9.140625" style="2671"/>
    <col min="8961" max="8961" width="17.28515625" style="2671" customWidth="1"/>
    <col min="8962" max="8966" width="8.7109375" style="2671" customWidth="1"/>
    <col min="8967" max="8967" width="9.5703125" style="2671" customWidth="1"/>
    <col min="8968" max="8969" width="8.7109375" style="2671" customWidth="1"/>
    <col min="8970" max="8970" width="9.42578125" style="2671" customWidth="1"/>
    <col min="8971" max="9216" width="9.140625" style="2671"/>
    <col min="9217" max="9217" width="17.28515625" style="2671" customWidth="1"/>
    <col min="9218" max="9222" width="8.7109375" style="2671" customWidth="1"/>
    <col min="9223" max="9223" width="9.5703125" style="2671" customWidth="1"/>
    <col min="9224" max="9225" width="8.7109375" style="2671" customWidth="1"/>
    <col min="9226" max="9226" width="9.42578125" style="2671" customWidth="1"/>
    <col min="9227" max="9472" width="9.140625" style="2671"/>
    <col min="9473" max="9473" width="17.28515625" style="2671" customWidth="1"/>
    <col min="9474" max="9478" width="8.7109375" style="2671" customWidth="1"/>
    <col min="9479" max="9479" width="9.5703125" style="2671" customWidth="1"/>
    <col min="9480" max="9481" width="8.7109375" style="2671" customWidth="1"/>
    <col min="9482" max="9482" width="9.42578125" style="2671" customWidth="1"/>
    <col min="9483" max="9728" width="9.140625" style="2671"/>
    <col min="9729" max="9729" width="17.28515625" style="2671" customWidth="1"/>
    <col min="9730" max="9734" width="8.7109375" style="2671" customWidth="1"/>
    <col min="9735" max="9735" width="9.5703125" style="2671" customWidth="1"/>
    <col min="9736" max="9737" width="8.7109375" style="2671" customWidth="1"/>
    <col min="9738" max="9738" width="9.42578125" style="2671" customWidth="1"/>
    <col min="9739" max="9984" width="9.140625" style="2671"/>
    <col min="9985" max="9985" width="17.28515625" style="2671" customWidth="1"/>
    <col min="9986" max="9990" width="8.7109375" style="2671" customWidth="1"/>
    <col min="9991" max="9991" width="9.5703125" style="2671" customWidth="1"/>
    <col min="9992" max="9993" width="8.7109375" style="2671" customWidth="1"/>
    <col min="9994" max="9994" width="9.42578125" style="2671" customWidth="1"/>
    <col min="9995" max="10240" width="9.140625" style="2671"/>
    <col min="10241" max="10241" width="17.28515625" style="2671" customWidth="1"/>
    <col min="10242" max="10246" width="8.7109375" style="2671" customWidth="1"/>
    <col min="10247" max="10247" width="9.5703125" style="2671" customWidth="1"/>
    <col min="10248" max="10249" width="8.7109375" style="2671" customWidth="1"/>
    <col min="10250" max="10250" width="9.42578125" style="2671" customWidth="1"/>
    <col min="10251" max="10496" width="9.140625" style="2671"/>
    <col min="10497" max="10497" width="17.28515625" style="2671" customWidth="1"/>
    <col min="10498" max="10502" width="8.7109375" style="2671" customWidth="1"/>
    <col min="10503" max="10503" width="9.5703125" style="2671" customWidth="1"/>
    <col min="10504" max="10505" width="8.7109375" style="2671" customWidth="1"/>
    <col min="10506" max="10506" width="9.42578125" style="2671" customWidth="1"/>
    <col min="10507" max="10752" width="9.140625" style="2671"/>
    <col min="10753" max="10753" width="17.28515625" style="2671" customWidth="1"/>
    <col min="10754" max="10758" width="8.7109375" style="2671" customWidth="1"/>
    <col min="10759" max="10759" width="9.5703125" style="2671" customWidth="1"/>
    <col min="10760" max="10761" width="8.7109375" style="2671" customWidth="1"/>
    <col min="10762" max="10762" width="9.42578125" style="2671" customWidth="1"/>
    <col min="10763" max="11008" width="9.140625" style="2671"/>
    <col min="11009" max="11009" width="17.28515625" style="2671" customWidth="1"/>
    <col min="11010" max="11014" width="8.7109375" style="2671" customWidth="1"/>
    <col min="11015" max="11015" width="9.5703125" style="2671" customWidth="1"/>
    <col min="11016" max="11017" width="8.7109375" style="2671" customWidth="1"/>
    <col min="11018" max="11018" width="9.42578125" style="2671" customWidth="1"/>
    <col min="11019" max="11264" width="9.140625" style="2671"/>
    <col min="11265" max="11265" width="17.28515625" style="2671" customWidth="1"/>
    <col min="11266" max="11270" width="8.7109375" style="2671" customWidth="1"/>
    <col min="11271" max="11271" width="9.5703125" style="2671" customWidth="1"/>
    <col min="11272" max="11273" width="8.7109375" style="2671" customWidth="1"/>
    <col min="11274" max="11274" width="9.42578125" style="2671" customWidth="1"/>
    <col min="11275" max="11520" width="9.140625" style="2671"/>
    <col min="11521" max="11521" width="17.28515625" style="2671" customWidth="1"/>
    <col min="11522" max="11526" width="8.7109375" style="2671" customWidth="1"/>
    <col min="11527" max="11527" width="9.5703125" style="2671" customWidth="1"/>
    <col min="11528" max="11529" width="8.7109375" style="2671" customWidth="1"/>
    <col min="11530" max="11530" width="9.42578125" style="2671" customWidth="1"/>
    <col min="11531" max="11776" width="9.140625" style="2671"/>
    <col min="11777" max="11777" width="17.28515625" style="2671" customWidth="1"/>
    <col min="11778" max="11782" width="8.7109375" style="2671" customWidth="1"/>
    <col min="11783" max="11783" width="9.5703125" style="2671" customWidth="1"/>
    <col min="11784" max="11785" width="8.7109375" style="2671" customWidth="1"/>
    <col min="11786" max="11786" width="9.42578125" style="2671" customWidth="1"/>
    <col min="11787" max="12032" width="9.140625" style="2671"/>
    <col min="12033" max="12033" width="17.28515625" style="2671" customWidth="1"/>
    <col min="12034" max="12038" width="8.7109375" style="2671" customWidth="1"/>
    <col min="12039" max="12039" width="9.5703125" style="2671" customWidth="1"/>
    <col min="12040" max="12041" width="8.7109375" style="2671" customWidth="1"/>
    <col min="12042" max="12042" width="9.42578125" style="2671" customWidth="1"/>
    <col min="12043" max="12288" width="9.140625" style="2671"/>
    <col min="12289" max="12289" width="17.28515625" style="2671" customWidth="1"/>
    <col min="12290" max="12294" width="8.7109375" style="2671" customWidth="1"/>
    <col min="12295" max="12295" width="9.5703125" style="2671" customWidth="1"/>
    <col min="12296" max="12297" width="8.7109375" style="2671" customWidth="1"/>
    <col min="12298" max="12298" width="9.42578125" style="2671" customWidth="1"/>
    <col min="12299" max="12544" width="9.140625" style="2671"/>
    <col min="12545" max="12545" width="17.28515625" style="2671" customWidth="1"/>
    <col min="12546" max="12550" width="8.7109375" style="2671" customWidth="1"/>
    <col min="12551" max="12551" width="9.5703125" style="2671" customWidth="1"/>
    <col min="12552" max="12553" width="8.7109375" style="2671" customWidth="1"/>
    <col min="12554" max="12554" width="9.42578125" style="2671" customWidth="1"/>
    <col min="12555" max="12800" width="9.140625" style="2671"/>
    <col min="12801" max="12801" width="17.28515625" style="2671" customWidth="1"/>
    <col min="12802" max="12806" width="8.7109375" style="2671" customWidth="1"/>
    <col min="12807" max="12807" width="9.5703125" style="2671" customWidth="1"/>
    <col min="12808" max="12809" width="8.7109375" style="2671" customWidth="1"/>
    <col min="12810" max="12810" width="9.42578125" style="2671" customWidth="1"/>
    <col min="12811" max="13056" width="9.140625" style="2671"/>
    <col min="13057" max="13057" width="17.28515625" style="2671" customWidth="1"/>
    <col min="13058" max="13062" width="8.7109375" style="2671" customWidth="1"/>
    <col min="13063" max="13063" width="9.5703125" style="2671" customWidth="1"/>
    <col min="13064" max="13065" width="8.7109375" style="2671" customWidth="1"/>
    <col min="13066" max="13066" width="9.42578125" style="2671" customWidth="1"/>
    <col min="13067" max="13312" width="9.140625" style="2671"/>
    <col min="13313" max="13313" width="17.28515625" style="2671" customWidth="1"/>
    <col min="13314" max="13318" width="8.7109375" style="2671" customWidth="1"/>
    <col min="13319" max="13319" width="9.5703125" style="2671" customWidth="1"/>
    <col min="13320" max="13321" width="8.7109375" style="2671" customWidth="1"/>
    <col min="13322" max="13322" width="9.42578125" style="2671" customWidth="1"/>
    <col min="13323" max="13568" width="9.140625" style="2671"/>
    <col min="13569" max="13569" width="17.28515625" style="2671" customWidth="1"/>
    <col min="13570" max="13574" width="8.7109375" style="2671" customWidth="1"/>
    <col min="13575" max="13575" width="9.5703125" style="2671" customWidth="1"/>
    <col min="13576" max="13577" width="8.7109375" style="2671" customWidth="1"/>
    <col min="13578" max="13578" width="9.42578125" style="2671" customWidth="1"/>
    <col min="13579" max="13824" width="9.140625" style="2671"/>
    <col min="13825" max="13825" width="17.28515625" style="2671" customWidth="1"/>
    <col min="13826" max="13830" width="8.7109375" style="2671" customWidth="1"/>
    <col min="13831" max="13831" width="9.5703125" style="2671" customWidth="1"/>
    <col min="13832" max="13833" width="8.7109375" style="2671" customWidth="1"/>
    <col min="13834" max="13834" width="9.42578125" style="2671" customWidth="1"/>
    <col min="13835" max="14080" width="9.140625" style="2671"/>
    <col min="14081" max="14081" width="17.28515625" style="2671" customWidth="1"/>
    <col min="14082" max="14086" width="8.7109375" style="2671" customWidth="1"/>
    <col min="14087" max="14087" width="9.5703125" style="2671" customWidth="1"/>
    <col min="14088" max="14089" width="8.7109375" style="2671" customWidth="1"/>
    <col min="14090" max="14090" width="9.42578125" style="2671" customWidth="1"/>
    <col min="14091" max="14336" width="9.140625" style="2671"/>
    <col min="14337" max="14337" width="17.28515625" style="2671" customWidth="1"/>
    <col min="14338" max="14342" width="8.7109375" style="2671" customWidth="1"/>
    <col min="14343" max="14343" width="9.5703125" style="2671" customWidth="1"/>
    <col min="14344" max="14345" width="8.7109375" style="2671" customWidth="1"/>
    <col min="14346" max="14346" width="9.42578125" style="2671" customWidth="1"/>
    <col min="14347" max="14592" width="9.140625" style="2671"/>
    <col min="14593" max="14593" width="17.28515625" style="2671" customWidth="1"/>
    <col min="14594" max="14598" width="8.7109375" style="2671" customWidth="1"/>
    <col min="14599" max="14599" width="9.5703125" style="2671" customWidth="1"/>
    <col min="14600" max="14601" width="8.7109375" style="2671" customWidth="1"/>
    <col min="14602" max="14602" width="9.42578125" style="2671" customWidth="1"/>
    <col min="14603" max="14848" width="9.140625" style="2671"/>
    <col min="14849" max="14849" width="17.28515625" style="2671" customWidth="1"/>
    <col min="14850" max="14854" width="8.7109375" style="2671" customWidth="1"/>
    <col min="14855" max="14855" width="9.5703125" style="2671" customWidth="1"/>
    <col min="14856" max="14857" width="8.7109375" style="2671" customWidth="1"/>
    <col min="14858" max="14858" width="9.42578125" style="2671" customWidth="1"/>
    <col min="14859" max="15104" width="9.140625" style="2671"/>
    <col min="15105" max="15105" width="17.28515625" style="2671" customWidth="1"/>
    <col min="15106" max="15110" width="8.7109375" style="2671" customWidth="1"/>
    <col min="15111" max="15111" width="9.5703125" style="2671" customWidth="1"/>
    <col min="15112" max="15113" width="8.7109375" style="2671" customWidth="1"/>
    <col min="15114" max="15114" width="9.42578125" style="2671" customWidth="1"/>
    <col min="15115" max="15360" width="9.140625" style="2671"/>
    <col min="15361" max="15361" width="17.28515625" style="2671" customWidth="1"/>
    <col min="15362" max="15366" width="8.7109375" style="2671" customWidth="1"/>
    <col min="15367" max="15367" width="9.5703125" style="2671" customWidth="1"/>
    <col min="15368" max="15369" width="8.7109375" style="2671" customWidth="1"/>
    <col min="15370" max="15370" width="9.42578125" style="2671" customWidth="1"/>
    <col min="15371" max="15616" width="9.140625" style="2671"/>
    <col min="15617" max="15617" width="17.28515625" style="2671" customWidth="1"/>
    <col min="15618" max="15622" width="8.7109375" style="2671" customWidth="1"/>
    <col min="15623" max="15623" width="9.5703125" style="2671" customWidth="1"/>
    <col min="15624" max="15625" width="8.7109375" style="2671" customWidth="1"/>
    <col min="15626" max="15626" width="9.42578125" style="2671" customWidth="1"/>
    <col min="15627" max="15872" width="9.140625" style="2671"/>
    <col min="15873" max="15873" width="17.28515625" style="2671" customWidth="1"/>
    <col min="15874" max="15878" width="8.7109375" style="2671" customWidth="1"/>
    <col min="15879" max="15879" width="9.5703125" style="2671" customWidth="1"/>
    <col min="15880" max="15881" width="8.7109375" style="2671" customWidth="1"/>
    <col min="15882" max="15882" width="9.42578125" style="2671" customWidth="1"/>
    <col min="15883" max="16128" width="9.140625" style="2671"/>
    <col min="16129" max="16129" width="17.28515625" style="2671" customWidth="1"/>
    <col min="16130" max="16134" width="8.7109375" style="2671" customWidth="1"/>
    <col min="16135" max="16135" width="9.5703125" style="2671" customWidth="1"/>
    <col min="16136" max="16137" width="8.7109375" style="2671" customWidth="1"/>
    <col min="16138" max="16138" width="9.42578125" style="2671" customWidth="1"/>
    <col min="16139" max="16384" width="9.140625" style="2671"/>
  </cols>
  <sheetData>
    <row r="1" spans="1:10" ht="39" customHeight="1">
      <c r="A1" s="3438" t="s">
        <v>3698</v>
      </c>
      <c r="B1" s="3438"/>
      <c r="C1" s="3438"/>
      <c r="D1" s="3438"/>
      <c r="E1" s="3438"/>
      <c r="F1" s="3438"/>
      <c r="G1" s="3438"/>
      <c r="H1" s="3438"/>
      <c r="I1" s="3438"/>
      <c r="J1" s="3438"/>
    </row>
    <row r="2" spans="1:10" ht="19.5" thickBot="1">
      <c r="A2" s="2672"/>
      <c r="B2" s="2673"/>
      <c r="C2" s="2673"/>
      <c r="D2" s="2673"/>
      <c r="E2" s="2674"/>
      <c r="F2" s="2674"/>
      <c r="G2" s="2674"/>
      <c r="H2" s="2674"/>
      <c r="I2" s="2674"/>
      <c r="J2" s="2524"/>
    </row>
    <row r="3" spans="1:10" ht="15.75" customHeight="1">
      <c r="A3" s="2675"/>
      <c r="B3" s="3439" t="s">
        <v>3699</v>
      </c>
      <c r="C3" s="3440"/>
      <c r="D3" s="3441"/>
      <c r="E3" s="3442" t="s">
        <v>3700</v>
      </c>
      <c r="F3" s="3443"/>
      <c r="G3" s="3444"/>
      <c r="H3" s="3442" t="s">
        <v>3701</v>
      </c>
      <c r="I3" s="3443"/>
      <c r="J3" s="3445"/>
    </row>
    <row r="4" spans="1:10" ht="17.25" customHeight="1">
      <c r="A4" s="2676" t="s">
        <v>212</v>
      </c>
      <c r="B4" s="2677">
        <v>2012</v>
      </c>
      <c r="C4" s="2677">
        <v>2013</v>
      </c>
      <c r="D4" s="2678">
        <v>2014</v>
      </c>
      <c r="E4" s="2677">
        <v>2012</v>
      </c>
      <c r="F4" s="2679">
        <v>2013</v>
      </c>
      <c r="G4" s="2678">
        <v>2014</v>
      </c>
      <c r="H4" s="2677">
        <v>2012</v>
      </c>
      <c r="I4" s="2679">
        <v>2013</v>
      </c>
      <c r="J4" s="2680">
        <v>2014</v>
      </c>
    </row>
    <row r="5" spans="1:10" ht="21" customHeight="1">
      <c r="A5" s="2681" t="s">
        <v>3111</v>
      </c>
      <c r="B5" s="2682" t="s">
        <v>3702</v>
      </c>
      <c r="C5" s="2682" t="s">
        <v>3703</v>
      </c>
      <c r="D5" s="2683" t="s">
        <v>3704</v>
      </c>
      <c r="E5" s="2684" t="s">
        <v>3705</v>
      </c>
      <c r="F5" s="2682" t="s">
        <v>3706</v>
      </c>
      <c r="G5" s="2683" t="s">
        <v>3707</v>
      </c>
      <c r="H5" s="2684" t="s">
        <v>3708</v>
      </c>
      <c r="I5" s="2685" t="s">
        <v>3709</v>
      </c>
      <c r="J5" s="2686" t="s">
        <v>3710</v>
      </c>
    </row>
    <row r="6" spans="1:10" ht="21" customHeight="1">
      <c r="A6" s="2687" t="s">
        <v>3112</v>
      </c>
      <c r="B6" s="2688" t="s">
        <v>3711</v>
      </c>
      <c r="C6" s="2688" t="s">
        <v>3712</v>
      </c>
      <c r="D6" s="2689" t="s">
        <v>3713</v>
      </c>
      <c r="E6" s="2690" t="s">
        <v>3714</v>
      </c>
      <c r="F6" s="2691" t="s">
        <v>3715</v>
      </c>
      <c r="G6" s="2689" t="s">
        <v>3716</v>
      </c>
      <c r="H6" s="2690" t="s">
        <v>3717</v>
      </c>
      <c r="I6" s="2691" t="s">
        <v>3718</v>
      </c>
      <c r="J6" s="2692" t="s">
        <v>3719</v>
      </c>
    </row>
    <row r="7" spans="1:10" ht="21" customHeight="1">
      <c r="A7" s="2687" t="s">
        <v>3113</v>
      </c>
      <c r="B7" s="2688" t="s">
        <v>3720</v>
      </c>
      <c r="C7" s="2688" t="s">
        <v>3721</v>
      </c>
      <c r="D7" s="2689" t="s">
        <v>3722</v>
      </c>
      <c r="E7" s="2690" t="s">
        <v>3723</v>
      </c>
      <c r="F7" s="2691" t="s">
        <v>3724</v>
      </c>
      <c r="G7" s="2689" t="s">
        <v>3725</v>
      </c>
      <c r="H7" s="2690" t="s">
        <v>3726</v>
      </c>
      <c r="I7" s="2691" t="s">
        <v>3727</v>
      </c>
      <c r="J7" s="2692" t="s">
        <v>3728</v>
      </c>
    </row>
    <row r="8" spans="1:10" ht="21" customHeight="1">
      <c r="A8" s="2687" t="s">
        <v>3114</v>
      </c>
      <c r="B8" s="2688" t="s">
        <v>3729</v>
      </c>
      <c r="C8" s="2688" t="s">
        <v>3730</v>
      </c>
      <c r="D8" s="2689" t="s">
        <v>3731</v>
      </c>
      <c r="E8" s="2690" t="s">
        <v>3732</v>
      </c>
      <c r="F8" s="2691" t="s">
        <v>3733</v>
      </c>
      <c r="G8" s="2689" t="s">
        <v>3734</v>
      </c>
      <c r="H8" s="2690" t="s">
        <v>3735</v>
      </c>
      <c r="I8" s="2691" t="s">
        <v>3736</v>
      </c>
      <c r="J8" s="2692" t="s">
        <v>3737</v>
      </c>
    </row>
    <row r="9" spans="1:10" ht="21" customHeight="1">
      <c r="A9" s="2687" t="s">
        <v>3115</v>
      </c>
      <c r="B9" s="2688" t="s">
        <v>3738</v>
      </c>
      <c r="C9" s="2688" t="s">
        <v>3739</v>
      </c>
      <c r="D9" s="2689" t="s">
        <v>3740</v>
      </c>
      <c r="E9" s="2690" t="s">
        <v>3741</v>
      </c>
      <c r="F9" s="2691" t="s">
        <v>3742</v>
      </c>
      <c r="G9" s="2689" t="s">
        <v>3743</v>
      </c>
      <c r="H9" s="2690" t="s">
        <v>3744</v>
      </c>
      <c r="I9" s="2691" t="s">
        <v>3745</v>
      </c>
      <c r="J9" s="2692" t="s">
        <v>3746</v>
      </c>
    </row>
    <row r="10" spans="1:10" ht="21" customHeight="1">
      <c r="A10" s="2687" t="s">
        <v>3116</v>
      </c>
      <c r="B10" s="2688" t="s">
        <v>3747</v>
      </c>
      <c r="C10" s="2688" t="s">
        <v>3748</v>
      </c>
      <c r="D10" s="2689" t="s">
        <v>3691</v>
      </c>
      <c r="E10" s="2690" t="s">
        <v>3749</v>
      </c>
      <c r="F10" s="2691" t="s">
        <v>3750</v>
      </c>
      <c r="G10" s="2689" t="s">
        <v>3696</v>
      </c>
      <c r="H10" s="2690" t="s">
        <v>3751</v>
      </c>
      <c r="I10" s="2691" t="s">
        <v>3752</v>
      </c>
      <c r="J10" s="2692" t="s">
        <v>3686</v>
      </c>
    </row>
    <row r="11" spans="1:10" ht="21" customHeight="1">
      <c r="A11" s="2687" t="s">
        <v>3117</v>
      </c>
      <c r="B11" s="2688" t="s">
        <v>3753</v>
      </c>
      <c r="C11" s="2688" t="s">
        <v>3754</v>
      </c>
      <c r="D11" s="2689" t="s">
        <v>3690</v>
      </c>
      <c r="E11" s="2690" t="s">
        <v>3755</v>
      </c>
      <c r="F11" s="2691" t="s">
        <v>3756</v>
      </c>
      <c r="G11" s="2689" t="s">
        <v>3695</v>
      </c>
      <c r="H11" s="2690" t="s">
        <v>3757</v>
      </c>
      <c r="I11" s="2691" t="s">
        <v>3758</v>
      </c>
      <c r="J11" s="2692" t="s">
        <v>3685</v>
      </c>
    </row>
    <row r="12" spans="1:10" ht="21" customHeight="1">
      <c r="A12" s="2687" t="s">
        <v>3118</v>
      </c>
      <c r="B12" s="2688" t="s">
        <v>3759</v>
      </c>
      <c r="C12" s="2688" t="s">
        <v>3760</v>
      </c>
      <c r="D12" s="2689"/>
      <c r="E12" s="2690" t="s">
        <v>3761</v>
      </c>
      <c r="F12" s="2691" t="s">
        <v>3762</v>
      </c>
      <c r="G12" s="2689"/>
      <c r="H12" s="2690" t="s">
        <v>3763</v>
      </c>
      <c r="I12" s="2691" t="s">
        <v>3764</v>
      </c>
      <c r="J12" s="2692"/>
    </row>
    <row r="13" spans="1:10" ht="21" customHeight="1">
      <c r="A13" s="2687" t="s">
        <v>3119</v>
      </c>
      <c r="B13" s="2688" t="s">
        <v>3765</v>
      </c>
      <c r="C13" s="2688" t="s">
        <v>3766</v>
      </c>
      <c r="D13" s="2689"/>
      <c r="E13" s="2690" t="s">
        <v>3767</v>
      </c>
      <c r="F13" s="2691" t="s">
        <v>3768</v>
      </c>
      <c r="G13" s="2689"/>
      <c r="H13" s="2690" t="s">
        <v>3769</v>
      </c>
      <c r="I13" s="2691" t="s">
        <v>3770</v>
      </c>
      <c r="J13" s="2692"/>
    </row>
    <row r="14" spans="1:10" ht="21" customHeight="1">
      <c r="A14" s="2687" t="s">
        <v>3120</v>
      </c>
      <c r="B14" s="2688" t="s">
        <v>3771</v>
      </c>
      <c r="C14" s="2688" t="s">
        <v>3772</v>
      </c>
      <c r="D14" s="2689"/>
      <c r="E14" s="2690" t="s">
        <v>3773</v>
      </c>
      <c r="F14" s="2691" t="s">
        <v>3774</v>
      </c>
      <c r="G14" s="2689"/>
      <c r="H14" s="2690" t="s">
        <v>3775</v>
      </c>
      <c r="I14" s="2691" t="s">
        <v>3776</v>
      </c>
      <c r="J14" s="2692"/>
    </row>
    <row r="15" spans="1:10" ht="21" customHeight="1">
      <c r="A15" s="2687" t="s">
        <v>3121</v>
      </c>
      <c r="B15" s="2688" t="s">
        <v>3777</v>
      </c>
      <c r="C15" s="2688" t="s">
        <v>3778</v>
      </c>
      <c r="D15" s="2689"/>
      <c r="E15" s="2690" t="s">
        <v>3779</v>
      </c>
      <c r="F15" s="2691" t="s">
        <v>3780</v>
      </c>
      <c r="G15" s="2689"/>
      <c r="H15" s="2690" t="s">
        <v>3781</v>
      </c>
      <c r="I15" s="2691" t="s">
        <v>3782</v>
      </c>
      <c r="J15" s="2692"/>
    </row>
    <row r="16" spans="1:10" ht="21" customHeight="1" thickBot="1">
      <c r="A16" s="2693" t="s">
        <v>3122</v>
      </c>
      <c r="B16" s="2694" t="s">
        <v>3783</v>
      </c>
      <c r="C16" s="2694" t="s">
        <v>3784</v>
      </c>
      <c r="D16" s="2695"/>
      <c r="E16" s="2694" t="s">
        <v>3785</v>
      </c>
      <c r="F16" s="2696" t="s">
        <v>3786</v>
      </c>
      <c r="G16" s="2695"/>
      <c r="H16" s="2694" t="s">
        <v>3787</v>
      </c>
      <c r="I16" s="2696" t="s">
        <v>3788</v>
      </c>
      <c r="J16" s="2697"/>
    </row>
    <row r="17" spans="1:256" ht="15">
      <c r="A17" s="2698" t="s">
        <v>3789</v>
      </c>
      <c r="B17" s="2524"/>
      <c r="C17" s="2524"/>
      <c r="D17" s="2524"/>
      <c r="E17" s="2524"/>
      <c r="F17" s="2524"/>
      <c r="G17" s="2524"/>
      <c r="H17" s="2524"/>
      <c r="I17" s="2524"/>
      <c r="J17" s="2524"/>
    </row>
    <row r="18" spans="1:256">
      <c r="A18" s="2699" t="s">
        <v>680</v>
      </c>
    </row>
    <row r="20" spans="1:256" ht="18.75">
      <c r="A20" s="2700" t="s">
        <v>3790</v>
      </c>
    </row>
    <row r="21" spans="1:256" ht="13.5" thickBot="1"/>
    <row r="22" spans="1:256">
      <c r="A22" s="2701"/>
      <c r="B22" s="3446" t="s">
        <v>3791</v>
      </c>
      <c r="C22" s="3446"/>
      <c r="D22" s="3446"/>
      <c r="E22" s="3447"/>
      <c r="F22" s="3448" t="s">
        <v>3792</v>
      </c>
      <c r="G22" s="3446"/>
      <c r="H22" s="3446"/>
      <c r="I22" s="3449"/>
      <c r="J22" s="2702"/>
      <c r="K22" s="2702"/>
      <c r="L22" s="2702"/>
      <c r="M22" s="2702"/>
      <c r="N22" s="2702"/>
      <c r="O22" s="2702"/>
      <c r="P22" s="2702"/>
      <c r="Q22" s="2702"/>
      <c r="R22" s="2702"/>
      <c r="S22" s="2702"/>
      <c r="T22" s="2702"/>
      <c r="U22" s="2702"/>
      <c r="V22" s="2702"/>
      <c r="W22" s="2702"/>
      <c r="X22" s="2702"/>
      <c r="Y22" s="2702"/>
      <c r="Z22" s="2702"/>
      <c r="AA22" s="2702"/>
      <c r="AB22" s="2702"/>
      <c r="AC22" s="2702"/>
      <c r="AD22" s="2702"/>
      <c r="AE22" s="2702"/>
      <c r="AF22" s="2702"/>
      <c r="AG22" s="2702"/>
      <c r="AH22" s="2702"/>
      <c r="AI22" s="2702"/>
      <c r="AJ22" s="2702"/>
      <c r="AK22" s="2702"/>
      <c r="AL22" s="2702"/>
      <c r="AM22" s="2702"/>
      <c r="AN22" s="2702"/>
      <c r="AO22" s="2702"/>
      <c r="AP22" s="2702"/>
      <c r="AQ22" s="2702"/>
      <c r="AR22" s="2702"/>
      <c r="AS22" s="2702"/>
      <c r="AT22" s="2702"/>
      <c r="AU22" s="2702"/>
      <c r="AV22" s="2702"/>
      <c r="AW22" s="2702"/>
      <c r="AX22" s="2702"/>
      <c r="AY22" s="2702"/>
      <c r="AZ22" s="2702"/>
      <c r="BA22" s="2702"/>
      <c r="BB22" s="2702"/>
      <c r="BC22" s="2702"/>
      <c r="BD22" s="2702"/>
      <c r="BE22" s="2702"/>
      <c r="BF22" s="2702"/>
      <c r="BG22" s="2702"/>
      <c r="BH22" s="2702"/>
      <c r="BI22" s="2702"/>
      <c r="BJ22" s="2702"/>
      <c r="BK22" s="2702"/>
      <c r="BL22" s="2702"/>
      <c r="BM22" s="2702"/>
      <c r="BN22" s="2702"/>
      <c r="BO22" s="2702"/>
      <c r="BP22" s="2702"/>
      <c r="BQ22" s="2702"/>
      <c r="BR22" s="2702"/>
      <c r="BS22" s="2702"/>
      <c r="BT22" s="2702"/>
      <c r="BU22" s="2702"/>
      <c r="BV22" s="2702"/>
      <c r="BW22" s="2702"/>
      <c r="BX22" s="2702"/>
      <c r="BY22" s="2702"/>
      <c r="BZ22" s="2702"/>
      <c r="CA22" s="2702"/>
      <c r="CB22" s="2702"/>
      <c r="CC22" s="2702"/>
      <c r="CD22" s="2702"/>
      <c r="CE22" s="2702"/>
      <c r="CF22" s="2702"/>
      <c r="CG22" s="2702"/>
      <c r="CH22" s="2702"/>
      <c r="CI22" s="2702"/>
      <c r="CJ22" s="2702"/>
      <c r="CK22" s="2702"/>
      <c r="CL22" s="2702"/>
      <c r="CM22" s="2702"/>
      <c r="CN22" s="2702"/>
      <c r="CO22" s="2702"/>
      <c r="CP22" s="2702"/>
      <c r="CQ22" s="2702"/>
      <c r="CR22" s="2702"/>
      <c r="CS22" s="2702"/>
      <c r="CT22" s="2702"/>
      <c r="CU22" s="2702"/>
      <c r="CV22" s="2702"/>
      <c r="CW22" s="2702"/>
      <c r="CX22" s="2702"/>
      <c r="CY22" s="2702"/>
      <c r="CZ22" s="2702"/>
      <c r="DA22" s="2702"/>
      <c r="DB22" s="2702"/>
      <c r="DC22" s="2702"/>
      <c r="DD22" s="2702"/>
      <c r="DE22" s="2702"/>
      <c r="DF22" s="2702"/>
      <c r="DG22" s="2702"/>
      <c r="DH22" s="2702"/>
      <c r="DI22" s="2702"/>
      <c r="DJ22" s="2702"/>
      <c r="DK22" s="2702"/>
      <c r="DL22" s="2702"/>
      <c r="DM22" s="2702"/>
      <c r="DN22" s="2702"/>
      <c r="DO22" s="2702"/>
      <c r="DP22" s="2702"/>
      <c r="DQ22" s="2702"/>
      <c r="DR22" s="2702"/>
      <c r="DS22" s="2702"/>
      <c r="DT22" s="2702"/>
      <c r="DU22" s="2702"/>
      <c r="DV22" s="2702"/>
      <c r="DW22" s="2702"/>
      <c r="DX22" s="2702"/>
      <c r="DY22" s="2702"/>
      <c r="DZ22" s="2702"/>
      <c r="EA22" s="2702"/>
      <c r="EB22" s="2702"/>
      <c r="EC22" s="2702"/>
      <c r="ED22" s="2702"/>
      <c r="EE22" s="2702"/>
      <c r="EF22" s="2702"/>
      <c r="EG22" s="2702"/>
      <c r="EH22" s="2702"/>
      <c r="EI22" s="2702"/>
      <c r="EJ22" s="2702"/>
      <c r="EK22" s="2702"/>
      <c r="EL22" s="2702"/>
      <c r="EM22" s="2702"/>
      <c r="EN22" s="2702"/>
      <c r="EO22" s="2702"/>
      <c r="EP22" s="2702"/>
      <c r="EQ22" s="2702"/>
      <c r="ER22" s="2702"/>
      <c r="ES22" s="2702"/>
      <c r="ET22" s="2702"/>
      <c r="EU22" s="2702"/>
      <c r="EV22" s="2702"/>
      <c r="EW22" s="2702"/>
      <c r="EX22" s="2702"/>
      <c r="EY22" s="2702"/>
      <c r="EZ22" s="2702"/>
      <c r="FA22" s="2702"/>
      <c r="FB22" s="2702"/>
      <c r="FC22" s="2702"/>
      <c r="FD22" s="2702"/>
      <c r="FE22" s="2702"/>
      <c r="FF22" s="2702"/>
      <c r="FG22" s="2702"/>
      <c r="FH22" s="2702"/>
      <c r="FI22" s="2702"/>
      <c r="FJ22" s="2702"/>
      <c r="FK22" s="2702"/>
      <c r="FL22" s="2702"/>
      <c r="FM22" s="2702"/>
      <c r="FN22" s="2702"/>
      <c r="FO22" s="2702"/>
      <c r="FP22" s="2702"/>
      <c r="FQ22" s="2702"/>
      <c r="FR22" s="2702"/>
      <c r="FS22" s="2702"/>
      <c r="FT22" s="2702"/>
      <c r="FU22" s="2702"/>
      <c r="FV22" s="2702"/>
      <c r="FW22" s="2702"/>
      <c r="FX22" s="2702"/>
      <c r="FY22" s="2702"/>
      <c r="FZ22" s="2702"/>
      <c r="GA22" s="2702"/>
      <c r="GB22" s="2702"/>
      <c r="GC22" s="2702"/>
      <c r="GD22" s="2702"/>
      <c r="GE22" s="2702"/>
      <c r="GF22" s="2702"/>
      <c r="GG22" s="2702"/>
      <c r="GH22" s="2702"/>
      <c r="GI22" s="2702"/>
      <c r="GJ22" s="2702"/>
      <c r="GK22" s="2702"/>
      <c r="GL22" s="2702"/>
      <c r="GM22" s="2702"/>
      <c r="GN22" s="2702"/>
      <c r="GO22" s="2702"/>
      <c r="GP22" s="2702"/>
      <c r="GQ22" s="2702"/>
      <c r="GR22" s="2702"/>
      <c r="GS22" s="2702"/>
      <c r="GT22" s="2702"/>
      <c r="GU22" s="2702"/>
      <c r="GV22" s="2702"/>
      <c r="GW22" s="2702"/>
      <c r="GX22" s="2702"/>
      <c r="GY22" s="2702"/>
      <c r="GZ22" s="2702"/>
      <c r="HA22" s="2702"/>
      <c r="HB22" s="2702"/>
      <c r="HC22" s="2702"/>
      <c r="HD22" s="2702"/>
      <c r="HE22" s="2702"/>
      <c r="HF22" s="2702"/>
      <c r="HG22" s="2702"/>
      <c r="HH22" s="2702"/>
      <c r="HI22" s="2702"/>
      <c r="HJ22" s="2702"/>
      <c r="HK22" s="2702"/>
      <c r="HL22" s="2702"/>
      <c r="HM22" s="2702"/>
      <c r="HN22" s="2702"/>
      <c r="HO22" s="2702"/>
      <c r="HP22" s="2702"/>
      <c r="HQ22" s="2702"/>
      <c r="HR22" s="2702"/>
      <c r="HS22" s="2702"/>
      <c r="HT22" s="2702"/>
      <c r="HU22" s="2702"/>
      <c r="HV22" s="2702"/>
      <c r="HW22" s="2702"/>
      <c r="HX22" s="2702"/>
      <c r="HY22" s="2702"/>
      <c r="HZ22" s="2702"/>
      <c r="IA22" s="2702"/>
      <c r="IB22" s="2702"/>
      <c r="IC22" s="2702"/>
      <c r="ID22" s="2702"/>
      <c r="IE22" s="2702"/>
      <c r="IF22" s="2702"/>
      <c r="IG22" s="2702"/>
      <c r="IH22" s="2702"/>
      <c r="II22" s="2702"/>
      <c r="IJ22" s="2702"/>
      <c r="IK22" s="2702"/>
      <c r="IL22" s="2702"/>
      <c r="IM22" s="2702"/>
      <c r="IN22" s="2702"/>
      <c r="IO22" s="2702"/>
      <c r="IP22" s="2702"/>
      <c r="IQ22" s="2702"/>
      <c r="IR22" s="2702"/>
      <c r="IS22" s="2702"/>
      <c r="IT22" s="2702"/>
      <c r="IU22" s="2702"/>
      <c r="IV22" s="2702"/>
    </row>
    <row r="23" spans="1:256" ht="14.25">
      <c r="A23" s="2703" t="s">
        <v>212</v>
      </c>
      <c r="B23" s="2677">
        <v>2011</v>
      </c>
      <c r="C23" s="2677">
        <v>2012</v>
      </c>
      <c r="D23" s="2677">
        <v>2013</v>
      </c>
      <c r="E23" s="2678">
        <v>2014</v>
      </c>
      <c r="F23" s="2677">
        <v>2011</v>
      </c>
      <c r="G23" s="2677">
        <v>2012</v>
      </c>
      <c r="H23" s="2677">
        <v>2013</v>
      </c>
      <c r="I23" s="2704">
        <v>2014</v>
      </c>
      <c r="J23" s="2702"/>
      <c r="K23" s="2702"/>
      <c r="L23" s="2702"/>
      <c r="M23" s="2702"/>
      <c r="N23" s="2702"/>
      <c r="O23" s="2702"/>
      <c r="P23" s="2702"/>
      <c r="Q23" s="2702"/>
      <c r="R23" s="2702"/>
      <c r="S23" s="2702"/>
      <c r="T23" s="2702"/>
      <c r="U23" s="2702"/>
      <c r="V23" s="2702"/>
      <c r="W23" s="2702"/>
      <c r="X23" s="2702"/>
      <c r="Y23" s="2702"/>
      <c r="Z23" s="2702"/>
      <c r="AA23" s="2702"/>
      <c r="AB23" s="2702"/>
      <c r="AC23" s="2702"/>
      <c r="AD23" s="2702"/>
      <c r="AE23" s="2702"/>
      <c r="AF23" s="2702"/>
      <c r="AG23" s="2702"/>
      <c r="AH23" s="2702"/>
      <c r="AI23" s="2702"/>
      <c r="AJ23" s="2702"/>
      <c r="AK23" s="2702"/>
      <c r="AL23" s="2702"/>
      <c r="AM23" s="2702"/>
      <c r="AN23" s="2702"/>
      <c r="AO23" s="2702"/>
      <c r="AP23" s="2702"/>
      <c r="AQ23" s="2702"/>
      <c r="AR23" s="2702"/>
      <c r="AS23" s="2702"/>
      <c r="AT23" s="2702"/>
      <c r="AU23" s="2702"/>
      <c r="AV23" s="2702"/>
      <c r="AW23" s="2702"/>
      <c r="AX23" s="2702"/>
      <c r="AY23" s="2702"/>
      <c r="AZ23" s="2702"/>
      <c r="BA23" s="2702"/>
      <c r="BB23" s="2702"/>
      <c r="BC23" s="2702"/>
      <c r="BD23" s="2702"/>
      <c r="BE23" s="2702"/>
      <c r="BF23" s="2702"/>
      <c r="BG23" s="2702"/>
      <c r="BH23" s="2702"/>
      <c r="BI23" s="2702"/>
      <c r="BJ23" s="2702"/>
      <c r="BK23" s="2702"/>
      <c r="BL23" s="2702"/>
      <c r="BM23" s="2702"/>
      <c r="BN23" s="2702"/>
      <c r="BO23" s="2702"/>
      <c r="BP23" s="2702"/>
      <c r="BQ23" s="2702"/>
      <c r="BR23" s="2702"/>
      <c r="BS23" s="2702"/>
      <c r="BT23" s="2702"/>
      <c r="BU23" s="2702"/>
      <c r="BV23" s="2702"/>
      <c r="BW23" s="2702"/>
      <c r="BX23" s="2702"/>
      <c r="BY23" s="2702"/>
      <c r="BZ23" s="2702"/>
      <c r="CA23" s="2702"/>
      <c r="CB23" s="2702"/>
      <c r="CC23" s="2702"/>
      <c r="CD23" s="2702"/>
      <c r="CE23" s="2702"/>
      <c r="CF23" s="2702"/>
      <c r="CG23" s="2702"/>
      <c r="CH23" s="2702"/>
      <c r="CI23" s="2702"/>
      <c r="CJ23" s="2702"/>
      <c r="CK23" s="2702"/>
      <c r="CL23" s="2702"/>
      <c r="CM23" s="2702"/>
      <c r="CN23" s="2702"/>
      <c r="CO23" s="2702"/>
      <c r="CP23" s="2702"/>
      <c r="CQ23" s="2702"/>
      <c r="CR23" s="2702"/>
      <c r="CS23" s="2702"/>
      <c r="CT23" s="2702"/>
      <c r="CU23" s="2702"/>
      <c r="CV23" s="2702"/>
      <c r="CW23" s="2702"/>
      <c r="CX23" s="2702"/>
      <c r="CY23" s="2702"/>
      <c r="CZ23" s="2702"/>
      <c r="DA23" s="2702"/>
      <c r="DB23" s="2702"/>
      <c r="DC23" s="2702"/>
      <c r="DD23" s="2702"/>
      <c r="DE23" s="2702"/>
      <c r="DF23" s="2702"/>
      <c r="DG23" s="2702"/>
      <c r="DH23" s="2702"/>
      <c r="DI23" s="2702"/>
      <c r="DJ23" s="2702"/>
      <c r="DK23" s="2702"/>
      <c r="DL23" s="2702"/>
      <c r="DM23" s="2702"/>
      <c r="DN23" s="2702"/>
      <c r="DO23" s="2702"/>
      <c r="DP23" s="2702"/>
      <c r="DQ23" s="2702"/>
      <c r="DR23" s="2702"/>
      <c r="DS23" s="2702"/>
      <c r="DT23" s="2702"/>
      <c r="DU23" s="2702"/>
      <c r="DV23" s="2702"/>
      <c r="DW23" s="2702"/>
      <c r="DX23" s="2702"/>
      <c r="DY23" s="2702"/>
      <c r="DZ23" s="2702"/>
      <c r="EA23" s="2702"/>
      <c r="EB23" s="2702"/>
      <c r="EC23" s="2702"/>
      <c r="ED23" s="2702"/>
      <c r="EE23" s="2702"/>
      <c r="EF23" s="2702"/>
      <c r="EG23" s="2702"/>
      <c r="EH23" s="2702"/>
      <c r="EI23" s="2702"/>
      <c r="EJ23" s="2702"/>
      <c r="EK23" s="2702"/>
      <c r="EL23" s="2702"/>
      <c r="EM23" s="2702"/>
      <c r="EN23" s="2702"/>
      <c r="EO23" s="2702"/>
      <c r="EP23" s="2702"/>
      <c r="EQ23" s="2702"/>
      <c r="ER23" s="2702"/>
      <c r="ES23" s="2702"/>
      <c r="ET23" s="2702"/>
      <c r="EU23" s="2702"/>
      <c r="EV23" s="2702"/>
      <c r="EW23" s="2702"/>
      <c r="EX23" s="2702"/>
      <c r="EY23" s="2702"/>
      <c r="EZ23" s="2702"/>
      <c r="FA23" s="2702"/>
      <c r="FB23" s="2702"/>
      <c r="FC23" s="2702"/>
      <c r="FD23" s="2702"/>
      <c r="FE23" s="2702"/>
      <c r="FF23" s="2702"/>
      <c r="FG23" s="2702"/>
      <c r="FH23" s="2702"/>
      <c r="FI23" s="2702"/>
      <c r="FJ23" s="2702"/>
      <c r="FK23" s="2702"/>
      <c r="FL23" s="2702"/>
      <c r="FM23" s="2702"/>
      <c r="FN23" s="2702"/>
      <c r="FO23" s="2702"/>
      <c r="FP23" s="2702"/>
      <c r="FQ23" s="2702"/>
      <c r="FR23" s="2702"/>
      <c r="FS23" s="2702"/>
      <c r="FT23" s="2702"/>
      <c r="FU23" s="2702"/>
      <c r="FV23" s="2702"/>
      <c r="FW23" s="2702"/>
      <c r="FX23" s="2702"/>
      <c r="FY23" s="2702"/>
      <c r="FZ23" s="2702"/>
      <c r="GA23" s="2702"/>
      <c r="GB23" s="2702"/>
      <c r="GC23" s="2702"/>
      <c r="GD23" s="2702"/>
      <c r="GE23" s="2702"/>
      <c r="GF23" s="2702"/>
      <c r="GG23" s="2702"/>
      <c r="GH23" s="2702"/>
      <c r="GI23" s="2702"/>
      <c r="GJ23" s="2702"/>
      <c r="GK23" s="2702"/>
      <c r="GL23" s="2702"/>
      <c r="GM23" s="2702"/>
      <c r="GN23" s="2702"/>
      <c r="GO23" s="2702"/>
      <c r="GP23" s="2702"/>
      <c r="GQ23" s="2702"/>
      <c r="GR23" s="2702"/>
      <c r="GS23" s="2702"/>
      <c r="GT23" s="2702"/>
      <c r="GU23" s="2702"/>
      <c r="GV23" s="2702"/>
      <c r="GW23" s="2702"/>
      <c r="GX23" s="2702"/>
      <c r="GY23" s="2702"/>
      <c r="GZ23" s="2702"/>
      <c r="HA23" s="2702"/>
      <c r="HB23" s="2702"/>
      <c r="HC23" s="2702"/>
      <c r="HD23" s="2702"/>
      <c r="HE23" s="2702"/>
      <c r="HF23" s="2702"/>
      <c r="HG23" s="2702"/>
      <c r="HH23" s="2702"/>
      <c r="HI23" s="2702"/>
      <c r="HJ23" s="2702"/>
      <c r="HK23" s="2702"/>
      <c r="HL23" s="2702"/>
      <c r="HM23" s="2702"/>
      <c r="HN23" s="2702"/>
      <c r="HO23" s="2702"/>
      <c r="HP23" s="2702"/>
      <c r="HQ23" s="2702"/>
      <c r="HR23" s="2702"/>
      <c r="HS23" s="2702"/>
      <c r="HT23" s="2702"/>
      <c r="HU23" s="2702"/>
      <c r="HV23" s="2702"/>
      <c r="HW23" s="2702"/>
      <c r="HX23" s="2702"/>
      <c r="HY23" s="2702"/>
      <c r="HZ23" s="2702"/>
      <c r="IA23" s="2702"/>
      <c r="IB23" s="2702"/>
      <c r="IC23" s="2702"/>
      <c r="ID23" s="2702"/>
      <c r="IE23" s="2702"/>
      <c r="IF23" s="2702"/>
      <c r="IG23" s="2702"/>
      <c r="IH23" s="2702"/>
      <c r="II23" s="2702"/>
      <c r="IJ23" s="2702"/>
      <c r="IK23" s="2702"/>
      <c r="IL23" s="2702"/>
      <c r="IM23" s="2702"/>
      <c r="IN23" s="2702"/>
      <c r="IO23" s="2702"/>
      <c r="IP23" s="2702"/>
      <c r="IQ23" s="2702"/>
      <c r="IR23" s="2702"/>
      <c r="IS23" s="2702"/>
      <c r="IT23" s="2702"/>
      <c r="IU23" s="2702"/>
      <c r="IV23" s="2702"/>
    </row>
    <row r="24" spans="1:256" ht="21" customHeight="1">
      <c r="A24" s="2705" t="s">
        <v>3111</v>
      </c>
      <c r="B24" s="2706">
        <v>95.578748612012305</v>
      </c>
      <c r="C24" s="2706">
        <v>91.347245999240428</v>
      </c>
      <c r="D24" s="2706">
        <v>94.692517119598691</v>
      </c>
      <c r="E24" s="2707">
        <v>94.033026815216559</v>
      </c>
      <c r="F24" s="2706">
        <v>95.436334078058323</v>
      </c>
      <c r="G24" s="2706">
        <v>91.061961629820729</v>
      </c>
      <c r="H24" s="2706">
        <v>94.444426266810893</v>
      </c>
      <c r="I24" s="2708">
        <v>93.748147718064246</v>
      </c>
    </row>
    <row r="25" spans="1:256" ht="21" customHeight="1">
      <c r="A25" s="2709" t="s">
        <v>3112</v>
      </c>
      <c r="B25" s="2710">
        <v>94.273058476868684</v>
      </c>
      <c r="C25" s="2710">
        <v>91.300299999999993</v>
      </c>
      <c r="D25" s="2710">
        <v>94.431747229610565</v>
      </c>
      <c r="E25" s="2711">
        <v>94.101377441284313</v>
      </c>
      <c r="F25" s="2710">
        <v>94.176857701921861</v>
      </c>
      <c r="G25" s="2710">
        <v>91.107699999999994</v>
      </c>
      <c r="H25" s="2710">
        <v>94.183388343504049</v>
      </c>
      <c r="I25" s="2712">
        <v>93.819408863626165</v>
      </c>
    </row>
    <row r="26" spans="1:256" ht="21" customHeight="1">
      <c r="A26" s="2709" t="s">
        <v>3113</v>
      </c>
      <c r="B26" s="2710">
        <v>93.201209374830555</v>
      </c>
      <c r="C26" s="2710">
        <v>91.180300000000003</v>
      </c>
      <c r="D26" s="2710">
        <v>94.612480299355454</v>
      </c>
      <c r="E26" s="2711">
        <v>94.053378800187559</v>
      </c>
      <c r="F26" s="2710">
        <v>93.182886575280634</v>
      </c>
      <c r="G26" s="2710">
        <v>90.992199999999997</v>
      </c>
      <c r="H26" s="2710">
        <v>94.271306723591067</v>
      </c>
      <c r="I26" s="2712">
        <v>93.811474293235236</v>
      </c>
    </row>
    <row r="27" spans="1:256" ht="21" customHeight="1">
      <c r="A27" s="2709" t="s">
        <v>3114</v>
      </c>
      <c r="B27" s="2710">
        <v>91.222335407479278</v>
      </c>
      <c r="C27" s="2710">
        <v>91.191784734763147</v>
      </c>
      <c r="D27" s="2710">
        <v>95.005695383715562</v>
      </c>
      <c r="E27" s="2711">
        <v>94.189550909417136</v>
      </c>
      <c r="F27" s="2710">
        <v>91.301588162389393</v>
      </c>
      <c r="G27" s="2710">
        <v>90.979056237729807</v>
      </c>
      <c r="H27" s="2710">
        <v>94.687544592658213</v>
      </c>
      <c r="I27" s="2712">
        <v>93.959604469303727</v>
      </c>
    </row>
    <row r="28" spans="1:256" ht="21" customHeight="1">
      <c r="A28" s="2709" t="s">
        <v>3115</v>
      </c>
      <c r="B28" s="2710">
        <v>90.171000000000006</v>
      </c>
      <c r="C28" s="2710">
        <v>91.374991074682171</v>
      </c>
      <c r="D28" s="2710">
        <v>94.925109399772481</v>
      </c>
      <c r="E28" s="2713">
        <v>94.266339344692966</v>
      </c>
      <c r="F28" s="2710">
        <v>90.225999999999999</v>
      </c>
      <c r="G28" s="2710">
        <v>91.069846593529618</v>
      </c>
      <c r="H28" s="2714">
        <v>94.584957090212811</v>
      </c>
      <c r="I28" s="2712">
        <v>94.031589060459993</v>
      </c>
    </row>
    <row r="29" spans="1:256" ht="21" customHeight="1">
      <c r="A29" s="2709" t="s">
        <v>3116</v>
      </c>
      <c r="B29" s="2710">
        <v>90.867004130888688</v>
      </c>
      <c r="C29" s="2710">
        <v>93.262246652502469</v>
      </c>
      <c r="D29" s="2710">
        <v>94.892615378776838</v>
      </c>
      <c r="E29" s="2713">
        <v>94.355303958883113</v>
      </c>
      <c r="F29" s="2710">
        <v>90.931301673187505</v>
      </c>
      <c r="G29" s="2710">
        <v>92.882310940286018</v>
      </c>
      <c r="H29" s="2714">
        <v>94.553702427872935</v>
      </c>
      <c r="I29" s="2712">
        <v>94.085349903111322</v>
      </c>
    </row>
    <row r="30" spans="1:256" ht="21" customHeight="1">
      <c r="A30" s="2709" t="s">
        <v>3117</v>
      </c>
      <c r="B30" s="2710">
        <v>91.246856474485497</v>
      </c>
      <c r="C30" s="2710">
        <v>94.984022334123139</v>
      </c>
      <c r="D30" s="2710">
        <v>94.893058792364243</v>
      </c>
      <c r="E30" s="2713">
        <v>94.42471147163522</v>
      </c>
      <c r="F30" s="2710">
        <v>91.297742637865724</v>
      </c>
      <c r="G30" s="2710">
        <v>94.562138512615945</v>
      </c>
      <c r="H30" s="2714">
        <v>94.528520039529667</v>
      </c>
      <c r="I30" s="2712">
        <v>94.151578300819793</v>
      </c>
    </row>
    <row r="31" spans="1:256" ht="21" customHeight="1">
      <c r="A31" s="2709" t="s">
        <v>3118</v>
      </c>
      <c r="B31" s="2710">
        <v>90.940640361002238</v>
      </c>
      <c r="C31" s="2710">
        <v>94.311017667356026</v>
      </c>
      <c r="D31" s="2710">
        <v>94.872746459522986</v>
      </c>
      <c r="E31" s="2713"/>
      <c r="F31" s="2710">
        <v>90.982324077069805</v>
      </c>
      <c r="G31" s="2710">
        <v>93.913290131499821</v>
      </c>
      <c r="H31" s="2714">
        <v>94.545269895528847</v>
      </c>
      <c r="I31" s="2712"/>
    </row>
    <row r="32" spans="1:256" ht="21" customHeight="1">
      <c r="A32" s="2709" t="s">
        <v>3119</v>
      </c>
      <c r="B32" s="2710">
        <v>90.847576257663107</v>
      </c>
      <c r="C32" s="2710">
        <v>94.213392269038039</v>
      </c>
      <c r="D32" s="2710">
        <v>95.147334958799675</v>
      </c>
      <c r="E32" s="2713"/>
      <c r="F32" s="2710">
        <v>90.741994697198677</v>
      </c>
      <c r="G32" s="2710">
        <v>93.909743201412198</v>
      </c>
      <c r="H32" s="2714">
        <v>94.843152998506596</v>
      </c>
      <c r="I32" s="2712"/>
    </row>
    <row r="33" spans="1:9" ht="21" customHeight="1">
      <c r="A33" s="2709" t="s">
        <v>3120</v>
      </c>
      <c r="B33" s="2710">
        <v>91.737813501423474</v>
      </c>
      <c r="C33" s="2710">
        <v>95.477636573912747</v>
      </c>
      <c r="D33" s="2710">
        <v>94.591896908785756</v>
      </c>
      <c r="E33" s="2713"/>
      <c r="F33" s="2710">
        <v>91.592340776049753</v>
      </c>
      <c r="G33" s="2710">
        <v>95.166698100757571</v>
      </c>
      <c r="H33" s="2714">
        <v>94.34546088376942</v>
      </c>
      <c r="I33" s="2712"/>
    </row>
    <row r="34" spans="1:9" ht="21" customHeight="1">
      <c r="A34" s="2709" t="s">
        <v>3121</v>
      </c>
      <c r="B34" s="2710">
        <v>91.671902211609947</v>
      </c>
      <c r="C34" s="2710">
        <v>95.773339710509688</v>
      </c>
      <c r="D34" s="2710">
        <v>94.516315117898571</v>
      </c>
      <c r="E34" s="2713"/>
      <c r="F34" s="2710">
        <v>91.493581655171511</v>
      </c>
      <c r="G34" s="2710">
        <v>95.432810470945299</v>
      </c>
      <c r="H34" s="2714">
        <v>94.229001762120902</v>
      </c>
      <c r="I34" s="2712"/>
    </row>
    <row r="35" spans="1:9" ht="21" customHeight="1" thickBot="1">
      <c r="A35" s="2715" t="s">
        <v>3122</v>
      </c>
      <c r="B35" s="2716">
        <v>91.605075863185419</v>
      </c>
      <c r="C35" s="2716">
        <v>95.337758206301316</v>
      </c>
      <c r="D35" s="2716">
        <v>94.262693309169521</v>
      </c>
      <c r="E35" s="2695"/>
      <c r="F35" s="2716">
        <v>91.355821437938559</v>
      </c>
      <c r="G35" s="2716">
        <v>95.066001293857241</v>
      </c>
      <c r="H35" s="2716">
        <v>94.010954670113279</v>
      </c>
      <c r="I35" s="2717"/>
    </row>
    <row r="36" spans="1:9" ht="23.25" customHeight="1">
      <c r="A36" s="2718" t="s">
        <v>3793</v>
      </c>
      <c r="B36" s="2570"/>
      <c r="C36" s="2719"/>
      <c r="D36" s="2570"/>
      <c r="E36" s="2570"/>
      <c r="F36" s="2570"/>
      <c r="G36" s="2570"/>
      <c r="H36" s="2570"/>
      <c r="I36" s="2570"/>
    </row>
    <row r="37" spans="1:9" ht="51" customHeight="1">
      <c r="A37" s="3437" t="s">
        <v>3794</v>
      </c>
      <c r="B37" s="3437"/>
      <c r="C37" s="3437"/>
      <c r="D37" s="3437"/>
      <c r="E37" s="3437"/>
      <c r="F37" s="3437"/>
      <c r="G37" s="3437"/>
      <c r="H37" s="3437"/>
      <c r="I37" s="3437"/>
    </row>
    <row r="38" spans="1:9" ht="28.5" customHeight="1">
      <c r="A38" s="3437" t="s">
        <v>3795</v>
      </c>
      <c r="B38" s="3437"/>
      <c r="C38" s="3437"/>
      <c r="D38" s="3437"/>
      <c r="E38" s="3437"/>
      <c r="F38" s="3437"/>
      <c r="G38" s="3437"/>
      <c r="H38" s="3437"/>
      <c r="I38" s="3437"/>
    </row>
    <row r="39" spans="1:9" ht="49.5" customHeight="1">
      <c r="A39" s="3437" t="s">
        <v>3796</v>
      </c>
      <c r="B39" s="3437"/>
      <c r="C39" s="3437"/>
      <c r="D39" s="3437"/>
      <c r="E39" s="3437"/>
      <c r="F39" s="3437"/>
      <c r="G39" s="3437"/>
      <c r="H39" s="3437"/>
      <c r="I39" s="3437"/>
    </row>
    <row r="40" spans="1:9" ht="19.5" customHeight="1">
      <c r="A40" s="3437" t="s">
        <v>3797</v>
      </c>
      <c r="B40" s="3437"/>
      <c r="C40" s="3437"/>
      <c r="D40" s="3437"/>
      <c r="E40" s="3437"/>
      <c r="F40" s="3437"/>
      <c r="G40" s="3437"/>
      <c r="H40" s="3437"/>
      <c r="I40" s="3437"/>
    </row>
    <row r="41" spans="1:9" ht="16.5" customHeight="1">
      <c r="A41" s="3437" t="s">
        <v>3798</v>
      </c>
      <c r="B41" s="3437"/>
      <c r="C41" s="3437"/>
      <c r="D41" s="3437"/>
      <c r="E41" s="3437"/>
      <c r="F41" s="3437"/>
      <c r="G41" s="3437"/>
      <c r="H41" s="3437"/>
      <c r="I41" s="3437"/>
    </row>
    <row r="42" spans="1:9" ht="15">
      <c r="A42" s="2570"/>
      <c r="B42" s="2570"/>
      <c r="C42" s="2570"/>
      <c r="D42" s="2570"/>
      <c r="E42" s="2570"/>
      <c r="F42" s="2570"/>
      <c r="G42" s="2570"/>
      <c r="H42" s="2570"/>
      <c r="I42" s="2570"/>
    </row>
    <row r="43" spans="1:9" ht="15">
      <c r="A43" s="2720" t="s">
        <v>680</v>
      </c>
      <c r="B43" s="2570"/>
      <c r="C43" s="2570"/>
      <c r="D43" s="2570"/>
      <c r="E43" s="2570"/>
      <c r="F43" s="2570"/>
      <c r="G43" s="2570"/>
      <c r="H43" s="2570"/>
      <c r="I43" s="2570"/>
    </row>
    <row r="44" spans="1:9" ht="15">
      <c r="A44" s="2570"/>
      <c r="B44" s="2570"/>
      <c r="C44" s="2570"/>
      <c r="D44" s="2570"/>
      <c r="E44" s="2570"/>
      <c r="F44" s="2570"/>
      <c r="G44" s="2570"/>
      <c r="H44" s="2570"/>
      <c r="I44" s="2570"/>
    </row>
    <row r="45" spans="1:9" ht="15">
      <c r="A45" s="2570"/>
      <c r="B45" s="2570"/>
      <c r="C45" s="2570"/>
      <c r="D45" s="2570"/>
      <c r="E45" s="2570"/>
      <c r="F45" s="2570"/>
      <c r="G45" s="2570"/>
      <c r="H45" s="2570"/>
      <c r="I45" s="2570"/>
    </row>
  </sheetData>
  <mergeCells count="11">
    <mergeCell ref="A1:J1"/>
    <mergeCell ref="B3:D3"/>
    <mergeCell ref="E3:G3"/>
    <mergeCell ref="H3:J3"/>
    <mergeCell ref="B22:E22"/>
    <mergeCell ref="F22:I22"/>
    <mergeCell ref="A37:I37"/>
    <mergeCell ref="A38:I38"/>
    <mergeCell ref="A39:I39"/>
    <mergeCell ref="A40:I40"/>
    <mergeCell ref="A41:I41"/>
  </mergeCells>
  <pageMargins left="0.70866141732283505" right="0.70866141732283505" top="0.74803149606299202" bottom="0.74803149606299202" header="0.31496062992126" footer="0.31496062992126"/>
  <pageSetup paperSize="9" scale="83"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zoomScaleNormal="100" workbookViewId="0">
      <selection activeCell="K4" sqref="K4"/>
    </sheetView>
  </sheetViews>
  <sheetFormatPr defaultRowHeight="12.75"/>
  <cols>
    <col min="1" max="1" width="15.5703125" style="2722" customWidth="1"/>
    <col min="2" max="2" width="14.85546875" style="2722" hidden="1" customWidth="1"/>
    <col min="3" max="3" width="16.42578125" style="2722" hidden="1" customWidth="1"/>
    <col min="4" max="4" width="15" style="2722" customWidth="1"/>
    <col min="5" max="5" width="17.28515625" style="2722" customWidth="1"/>
    <col min="6" max="6" width="15" style="2722" customWidth="1"/>
    <col min="7" max="7" width="16.5703125" style="2722" customWidth="1"/>
    <col min="8" max="8" width="16.42578125" style="2722" customWidth="1"/>
    <col min="9" max="9" width="17.7109375" style="2722" customWidth="1"/>
    <col min="10" max="16384" width="9.140625" style="2722"/>
  </cols>
  <sheetData>
    <row r="1" spans="1:14" ht="18" customHeight="1">
      <c r="A1" s="2721"/>
      <c r="B1" s="2721"/>
      <c r="C1" s="2721"/>
      <c r="D1" s="2721"/>
      <c r="E1" s="2721"/>
      <c r="F1" s="2721"/>
      <c r="G1" s="2721"/>
      <c r="H1" s="2721"/>
      <c r="I1" s="2721"/>
    </row>
    <row r="2" spans="1:14" ht="15.75">
      <c r="A2" s="2723" t="s">
        <v>3799</v>
      </c>
      <c r="B2" s="2721"/>
      <c r="C2" s="2721"/>
      <c r="D2" s="2721"/>
      <c r="E2" s="2724"/>
      <c r="F2" s="2724"/>
      <c r="G2" s="2724"/>
      <c r="H2" s="2724"/>
      <c r="I2" s="2724"/>
    </row>
    <row r="3" spans="1:14" ht="13.5" thickBot="1">
      <c r="A3" s="2724"/>
      <c r="B3" s="2724"/>
      <c r="C3" s="2724"/>
      <c r="D3" s="2724"/>
      <c r="E3" s="2724"/>
      <c r="F3" s="2724"/>
      <c r="G3" s="2724"/>
      <c r="H3" s="2724"/>
      <c r="I3" s="2724"/>
    </row>
    <row r="4" spans="1:14" s="2726" customFormat="1" ht="20.25" customHeight="1" thickTop="1" thickBot="1">
      <c r="A4" s="2725"/>
      <c r="B4" s="3450" t="s">
        <v>3800</v>
      </c>
      <c r="C4" s="3451"/>
      <c r="D4" s="3450" t="s">
        <v>3801</v>
      </c>
      <c r="E4" s="3451"/>
      <c r="F4" s="3450" t="s">
        <v>3179</v>
      </c>
      <c r="G4" s="3451"/>
      <c r="H4" s="3450" t="s">
        <v>3802</v>
      </c>
      <c r="I4" s="3451"/>
    </row>
    <row r="5" spans="1:14" s="2726" customFormat="1">
      <c r="A5" s="2727"/>
      <c r="B5" s="3452" t="s">
        <v>3803</v>
      </c>
      <c r="C5" s="2728" t="s">
        <v>3804</v>
      </c>
      <c r="D5" s="3452" t="s">
        <v>3805</v>
      </c>
      <c r="E5" s="2728" t="s">
        <v>3806</v>
      </c>
      <c r="F5" s="3452" t="s">
        <v>3805</v>
      </c>
      <c r="G5" s="2728" t="s">
        <v>3806</v>
      </c>
      <c r="H5" s="3452" t="s">
        <v>3805</v>
      </c>
      <c r="I5" s="2728" t="s">
        <v>3806</v>
      </c>
    </row>
    <row r="6" spans="1:14" ht="19.5" customHeight="1" thickBot="1">
      <c r="A6" s="2729"/>
      <c r="B6" s="3453"/>
      <c r="C6" s="2730" t="s">
        <v>3807</v>
      </c>
      <c r="D6" s="3453"/>
      <c r="E6" s="2730" t="s">
        <v>3807</v>
      </c>
      <c r="F6" s="3453"/>
      <c r="G6" s="2730" t="s">
        <v>3807</v>
      </c>
      <c r="H6" s="3453"/>
      <c r="I6" s="2730" t="s">
        <v>3807</v>
      </c>
    </row>
    <row r="7" spans="1:14" ht="15" customHeight="1" thickTop="1">
      <c r="A7" s="2731" t="s">
        <v>3117</v>
      </c>
      <c r="B7" s="2732">
        <v>77009</v>
      </c>
      <c r="C7" s="2733">
        <v>2642</v>
      </c>
      <c r="D7" s="2732">
        <v>78034</v>
      </c>
      <c r="E7" s="2733">
        <v>3039</v>
      </c>
      <c r="F7" s="2732">
        <v>76166</v>
      </c>
      <c r="G7" s="2733">
        <v>3070</v>
      </c>
      <c r="H7" s="2732">
        <v>77374</v>
      </c>
      <c r="I7" s="2733">
        <v>2378</v>
      </c>
      <c r="J7" s="2726"/>
      <c r="L7" s="2726"/>
    </row>
    <row r="8" spans="1:14" ht="15" customHeight="1">
      <c r="A8" s="2731" t="s">
        <v>3118</v>
      </c>
      <c r="B8" s="2732">
        <v>65093</v>
      </c>
      <c r="C8" s="2733">
        <v>2858</v>
      </c>
      <c r="D8" s="2732">
        <v>66865</v>
      </c>
      <c r="E8" s="2733">
        <v>3033</v>
      </c>
      <c r="F8" s="2732">
        <v>65896</v>
      </c>
      <c r="G8" s="2733">
        <v>2832</v>
      </c>
      <c r="H8" s="2732">
        <v>73454</v>
      </c>
      <c r="I8" s="2733">
        <v>2327</v>
      </c>
      <c r="J8" s="2726"/>
      <c r="K8" s="2726"/>
      <c r="L8" s="2734"/>
      <c r="N8" s="2734"/>
    </row>
    <row r="9" spans="1:14" ht="15" customHeight="1">
      <c r="A9" s="2731" t="s">
        <v>3119</v>
      </c>
      <c r="B9" s="2732">
        <v>65404</v>
      </c>
      <c r="C9" s="2733">
        <v>2858</v>
      </c>
      <c r="D9" s="2732">
        <v>64880</v>
      </c>
      <c r="E9" s="2733">
        <v>2773</v>
      </c>
      <c r="F9" s="2732">
        <v>66369</v>
      </c>
      <c r="G9" s="2733">
        <v>2504</v>
      </c>
      <c r="H9" s="2732">
        <v>71951</v>
      </c>
      <c r="I9" s="2733">
        <v>2345</v>
      </c>
      <c r="J9" s="2726"/>
      <c r="K9" s="2726"/>
      <c r="L9" s="2734"/>
      <c r="N9" s="2734"/>
    </row>
    <row r="10" spans="1:14" ht="15" customHeight="1">
      <c r="A10" s="2731" t="s">
        <v>3120</v>
      </c>
      <c r="B10" s="2732">
        <v>87340</v>
      </c>
      <c r="C10" s="2733">
        <v>3373</v>
      </c>
      <c r="D10" s="2732">
        <v>90616</v>
      </c>
      <c r="E10" s="2733">
        <v>3422</v>
      </c>
      <c r="F10" s="2732">
        <v>89994</v>
      </c>
      <c r="G10" s="2733">
        <v>3751</v>
      </c>
      <c r="H10" s="2732">
        <v>92520</v>
      </c>
      <c r="I10" s="2733">
        <v>3126</v>
      </c>
      <c r="J10" s="2726"/>
      <c r="K10" s="2726"/>
    </row>
    <row r="11" spans="1:14" ht="15" customHeight="1">
      <c r="A11" s="2731" t="s">
        <v>3121</v>
      </c>
      <c r="B11" s="2732">
        <v>85982</v>
      </c>
      <c r="C11" s="2733">
        <v>3593</v>
      </c>
      <c r="D11" s="2732">
        <v>87348</v>
      </c>
      <c r="E11" s="2733">
        <v>4280</v>
      </c>
      <c r="F11" s="2732">
        <v>84398</v>
      </c>
      <c r="G11" s="2733">
        <v>4063</v>
      </c>
      <c r="H11" s="2732">
        <v>89057</v>
      </c>
      <c r="I11" s="2733">
        <v>3885</v>
      </c>
      <c r="J11" s="2726"/>
      <c r="K11" s="2726"/>
    </row>
    <row r="12" spans="1:14" ht="15" customHeight="1">
      <c r="A12" s="2731" t="s">
        <v>3122</v>
      </c>
      <c r="B12" s="2732">
        <v>114849</v>
      </c>
      <c r="C12" s="2733">
        <v>4323</v>
      </c>
      <c r="D12" s="2732">
        <v>112295</v>
      </c>
      <c r="E12" s="2733">
        <v>4866</v>
      </c>
      <c r="F12" s="2732">
        <v>115465</v>
      </c>
      <c r="G12" s="2733">
        <v>4610</v>
      </c>
      <c r="H12" s="2732">
        <v>117086</v>
      </c>
      <c r="I12" s="2733">
        <v>4441</v>
      </c>
      <c r="J12" s="2726"/>
      <c r="K12" s="2726"/>
    </row>
    <row r="13" spans="1:14" ht="15" customHeight="1">
      <c r="A13" s="2731" t="s">
        <v>3111</v>
      </c>
      <c r="B13" s="2732">
        <v>101887</v>
      </c>
      <c r="C13" s="2733">
        <v>4102</v>
      </c>
      <c r="D13" s="2732">
        <v>98837</v>
      </c>
      <c r="E13" s="2733">
        <v>5478</v>
      </c>
      <c r="F13" s="2732">
        <v>92894</v>
      </c>
      <c r="G13" s="2733">
        <v>4701</v>
      </c>
      <c r="H13" s="2732">
        <v>96332</v>
      </c>
      <c r="I13" s="2733">
        <v>4190</v>
      </c>
      <c r="J13" s="2735"/>
      <c r="K13" s="2735"/>
    </row>
    <row r="14" spans="1:14" ht="15" customHeight="1">
      <c r="A14" s="2731" t="s">
        <v>3112</v>
      </c>
      <c r="B14" s="2732">
        <v>77390</v>
      </c>
      <c r="C14" s="2733">
        <v>3660</v>
      </c>
      <c r="D14" s="2732">
        <v>79331</v>
      </c>
      <c r="E14" s="2733">
        <v>4102</v>
      </c>
      <c r="F14" s="2732">
        <v>81185</v>
      </c>
      <c r="G14" s="2733">
        <v>3501</v>
      </c>
      <c r="H14" s="2732">
        <v>78984</v>
      </c>
      <c r="I14" s="2736">
        <v>3769</v>
      </c>
      <c r="J14" s="2726"/>
      <c r="K14" s="2735"/>
      <c r="M14" s="2734"/>
      <c r="N14" s="2734"/>
    </row>
    <row r="15" spans="1:14" ht="15" customHeight="1">
      <c r="A15" s="2731" t="s">
        <v>3113</v>
      </c>
      <c r="B15" s="2732">
        <v>83349</v>
      </c>
      <c r="C15" s="2733">
        <v>4187</v>
      </c>
      <c r="D15" s="2732">
        <v>83827</v>
      </c>
      <c r="E15" s="2733">
        <v>4188</v>
      </c>
      <c r="F15" s="2732">
        <v>91759</v>
      </c>
      <c r="G15" s="2733">
        <v>3862</v>
      </c>
      <c r="H15" s="2732">
        <v>87977</v>
      </c>
      <c r="I15" s="2733">
        <v>3557</v>
      </c>
      <c r="J15" s="2726"/>
      <c r="K15" s="2726"/>
    </row>
    <row r="16" spans="1:14" ht="15" customHeight="1">
      <c r="A16" s="2731" t="s">
        <v>3114</v>
      </c>
      <c r="B16" s="2732">
        <v>79173</v>
      </c>
      <c r="C16" s="2733">
        <v>3361</v>
      </c>
      <c r="D16" s="2732">
        <v>79137</v>
      </c>
      <c r="E16" s="2733">
        <v>3778</v>
      </c>
      <c r="F16" s="2732">
        <v>76223</v>
      </c>
      <c r="G16" s="2733">
        <v>3898</v>
      </c>
      <c r="H16" s="2732">
        <v>88404</v>
      </c>
      <c r="I16" s="2733">
        <v>3886</v>
      </c>
    </row>
    <row r="17" spans="1:15" ht="15" customHeight="1">
      <c r="A17" s="2731" t="s">
        <v>3115</v>
      </c>
      <c r="B17" s="2732">
        <v>68214</v>
      </c>
      <c r="C17" s="2733">
        <v>3078</v>
      </c>
      <c r="D17" s="2732">
        <v>71396</v>
      </c>
      <c r="E17" s="2733">
        <v>3045</v>
      </c>
      <c r="F17" s="2732">
        <v>74596</v>
      </c>
      <c r="G17" s="2733">
        <v>3656</v>
      </c>
      <c r="H17" s="2732">
        <v>78555</v>
      </c>
      <c r="I17" s="2733">
        <v>3798.98041706</v>
      </c>
      <c r="J17" s="2737"/>
      <c r="K17" s="2737"/>
    </row>
    <row r="18" spans="1:15" ht="18" customHeight="1">
      <c r="A18" s="2731" t="s">
        <v>3116</v>
      </c>
      <c r="B18" s="2732">
        <v>54591</v>
      </c>
      <c r="C18" s="2733">
        <v>2916</v>
      </c>
      <c r="D18" s="2732">
        <v>54625</v>
      </c>
      <c r="E18" s="2733">
        <v>2957</v>
      </c>
      <c r="F18" s="2732">
        <v>55007</v>
      </c>
      <c r="G18" s="2733">
        <v>2437</v>
      </c>
      <c r="H18" s="2732">
        <v>60445</v>
      </c>
      <c r="I18" s="2733">
        <v>3376</v>
      </c>
      <c r="J18" s="2738"/>
      <c r="K18" s="2738"/>
      <c r="L18" s="2734"/>
      <c r="M18" s="2734"/>
      <c r="N18" s="2734"/>
      <c r="O18" s="2734"/>
    </row>
    <row r="19" spans="1:15" ht="15.75" customHeight="1" thickBot="1">
      <c r="A19" s="2739" t="s">
        <v>3808</v>
      </c>
      <c r="B19" s="2740">
        <f>SUM(B7:B18)</f>
        <v>960281</v>
      </c>
      <c r="C19" s="2740">
        <f>SUM(C7:C18)</f>
        <v>40951</v>
      </c>
      <c r="D19" s="2741">
        <f>SUM(D7:D18)</f>
        <v>967191</v>
      </c>
      <c r="E19" s="2742">
        <v>44961</v>
      </c>
      <c r="F19" s="2741">
        <f>SUM(F7:F18)</f>
        <v>969952</v>
      </c>
      <c r="G19" s="2742">
        <f>SUM(G7:G18)</f>
        <v>42885</v>
      </c>
      <c r="H19" s="2741">
        <f>SUM(H7:H18)</f>
        <v>1012139</v>
      </c>
      <c r="I19" s="2742">
        <f>SUM(I7:I18)</f>
        <v>41078.980417059996</v>
      </c>
      <c r="N19" s="2743"/>
      <c r="O19" s="2743"/>
    </row>
    <row r="20" spans="1:15" ht="13.5" customHeight="1" thickTop="1">
      <c r="A20" s="2724"/>
      <c r="B20" s="2724"/>
      <c r="C20" s="2724"/>
      <c r="D20" s="2744"/>
      <c r="E20" s="2744"/>
      <c r="F20" s="2724"/>
      <c r="G20" s="2724"/>
      <c r="H20" s="2724"/>
      <c r="I20" s="2724"/>
    </row>
    <row r="21" spans="1:15">
      <c r="A21" s="2745" t="s">
        <v>3809</v>
      </c>
      <c r="B21" s="2724"/>
      <c r="C21" s="2724"/>
      <c r="D21" s="2721"/>
      <c r="E21" s="2721"/>
      <c r="F21" s="2744"/>
      <c r="G21" s="2744"/>
      <c r="H21" s="2744"/>
      <c r="I21" s="2744"/>
    </row>
    <row r="22" spans="1:15">
      <c r="A22" s="2745" t="s">
        <v>3810</v>
      </c>
      <c r="B22" s="2724"/>
      <c r="C22" s="2724"/>
      <c r="D22" s="2746"/>
      <c r="E22" s="2721"/>
      <c r="F22" s="2744"/>
      <c r="G22" s="2744"/>
      <c r="H22" s="2744"/>
      <c r="I22" s="2744"/>
      <c r="J22" s="2738"/>
    </row>
    <row r="23" spans="1:15">
      <c r="A23" s="2745"/>
      <c r="B23" s="2734"/>
      <c r="C23" s="2734"/>
      <c r="D23" s="2734"/>
      <c r="E23" s="2734"/>
      <c r="F23" s="2734"/>
      <c r="G23" s="2734"/>
      <c r="H23" s="2734"/>
      <c r="I23" s="2734"/>
      <c r="J23" s="2738"/>
    </row>
    <row r="24" spans="1:15">
      <c r="B24" s="2734"/>
      <c r="C24" s="2734"/>
      <c r="D24" s="2734"/>
      <c r="E24" s="2734"/>
      <c r="F24" s="2734"/>
      <c r="G24" s="2734"/>
      <c r="H24" s="2734"/>
      <c r="I24" s="2734"/>
    </row>
    <row r="25" spans="1:15">
      <c r="B25" s="2734"/>
      <c r="C25" s="2734"/>
      <c r="D25" s="2734"/>
      <c r="E25" s="2734"/>
      <c r="F25" s="2734"/>
      <c r="G25" s="2734"/>
      <c r="H25" s="2734"/>
      <c r="I25" s="2734"/>
    </row>
    <row r="26" spans="1:15">
      <c r="G26" s="2734"/>
      <c r="H26" s="2734"/>
    </row>
    <row r="27" spans="1:15">
      <c r="G27" s="2734"/>
      <c r="H27" s="2734"/>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95"/>
  <sheetViews>
    <sheetView zoomScaleNormal="100" workbookViewId="0">
      <selection activeCell="A30" sqref="A30:K63"/>
    </sheetView>
  </sheetViews>
  <sheetFormatPr defaultRowHeight="11.25"/>
  <cols>
    <col min="1" max="1" width="11.28515625" style="2749" customWidth="1"/>
    <col min="2" max="2" width="35" style="2749" customWidth="1"/>
    <col min="3" max="4" width="8.7109375" style="2750" hidden="1" customWidth="1"/>
    <col min="5" max="12" width="10.140625" style="2749" customWidth="1"/>
    <col min="13" max="16384" width="9.140625" style="2749"/>
  </cols>
  <sheetData>
    <row r="1" spans="1:12" s="2748" customFormat="1" ht="16.5">
      <c r="A1" s="2747" t="s">
        <v>3811</v>
      </c>
      <c r="B1" s="2747"/>
      <c r="C1" s="2747"/>
      <c r="D1" s="2747"/>
      <c r="H1" s="2749"/>
    </row>
    <row r="2" spans="1:12" s="2748" customFormat="1" ht="16.5">
      <c r="A2" s="2747" t="s">
        <v>3812</v>
      </c>
      <c r="B2" s="2747"/>
      <c r="C2" s="2747"/>
      <c r="D2" s="2747"/>
    </row>
    <row r="3" spans="1:12" ht="12">
      <c r="D3" s="2751"/>
      <c r="E3" s="2751"/>
      <c r="I3" s="2752"/>
      <c r="J3" s="2752"/>
      <c r="K3" s="2752" t="s">
        <v>74</v>
      </c>
    </row>
    <row r="4" spans="1:12" s="2753" customFormat="1" ht="12" customHeight="1">
      <c r="A4" s="3468" t="s">
        <v>3813</v>
      </c>
      <c r="B4" s="3470" t="s">
        <v>3814</v>
      </c>
      <c r="C4" s="3464" t="s">
        <v>3815</v>
      </c>
      <c r="D4" s="3464" t="s">
        <v>3816</v>
      </c>
      <c r="E4" s="3464" t="s">
        <v>3817</v>
      </c>
      <c r="F4" s="3464" t="s">
        <v>3818</v>
      </c>
      <c r="G4" s="3464" t="s">
        <v>3819</v>
      </c>
      <c r="H4" s="3464" t="s">
        <v>3820</v>
      </c>
      <c r="I4" s="3464" t="s">
        <v>3821</v>
      </c>
      <c r="J4" s="3464" t="s">
        <v>3822</v>
      </c>
      <c r="K4" s="3464" t="s">
        <v>3823</v>
      </c>
    </row>
    <row r="5" spans="1:12" s="2754" customFormat="1" ht="12">
      <c r="A5" s="3469"/>
      <c r="B5" s="3471"/>
      <c r="C5" s="3465"/>
      <c r="D5" s="3465"/>
      <c r="E5" s="3465"/>
      <c r="F5" s="3465"/>
      <c r="G5" s="3465"/>
      <c r="H5" s="3465"/>
      <c r="I5" s="3465"/>
      <c r="J5" s="3465"/>
      <c r="K5" s="3465"/>
    </row>
    <row r="6" spans="1:12" s="2754" customFormat="1" ht="12.75">
      <c r="A6" s="2755" t="s">
        <v>3824</v>
      </c>
      <c r="B6" s="2756" t="s">
        <v>3825</v>
      </c>
      <c r="C6" s="2757">
        <v>25.5</v>
      </c>
      <c r="D6" s="2757">
        <v>18.399999999999999</v>
      </c>
      <c r="E6" s="2757">
        <v>447.4</v>
      </c>
      <c r="F6" s="2758" t="s">
        <v>3826</v>
      </c>
      <c r="G6" s="2758" t="s">
        <v>3826</v>
      </c>
      <c r="H6" s="2758">
        <v>215</v>
      </c>
      <c r="I6" s="2758">
        <v>127</v>
      </c>
      <c r="J6" s="2758">
        <v>678</v>
      </c>
      <c r="K6" s="2758" t="s">
        <v>661</v>
      </c>
      <c r="L6" s="2759"/>
    </row>
    <row r="7" spans="1:12" s="2754" customFormat="1" ht="12.75">
      <c r="A7" s="2755" t="s">
        <v>3827</v>
      </c>
      <c r="B7" s="2756" t="s">
        <v>285</v>
      </c>
      <c r="C7" s="2757">
        <v>180.9</v>
      </c>
      <c r="D7" s="2757">
        <v>270.7</v>
      </c>
      <c r="E7" s="2757">
        <v>148.6</v>
      </c>
      <c r="F7" s="2757">
        <v>485.4</v>
      </c>
      <c r="G7" s="2757">
        <v>63.3</v>
      </c>
      <c r="H7" s="2758">
        <v>669</v>
      </c>
      <c r="I7" s="2758">
        <v>1597</v>
      </c>
      <c r="J7" s="2758">
        <v>280</v>
      </c>
      <c r="K7" s="2758" t="s">
        <v>661</v>
      </c>
      <c r="L7" s="2759"/>
    </row>
    <row r="8" spans="1:12" s="2754" customFormat="1" ht="25.5">
      <c r="A8" s="2755" t="s">
        <v>3828</v>
      </c>
      <c r="B8" s="2756" t="s">
        <v>3829</v>
      </c>
      <c r="C8" s="2757">
        <v>17.2</v>
      </c>
      <c r="D8" s="2758" t="s">
        <v>3826</v>
      </c>
      <c r="E8" s="2758" t="s">
        <v>3826</v>
      </c>
      <c r="F8" s="2758" t="s">
        <v>3826</v>
      </c>
      <c r="G8" s="2758">
        <v>2</v>
      </c>
      <c r="H8" s="2758">
        <v>18</v>
      </c>
      <c r="I8" s="2758">
        <v>8</v>
      </c>
      <c r="J8" s="2758">
        <v>238</v>
      </c>
      <c r="K8" s="2758">
        <v>36</v>
      </c>
      <c r="L8" s="2759"/>
    </row>
    <row r="9" spans="1:12" s="2754" customFormat="1" ht="12.75">
      <c r="A9" s="2755" t="s">
        <v>3830</v>
      </c>
      <c r="B9" s="2756" t="s">
        <v>313</v>
      </c>
      <c r="C9" s="2757">
        <v>11.5</v>
      </c>
      <c r="D9" s="2757">
        <v>44.9</v>
      </c>
      <c r="E9" s="2757">
        <v>67.8</v>
      </c>
      <c r="F9" s="2757">
        <v>211.2</v>
      </c>
      <c r="G9" s="2757">
        <v>1292.3</v>
      </c>
      <c r="H9" s="2758">
        <v>2117</v>
      </c>
      <c r="I9" s="2758">
        <v>2305</v>
      </c>
      <c r="J9" s="2758">
        <v>762</v>
      </c>
      <c r="K9" s="2758">
        <v>93</v>
      </c>
      <c r="L9" s="2759"/>
    </row>
    <row r="10" spans="1:12" s="2754" customFormat="1" ht="25.5">
      <c r="A10" s="2755" t="s">
        <v>3831</v>
      </c>
      <c r="B10" s="2756" t="s">
        <v>3832</v>
      </c>
      <c r="C10" s="2757">
        <v>198</v>
      </c>
      <c r="D10" s="2757">
        <v>38.299999999999997</v>
      </c>
      <c r="E10" s="2757">
        <v>103.3</v>
      </c>
      <c r="F10" s="2757">
        <v>290.89999999999998</v>
      </c>
      <c r="G10" s="2757">
        <v>125</v>
      </c>
      <c r="H10" s="2757">
        <v>600</v>
      </c>
      <c r="I10" s="2757">
        <v>746</v>
      </c>
      <c r="J10" s="2757">
        <v>327</v>
      </c>
      <c r="K10" s="2757">
        <v>15</v>
      </c>
      <c r="L10" s="2759"/>
    </row>
    <row r="11" spans="1:12" s="2754" customFormat="1" ht="12.75">
      <c r="A11" s="2755" t="s">
        <v>3833</v>
      </c>
      <c r="B11" s="2756" t="s">
        <v>3834</v>
      </c>
      <c r="C11" s="2757">
        <v>13.1</v>
      </c>
      <c r="D11" s="2758" t="s">
        <v>3826</v>
      </c>
      <c r="E11" s="2757">
        <v>14.2</v>
      </c>
      <c r="F11" s="2757">
        <v>9.5</v>
      </c>
      <c r="G11" s="2758">
        <v>110</v>
      </c>
      <c r="H11" s="2758">
        <v>204</v>
      </c>
      <c r="I11" s="2758">
        <v>43</v>
      </c>
      <c r="J11" s="2758" t="s">
        <v>3826</v>
      </c>
      <c r="K11" s="2758" t="s">
        <v>661</v>
      </c>
      <c r="L11" s="2759"/>
    </row>
    <row r="12" spans="1:12" s="2754" customFormat="1" ht="25.5">
      <c r="A12" s="2755" t="s">
        <v>3835</v>
      </c>
      <c r="B12" s="2756" t="s">
        <v>3836</v>
      </c>
      <c r="C12" s="2757">
        <v>1381.9</v>
      </c>
      <c r="D12" s="2757">
        <v>3188.6</v>
      </c>
      <c r="E12" s="2757">
        <v>1347.8</v>
      </c>
      <c r="F12" s="2757">
        <v>1849.7</v>
      </c>
      <c r="G12" s="2757">
        <v>836.3</v>
      </c>
      <c r="H12" s="2757">
        <v>999</v>
      </c>
      <c r="I12" s="2757">
        <v>1839</v>
      </c>
      <c r="J12" s="2757">
        <v>314</v>
      </c>
      <c r="K12" s="2757">
        <v>117</v>
      </c>
      <c r="L12" s="2759"/>
    </row>
    <row r="13" spans="1:12" s="2754" customFormat="1" ht="13.5" customHeight="1">
      <c r="A13" s="2755" t="s">
        <v>3837</v>
      </c>
      <c r="B13" s="2756" t="s">
        <v>3838</v>
      </c>
      <c r="C13" s="2757">
        <v>42.7</v>
      </c>
      <c r="D13" s="2757">
        <v>18.2</v>
      </c>
      <c r="E13" s="2757">
        <v>7.8</v>
      </c>
      <c r="F13" s="2758" t="s">
        <v>3826</v>
      </c>
      <c r="G13" s="2758">
        <v>235.47</v>
      </c>
      <c r="H13" s="2758">
        <v>462</v>
      </c>
      <c r="I13" s="2758">
        <v>373</v>
      </c>
      <c r="J13" s="2758">
        <v>60</v>
      </c>
      <c r="K13" s="2758">
        <v>109</v>
      </c>
      <c r="L13" s="2759"/>
    </row>
    <row r="14" spans="1:12" s="2754" customFormat="1" ht="12.75">
      <c r="A14" s="2755" t="s">
        <v>3839</v>
      </c>
      <c r="B14" s="2756" t="s">
        <v>3840</v>
      </c>
      <c r="C14" s="2757">
        <v>3592.9</v>
      </c>
      <c r="D14" s="2757">
        <v>4055.6</v>
      </c>
      <c r="E14" s="2757">
        <v>4563.8999999999996</v>
      </c>
      <c r="F14" s="2757">
        <v>1371.4</v>
      </c>
      <c r="G14" s="2757">
        <f>2160.2+157.809+91.28+1131.944+1104.059</f>
        <v>4645.2920000000004</v>
      </c>
      <c r="H14" s="2757">
        <v>1972</v>
      </c>
      <c r="I14" s="2758">
        <v>5512</v>
      </c>
      <c r="J14" s="2758">
        <v>716</v>
      </c>
      <c r="K14" s="2758"/>
      <c r="L14" s="2759"/>
    </row>
    <row r="15" spans="1:12" s="2754" customFormat="1" ht="12.75">
      <c r="A15" s="2755" t="s">
        <v>3841</v>
      </c>
      <c r="B15" s="2756" t="s">
        <v>3842</v>
      </c>
      <c r="C15" s="2757">
        <v>1701.1</v>
      </c>
      <c r="D15" s="2757">
        <v>3820</v>
      </c>
      <c r="E15" s="2757">
        <v>4524.5</v>
      </c>
      <c r="F15" s="2757">
        <v>4304.9799999999996</v>
      </c>
      <c r="G15" s="2757">
        <v>3422.2</v>
      </c>
      <c r="H15" s="2757">
        <v>5236</v>
      </c>
      <c r="I15" s="2757">
        <v>7553</v>
      </c>
      <c r="J15" s="2757">
        <v>5924</v>
      </c>
      <c r="K15" s="2757">
        <v>1511</v>
      </c>
      <c r="L15" s="2759"/>
    </row>
    <row r="16" spans="1:12" s="2763" customFormat="1" ht="21.75" customHeight="1">
      <c r="A16" s="2755"/>
      <c r="B16" s="2760" t="s">
        <v>3843</v>
      </c>
      <c r="C16" s="2761">
        <v>1227.8</v>
      </c>
      <c r="D16" s="2761">
        <v>2790.5</v>
      </c>
      <c r="E16" s="2761">
        <v>2636.8</v>
      </c>
      <c r="F16" s="2762">
        <v>2073.69</v>
      </c>
      <c r="G16" s="2762">
        <v>2033</v>
      </c>
      <c r="H16" s="2762">
        <v>3352</v>
      </c>
      <c r="I16" s="2762">
        <v>4228.3999999999996</v>
      </c>
      <c r="J16" s="2762">
        <v>4596</v>
      </c>
      <c r="K16" s="2762">
        <v>1146</v>
      </c>
      <c r="L16" s="2759"/>
    </row>
    <row r="17" spans="1:15" s="2763" customFormat="1" ht="21.75" customHeight="1">
      <c r="A17" s="2755" t="s">
        <v>3844</v>
      </c>
      <c r="B17" s="2756" t="s">
        <v>3845</v>
      </c>
      <c r="C17" s="2758" t="s">
        <v>3826</v>
      </c>
      <c r="D17" s="2758" t="s">
        <v>3826</v>
      </c>
      <c r="E17" s="2758" t="s">
        <v>3826</v>
      </c>
      <c r="F17" s="2758" t="s">
        <v>3826</v>
      </c>
      <c r="G17" s="2757">
        <v>404.2</v>
      </c>
      <c r="H17" s="2757">
        <v>266</v>
      </c>
      <c r="I17" s="2757">
        <v>52</v>
      </c>
      <c r="J17" s="2757">
        <v>12</v>
      </c>
      <c r="K17" s="2757" t="s">
        <v>661</v>
      </c>
      <c r="L17" s="2759"/>
    </row>
    <row r="18" spans="1:15" s="2763" customFormat="1" ht="21.75" customHeight="1">
      <c r="A18" s="2755" t="s">
        <v>3846</v>
      </c>
      <c r="B18" s="2756" t="s">
        <v>3847</v>
      </c>
      <c r="C18" s="2758"/>
      <c r="D18" s="2758" t="s">
        <v>3826</v>
      </c>
      <c r="E18" s="2758" t="s">
        <v>3826</v>
      </c>
      <c r="F18" s="2758" t="s">
        <v>3826</v>
      </c>
      <c r="G18" s="2758" t="s">
        <v>3826</v>
      </c>
      <c r="H18" s="2758">
        <v>38</v>
      </c>
      <c r="I18" s="2758">
        <v>8</v>
      </c>
      <c r="J18" s="2757">
        <v>161</v>
      </c>
      <c r="K18" s="2757">
        <v>1</v>
      </c>
      <c r="L18" s="2759"/>
    </row>
    <row r="19" spans="1:15" s="2763" customFormat="1" ht="21.75" customHeight="1">
      <c r="A19" s="2755" t="s">
        <v>3848</v>
      </c>
      <c r="B19" s="2756" t="s">
        <v>366</v>
      </c>
      <c r="C19" s="2757">
        <v>54.6</v>
      </c>
      <c r="D19" s="2757">
        <v>30.033999999999999</v>
      </c>
      <c r="E19" s="2757">
        <v>74.054000000000002</v>
      </c>
      <c r="F19" s="2757">
        <v>125</v>
      </c>
      <c r="G19" s="2758">
        <v>18</v>
      </c>
      <c r="H19" s="2758">
        <v>4</v>
      </c>
      <c r="I19" s="2758" t="s">
        <v>3826</v>
      </c>
      <c r="J19" s="2758">
        <v>32</v>
      </c>
      <c r="K19" s="2758">
        <v>16</v>
      </c>
    </row>
    <row r="20" spans="1:15" s="2763" customFormat="1" ht="21.75" customHeight="1">
      <c r="A20" s="2755" t="s">
        <v>3849</v>
      </c>
      <c r="B20" s="2756" t="s">
        <v>3850</v>
      </c>
      <c r="C20" s="2757">
        <v>2.2000000000000002</v>
      </c>
      <c r="D20" s="2757">
        <v>28.952000000000002</v>
      </c>
      <c r="E20" s="2757">
        <v>119.7</v>
      </c>
      <c r="F20" s="2757">
        <v>145.1</v>
      </c>
      <c r="G20" s="2757">
        <v>2732.2</v>
      </c>
      <c r="H20" s="2758">
        <v>91</v>
      </c>
      <c r="I20" s="2758">
        <v>210</v>
      </c>
      <c r="J20" s="2758" t="s">
        <v>3826</v>
      </c>
      <c r="K20" s="2758" t="s">
        <v>661</v>
      </c>
    </row>
    <row r="21" spans="1:15" s="2763" customFormat="1" ht="21.75" customHeight="1">
      <c r="A21" s="2755" t="s">
        <v>3851</v>
      </c>
      <c r="B21" s="2756" t="s">
        <v>3852</v>
      </c>
      <c r="C21" s="2758" t="s">
        <v>3826</v>
      </c>
      <c r="D21" s="2758" t="s">
        <v>3826</v>
      </c>
      <c r="E21" s="2758" t="s">
        <v>3826</v>
      </c>
      <c r="F21" s="2758" t="s">
        <v>3826</v>
      </c>
      <c r="G21" s="2757">
        <v>61.8</v>
      </c>
      <c r="H21" s="2757">
        <v>3</v>
      </c>
      <c r="I21" s="2758" t="s">
        <v>3826</v>
      </c>
      <c r="J21" s="2758">
        <v>8.1</v>
      </c>
      <c r="K21" s="2758" t="s">
        <v>661</v>
      </c>
    </row>
    <row r="22" spans="1:15" s="2763" customFormat="1" ht="17.25" customHeight="1">
      <c r="A22" s="3466" t="s">
        <v>198</v>
      </c>
      <c r="B22" s="3467"/>
      <c r="C22" s="2764">
        <f>SUM(C6:C20)-C16</f>
        <v>7221.6000000000013</v>
      </c>
      <c r="D22" s="2764">
        <f>SUM(D6:D20)-D16</f>
        <v>11513.685999999998</v>
      </c>
      <c r="E22" s="2764">
        <f>SUM(E6:E20)-E16</f>
        <v>11419.054</v>
      </c>
      <c r="F22" s="2764">
        <f>SUM(F6:F20)-F16</f>
        <v>8793.18</v>
      </c>
      <c r="G22" s="2764">
        <f>SUM(G6:G21)-G16</f>
        <v>13948.062000000002</v>
      </c>
      <c r="H22" s="2764">
        <f>SUM(H6:H21)-H16</f>
        <v>12894</v>
      </c>
      <c r="I22" s="2764">
        <f>SUM(I6:I21)-I16</f>
        <v>20373</v>
      </c>
      <c r="J22" s="2764">
        <f>SUM(J6:J21)-J16</f>
        <v>9512.1</v>
      </c>
      <c r="K22" s="2764">
        <f>SUM(K6:K21)-K16</f>
        <v>1898</v>
      </c>
    </row>
    <row r="23" spans="1:15" s="2766" customFormat="1" ht="19.5" customHeight="1">
      <c r="A23" s="2765" t="s">
        <v>3853</v>
      </c>
      <c r="B23" s="2765"/>
      <c r="C23" s="2765"/>
      <c r="D23" s="2765"/>
      <c r="E23" s="2765"/>
      <c r="F23" s="2765"/>
      <c r="G23" s="2765"/>
      <c r="H23" s="2765"/>
      <c r="I23" s="2765"/>
      <c r="J23" s="2765"/>
      <c r="K23" s="2765"/>
    </row>
    <row r="24" spans="1:15" s="2766" customFormat="1" ht="15.75" customHeight="1">
      <c r="A24" s="2767" t="s">
        <v>3854</v>
      </c>
      <c r="B24" s="2768"/>
      <c r="C24" s="2768"/>
      <c r="D24" s="2768"/>
      <c r="E24" s="2768"/>
      <c r="F24" s="2768"/>
      <c r="G24" s="2768"/>
      <c r="H24" s="2768"/>
      <c r="I24" s="2768"/>
      <c r="J24" s="2768"/>
      <c r="K24" s="2768"/>
    </row>
    <row r="25" spans="1:15" s="2770" customFormat="1" ht="12.75">
      <c r="A25" s="2769"/>
      <c r="C25" s="2771"/>
      <c r="D25" s="2771"/>
    </row>
    <row r="26" spans="1:15" s="2748" customFormat="1" ht="16.5">
      <c r="A26" s="2747" t="s">
        <v>3855</v>
      </c>
      <c r="C26" s="2772"/>
      <c r="D26" s="2772"/>
      <c r="O26" s="2773"/>
    </row>
    <row r="27" spans="1:15" s="2748" customFormat="1" ht="16.5">
      <c r="A27" s="2747" t="s">
        <v>3856</v>
      </c>
      <c r="C27" s="2772"/>
      <c r="D27" s="2772"/>
      <c r="O27" s="2773"/>
    </row>
    <row r="28" spans="1:15" s="2748" customFormat="1" ht="16.5">
      <c r="A28" s="2747" t="s">
        <v>3812</v>
      </c>
      <c r="C28" s="2774"/>
      <c r="D28" s="2774"/>
      <c r="E28" s="2774"/>
      <c r="F28" s="2774"/>
      <c r="G28" s="2774"/>
      <c r="H28" s="2774"/>
      <c r="I28" s="2774"/>
      <c r="J28" s="2774"/>
      <c r="K28" s="2774"/>
      <c r="N28" s="2773"/>
    </row>
    <row r="29" spans="1:15" ht="12">
      <c r="B29" s="2775"/>
      <c r="C29" s="2776"/>
      <c r="D29" s="2776"/>
      <c r="E29" s="2776"/>
      <c r="F29" s="2776"/>
      <c r="G29" s="2776"/>
      <c r="H29" s="2776"/>
      <c r="I29" s="2752"/>
      <c r="J29" s="2752"/>
      <c r="K29" s="2752" t="s">
        <v>74</v>
      </c>
    </row>
    <row r="30" spans="1:15" s="2766" customFormat="1" ht="20.25" customHeight="1">
      <c r="A30" s="3462" t="s">
        <v>3857</v>
      </c>
      <c r="B30" s="3463"/>
      <c r="C30" s="2777" t="s">
        <v>3815</v>
      </c>
      <c r="D30" s="2778" t="s">
        <v>3816</v>
      </c>
      <c r="E30" s="2779" t="s">
        <v>3858</v>
      </c>
      <c r="F30" s="2779" t="s">
        <v>3818</v>
      </c>
      <c r="G30" s="2779" t="s">
        <v>3859</v>
      </c>
      <c r="H30" s="2779" t="s">
        <v>3860</v>
      </c>
      <c r="I30" s="2779" t="s">
        <v>3821</v>
      </c>
      <c r="J30" s="2779" t="s">
        <v>3822</v>
      </c>
      <c r="K30" s="2779" t="s">
        <v>3823</v>
      </c>
      <c r="L30" s="2780"/>
    </row>
    <row r="31" spans="1:15" s="2785" customFormat="1" ht="14.1" customHeight="1">
      <c r="A31" s="2781" t="s">
        <v>3861</v>
      </c>
      <c r="B31" s="2782"/>
      <c r="C31" s="2783">
        <f>C32+C44+C63</f>
        <v>7222.4856000000009</v>
      </c>
      <c r="D31" s="2783">
        <f>D32+D44+D63</f>
        <v>11513.725</v>
      </c>
      <c r="E31" s="2783">
        <f>E32+E44+E63</f>
        <v>11419.01</v>
      </c>
      <c r="F31" s="2783">
        <f>F32+F44+F63</f>
        <v>8792.7000000000007</v>
      </c>
      <c r="G31" s="2783">
        <f>G32+G44+G63-1</f>
        <v>13947.599999999999</v>
      </c>
      <c r="H31" s="2783">
        <f>H32+H44+H63</f>
        <v>12893.527</v>
      </c>
      <c r="I31" s="2783">
        <f>I32+I44+I63</f>
        <v>20373.491000000002</v>
      </c>
      <c r="J31" s="2783">
        <f>J32+J44+J63</f>
        <v>9512.1650000000009</v>
      </c>
      <c r="K31" s="2783">
        <f>K32+K44</f>
        <v>1898.26</v>
      </c>
      <c r="L31" s="2784"/>
      <c r="M31" s="2784"/>
      <c r="N31" s="2784"/>
    </row>
    <row r="32" spans="1:15" s="2766" customFormat="1" ht="14.1" customHeight="1">
      <c r="A32" s="2786" t="s">
        <v>3862</v>
      </c>
      <c r="B32" s="2787"/>
      <c r="C32" s="2783">
        <f>C33+C42</f>
        <v>5504.7936000000009</v>
      </c>
      <c r="D32" s="2783">
        <f>D33+D42</f>
        <v>8315.7540000000008</v>
      </c>
      <c r="E32" s="2783">
        <f>E33+E42</f>
        <v>5739.54</v>
      </c>
      <c r="F32" s="2783">
        <f>F33+F42</f>
        <v>6187.2000000000007</v>
      </c>
      <c r="G32" s="2783">
        <f>G33+G42+1</f>
        <v>7952.28</v>
      </c>
      <c r="H32" s="2783">
        <v>7758.951</v>
      </c>
      <c r="I32" s="2783">
        <v>10574.093000000001</v>
      </c>
      <c r="J32" s="2783">
        <f>J33+J42</f>
        <v>5052.8590000000004</v>
      </c>
      <c r="K32" s="2783">
        <f>K33+K42</f>
        <v>1071</v>
      </c>
      <c r="L32" s="2784"/>
      <c r="M32" s="2784"/>
      <c r="N32" s="2784"/>
    </row>
    <row r="33" spans="1:15" s="2766" customFormat="1" ht="14.1" customHeight="1">
      <c r="A33" s="3454" t="s">
        <v>3863</v>
      </c>
      <c r="B33" s="3455"/>
      <c r="C33" s="2788">
        <f t="shared" ref="C33:G33" si="0">C34+C40+C41</f>
        <v>5338.2786000000006</v>
      </c>
      <c r="D33" s="2788">
        <f t="shared" si="0"/>
        <v>5936.2070000000012</v>
      </c>
      <c r="E33" s="2788">
        <f t="shared" si="0"/>
        <v>4676.33</v>
      </c>
      <c r="F33" s="2788">
        <f t="shared" si="0"/>
        <v>5500.1</v>
      </c>
      <c r="G33" s="2788">
        <f t="shared" si="0"/>
        <v>7819.28</v>
      </c>
      <c r="H33" s="2788">
        <v>7501.7950000000001</v>
      </c>
      <c r="I33" s="2788">
        <v>9786.9260000000013</v>
      </c>
      <c r="J33" s="2788">
        <f>5+J34+J40+J41+1+14</f>
        <v>4832.8590000000004</v>
      </c>
      <c r="K33" s="2788">
        <f>K34+K40+K41</f>
        <v>1044</v>
      </c>
      <c r="L33" s="2784"/>
      <c r="M33" s="2784"/>
      <c r="N33" s="2784"/>
    </row>
    <row r="34" spans="1:15" s="2766" customFormat="1" ht="14.1" customHeight="1">
      <c r="A34" s="3454" t="s">
        <v>3864</v>
      </c>
      <c r="B34" s="3455"/>
      <c r="C34" s="2788">
        <v>4680.8676000000005</v>
      </c>
      <c r="D34" s="2788">
        <v>4596.8270000000011</v>
      </c>
      <c r="E34" s="2788">
        <v>3747.21</v>
      </c>
      <c r="F34" s="2788">
        <v>4886.7</v>
      </c>
      <c r="G34" s="2788">
        <v>7169.5300000000007</v>
      </c>
      <c r="H34" s="2788">
        <v>6968.299</v>
      </c>
      <c r="I34" s="2788">
        <v>9424.8260000000009</v>
      </c>
      <c r="J34" s="2788">
        <f>56+J35+J36+J37+J38+J39+2.65+0.509+11+3+1+8+5+7+29</f>
        <v>3963.259</v>
      </c>
      <c r="K34" s="2788">
        <f>112+K35+K36+K37+K38+K39</f>
        <v>856</v>
      </c>
      <c r="L34" s="2784"/>
      <c r="M34" s="2784"/>
      <c r="N34" s="2784"/>
      <c r="O34" s="2780"/>
    </row>
    <row r="35" spans="1:15" s="2766" customFormat="1" ht="14.1" customHeight="1">
      <c r="A35" s="2789" t="s">
        <v>3865</v>
      </c>
      <c r="B35" s="2787"/>
      <c r="C35" s="2788">
        <v>47.320000000000007</v>
      </c>
      <c r="D35" s="2788">
        <v>377.83799999999997</v>
      </c>
      <c r="E35" s="2788">
        <v>75.650000000000006</v>
      </c>
      <c r="F35" s="2788">
        <v>38.099999999999994</v>
      </c>
      <c r="G35" s="2788">
        <v>91.699999999999989</v>
      </c>
      <c r="H35" s="2788">
        <v>92.62</v>
      </c>
      <c r="I35" s="2788">
        <v>595</v>
      </c>
      <c r="J35" s="2788">
        <f>88+32+71</f>
        <v>191</v>
      </c>
      <c r="K35" s="2788">
        <v>12</v>
      </c>
      <c r="L35" s="2784"/>
      <c r="M35" s="2784"/>
      <c r="N35" s="2784"/>
    </row>
    <row r="36" spans="1:15" s="2766" customFormat="1" ht="14.1" customHeight="1">
      <c r="A36" s="3454" t="s">
        <v>3866</v>
      </c>
      <c r="B36" s="3455"/>
      <c r="C36" s="2788">
        <v>34.097999999999999</v>
      </c>
      <c r="D36" s="2788">
        <v>69.441999999999993</v>
      </c>
      <c r="E36" s="2757">
        <v>208.98</v>
      </c>
      <c r="F36" s="2757">
        <v>64.7</v>
      </c>
      <c r="G36" s="2757">
        <v>256.01</v>
      </c>
      <c r="H36" s="2757">
        <v>184.512</v>
      </c>
      <c r="I36" s="2757">
        <v>366.2</v>
      </c>
      <c r="J36" s="2757">
        <f>36+160+1</f>
        <v>197</v>
      </c>
      <c r="K36" s="2757">
        <v>2</v>
      </c>
      <c r="L36" s="2784"/>
      <c r="M36" s="2784"/>
      <c r="N36" s="2784"/>
    </row>
    <row r="37" spans="1:15" s="2766" customFormat="1" ht="14.1" customHeight="1">
      <c r="A37" s="3454" t="s">
        <v>3867</v>
      </c>
      <c r="B37" s="3455"/>
      <c r="C37" s="2788">
        <v>522.51099999999997</v>
      </c>
      <c r="D37" s="2788">
        <v>1175.7850000000001</v>
      </c>
      <c r="E37" s="2757">
        <v>1166.77</v>
      </c>
      <c r="F37" s="2757">
        <v>2332.9</v>
      </c>
      <c r="G37" s="2757">
        <v>1598.38</v>
      </c>
      <c r="H37" s="2757">
        <v>4066.7190000000001</v>
      </c>
      <c r="I37" s="2757">
        <v>4294.5</v>
      </c>
      <c r="J37" s="2757">
        <f>1313+563+3.1+830</f>
        <v>2709.1</v>
      </c>
      <c r="K37" s="2757">
        <v>599</v>
      </c>
      <c r="L37" s="2784"/>
      <c r="M37" s="2784"/>
      <c r="N37" s="2784"/>
    </row>
    <row r="38" spans="1:15" s="2766" customFormat="1" ht="14.1" customHeight="1">
      <c r="A38" s="3454" t="s">
        <v>3868</v>
      </c>
      <c r="B38" s="3455"/>
      <c r="C38" s="2788">
        <v>177.024</v>
      </c>
      <c r="D38" s="2788">
        <v>58.642000000000003</v>
      </c>
      <c r="E38" s="2757">
        <v>172.48</v>
      </c>
      <c r="F38" s="2757">
        <v>26.7</v>
      </c>
      <c r="G38" s="2757">
        <v>3</v>
      </c>
      <c r="H38" s="2757">
        <v>10.17</v>
      </c>
      <c r="I38" s="2757">
        <v>2</v>
      </c>
      <c r="J38" s="2757">
        <f>109+5+97+29</f>
        <v>240</v>
      </c>
      <c r="K38" s="2757">
        <v>57</v>
      </c>
      <c r="L38" s="2784"/>
      <c r="M38" s="2784"/>
      <c r="N38" s="2784"/>
    </row>
    <row r="39" spans="1:15" s="2766" customFormat="1" ht="14.1" customHeight="1">
      <c r="A39" s="3454" t="s">
        <v>3869</v>
      </c>
      <c r="B39" s="3455"/>
      <c r="C39" s="2788">
        <v>3821.4270000000001</v>
      </c>
      <c r="D39" s="2788">
        <v>2801.83</v>
      </c>
      <c r="E39" s="2757">
        <f>1740.46+260.64+43.01</f>
        <v>2044.11</v>
      </c>
      <c r="F39" s="2757">
        <f>1492.6</f>
        <v>1492.6</v>
      </c>
      <c r="G39" s="2757">
        <f>2396+1131.944+1104.059</f>
        <v>4632.0029999999997</v>
      </c>
      <c r="H39" s="2757">
        <v>2313.91</v>
      </c>
      <c r="I39" s="2757">
        <v>4075</v>
      </c>
      <c r="J39" s="2757">
        <f>209+161+8+11+1+2+9+1+101</f>
        <v>503</v>
      </c>
      <c r="K39" s="2757">
        <v>74</v>
      </c>
      <c r="L39" s="2784"/>
      <c r="M39" s="2784"/>
      <c r="N39" s="2784"/>
    </row>
    <row r="40" spans="1:15" s="2766" customFormat="1" ht="14.1" customHeight="1">
      <c r="A40" s="3454" t="s">
        <v>3870</v>
      </c>
      <c r="B40" s="3455"/>
      <c r="C40" s="2788">
        <v>586.03899999999999</v>
      </c>
      <c r="D40" s="2788">
        <v>1286.931</v>
      </c>
      <c r="E40" s="2757">
        <v>606.26</v>
      </c>
      <c r="F40" s="2757">
        <v>448.1</v>
      </c>
      <c r="G40" s="2757">
        <v>590.49</v>
      </c>
      <c r="H40" s="2757">
        <v>56.49</v>
      </c>
      <c r="I40" s="2757">
        <v>160.1</v>
      </c>
      <c r="J40" s="2757">
        <f>265+155+15+129</f>
        <v>564</v>
      </c>
      <c r="K40" s="2757">
        <v>171</v>
      </c>
      <c r="L40" s="2784"/>
      <c r="M40" s="2784"/>
      <c r="N40" s="2784"/>
    </row>
    <row r="41" spans="1:15" s="2766" customFormat="1" ht="14.1" customHeight="1">
      <c r="A41" s="3454" t="s">
        <v>3871</v>
      </c>
      <c r="B41" s="3455"/>
      <c r="C41" s="2788">
        <v>71.372000000000298</v>
      </c>
      <c r="D41" s="2788">
        <v>52.448999999999614</v>
      </c>
      <c r="E41" s="2757">
        <v>322.85999999999967</v>
      </c>
      <c r="F41" s="2757">
        <v>165.30000000000018</v>
      </c>
      <c r="G41" s="2757">
        <v>59.259999999999309</v>
      </c>
      <c r="H41" s="2757">
        <v>363.00600000000031</v>
      </c>
      <c r="I41" s="2757">
        <v>202</v>
      </c>
      <c r="J41" s="2757">
        <f>7+6+2.6+43+13+7+84+3+59+34+2+19+3+3</f>
        <v>285.60000000000002</v>
      </c>
      <c r="K41" s="2757">
        <v>17</v>
      </c>
      <c r="L41" s="2784"/>
      <c r="M41" s="2784"/>
      <c r="N41" s="2784"/>
    </row>
    <row r="42" spans="1:15" s="2766" customFormat="1" ht="14.1" customHeight="1">
      <c r="A42" s="3454" t="s">
        <v>3872</v>
      </c>
      <c r="B42" s="3455"/>
      <c r="C42" s="2788">
        <v>166.51499999999999</v>
      </c>
      <c r="D42" s="2788">
        <v>2379.547</v>
      </c>
      <c r="E42" s="2757">
        <f>E43</f>
        <v>1063.21</v>
      </c>
      <c r="F42" s="2757">
        <f>F43+10.6</f>
        <v>687.1</v>
      </c>
      <c r="G42" s="2757">
        <v>132</v>
      </c>
      <c r="H42" s="2757">
        <v>257.15600000000001</v>
      </c>
      <c r="I42" s="2757">
        <v>787.16699999999992</v>
      </c>
      <c r="J42" s="2757">
        <f>3+J43+5</f>
        <v>220</v>
      </c>
      <c r="K42" s="2757">
        <f>K43+2+6</f>
        <v>27</v>
      </c>
      <c r="L42" s="2784"/>
      <c r="M42" s="2784"/>
      <c r="N42" s="2784"/>
    </row>
    <row r="43" spans="1:15" s="2766" customFormat="1" ht="14.1" customHeight="1">
      <c r="A43" s="3454" t="s">
        <v>3873</v>
      </c>
      <c r="B43" s="3455"/>
      <c r="C43" s="2788">
        <v>163.309</v>
      </c>
      <c r="D43" s="2788">
        <v>2379.547</v>
      </c>
      <c r="E43" s="2757">
        <v>1063.21</v>
      </c>
      <c r="F43" s="2757">
        <v>676.5</v>
      </c>
      <c r="G43" s="2757">
        <v>132</v>
      </c>
      <c r="H43" s="2757">
        <v>230.15600000000001</v>
      </c>
      <c r="I43" s="2757">
        <v>387.8</v>
      </c>
      <c r="J43" s="2757">
        <f>122+69+21</f>
        <v>212</v>
      </c>
      <c r="K43" s="2757">
        <v>19</v>
      </c>
      <c r="L43" s="2784"/>
      <c r="M43" s="2784"/>
      <c r="N43" s="2784"/>
    </row>
    <row r="44" spans="1:15" s="2766" customFormat="1" ht="14.1" customHeight="1">
      <c r="A44" s="2786" t="s">
        <v>3874</v>
      </c>
      <c r="B44" s="2787"/>
      <c r="C44" s="2783">
        <f>C45+C49+C52</f>
        <v>1685.3969999999999</v>
      </c>
      <c r="D44" s="2783">
        <f>D45+D49+D52</f>
        <v>3196.002</v>
      </c>
      <c r="E44" s="2783">
        <f>E45+E49+E52</f>
        <v>5679.47</v>
      </c>
      <c r="F44" s="2783">
        <f>F45+F49+F52-1</f>
        <v>2605.5</v>
      </c>
      <c r="G44" s="2783">
        <f>G45+G49+G52</f>
        <v>5996.32</v>
      </c>
      <c r="H44" s="2783">
        <v>5074.576</v>
      </c>
      <c r="I44" s="2783">
        <v>9762.398000000001</v>
      </c>
      <c r="J44" s="2783">
        <f>J45+J49+J52</f>
        <v>4425.3060000000005</v>
      </c>
      <c r="K44" s="2783">
        <f>K45+K52</f>
        <v>827.26</v>
      </c>
      <c r="L44" s="2784"/>
      <c r="M44" s="2784"/>
      <c r="N44" s="2784"/>
    </row>
    <row r="45" spans="1:15" s="2766" customFormat="1" ht="14.1" customHeight="1">
      <c r="A45" s="3454" t="s">
        <v>3875</v>
      </c>
      <c r="B45" s="3455"/>
      <c r="C45" s="2788">
        <f t="shared" ref="C45:G45" si="1">C46+C47+C48</f>
        <v>295.935</v>
      </c>
      <c r="D45" s="2788">
        <f t="shared" si="1"/>
        <v>1123.9349999999999</v>
      </c>
      <c r="E45" s="2788">
        <f t="shared" si="1"/>
        <v>1929.06</v>
      </c>
      <c r="F45" s="2788">
        <f t="shared" si="1"/>
        <v>1056.0999999999999</v>
      </c>
      <c r="G45" s="2788">
        <f t="shared" si="1"/>
        <v>2019.2</v>
      </c>
      <c r="H45" s="2788">
        <v>3523.1930000000002</v>
      </c>
      <c r="I45" s="2788">
        <v>5852.277</v>
      </c>
      <c r="J45" s="2757">
        <f>J46+J47+J48</f>
        <v>2044</v>
      </c>
      <c r="K45" s="2757">
        <f>K46+K47+K48</f>
        <v>514</v>
      </c>
      <c r="L45" s="2784"/>
      <c r="M45" s="2784"/>
      <c r="N45" s="2784"/>
    </row>
    <row r="46" spans="1:15" s="2766" customFormat="1" ht="14.1" customHeight="1">
      <c r="A46" s="3454" t="s">
        <v>3876</v>
      </c>
      <c r="B46" s="3455"/>
      <c r="C46" s="2788">
        <v>126.605</v>
      </c>
      <c r="D46" s="2788">
        <v>577.41300000000001</v>
      </c>
      <c r="E46" s="2757">
        <v>48.98</v>
      </c>
      <c r="F46" s="2757">
        <v>196.3</v>
      </c>
      <c r="G46" s="2757">
        <v>135.30000000000001</v>
      </c>
      <c r="H46" s="2757">
        <v>246.16</v>
      </c>
      <c r="I46" s="2757">
        <v>145.27699999999999</v>
      </c>
      <c r="J46" s="2757">
        <f>35+62+56</f>
        <v>153</v>
      </c>
      <c r="K46" s="2757">
        <v>42</v>
      </c>
      <c r="L46" s="2784"/>
      <c r="M46" s="2784"/>
      <c r="N46" s="2784"/>
    </row>
    <row r="47" spans="1:15" s="2766" customFormat="1" ht="14.1" customHeight="1">
      <c r="A47" s="3454" t="s">
        <v>3877</v>
      </c>
      <c r="B47" s="3455"/>
      <c r="C47" s="2788">
        <v>38.293999999999997</v>
      </c>
      <c r="D47" s="2788">
        <v>497.54300000000001</v>
      </c>
      <c r="E47" s="2757">
        <v>1414.77</v>
      </c>
      <c r="F47" s="2757">
        <v>509.7</v>
      </c>
      <c r="G47" s="2757">
        <v>1468.47</v>
      </c>
      <c r="H47" s="2757">
        <v>3003.4850000000001</v>
      </c>
      <c r="I47" s="2757">
        <v>5344</v>
      </c>
      <c r="J47" s="2757">
        <f>300+725+1+472</f>
        <v>1498</v>
      </c>
      <c r="K47" s="2757">
        <v>400</v>
      </c>
      <c r="L47" s="2784"/>
      <c r="M47" s="2784"/>
      <c r="N47" s="2784"/>
    </row>
    <row r="48" spans="1:15" s="2766" customFormat="1" ht="14.1" customHeight="1">
      <c r="A48" s="3454" t="s">
        <v>3878</v>
      </c>
      <c r="B48" s="3455"/>
      <c r="C48" s="2788">
        <v>131.036</v>
      </c>
      <c r="D48" s="2788">
        <v>48.978999999999928</v>
      </c>
      <c r="E48" s="2788">
        <v>465.30999999999995</v>
      </c>
      <c r="F48" s="2788">
        <v>350.09999999999997</v>
      </c>
      <c r="G48" s="2788">
        <v>415.43000000000006</v>
      </c>
      <c r="H48" s="2788">
        <v>273.548</v>
      </c>
      <c r="I48" s="2788">
        <v>363</v>
      </c>
      <c r="J48" s="2757">
        <f>56+247+14+11+1+5+18+2+6+33</f>
        <v>393</v>
      </c>
      <c r="K48" s="2757">
        <v>72</v>
      </c>
      <c r="L48" s="2784"/>
      <c r="M48" s="2784"/>
      <c r="N48" s="2784"/>
    </row>
    <row r="49" spans="1:14" s="2766" customFormat="1" ht="14.1" customHeight="1">
      <c r="A49" s="3454" t="s">
        <v>3879</v>
      </c>
      <c r="B49" s="3455"/>
      <c r="C49" s="2788">
        <v>45.253</v>
      </c>
      <c r="D49" s="2788">
        <v>25.31</v>
      </c>
      <c r="E49" s="2757">
        <f>E50+43.56+52.26+E51</f>
        <v>553.04000000000008</v>
      </c>
      <c r="F49" s="2757">
        <f>F50+85.6+F51</f>
        <v>121.4</v>
      </c>
      <c r="G49" s="2757">
        <v>69</v>
      </c>
      <c r="H49" s="2757">
        <v>177.81</v>
      </c>
      <c r="I49" s="2757">
        <v>9</v>
      </c>
      <c r="J49" s="2757">
        <f>J50+J51+1</f>
        <v>46</v>
      </c>
      <c r="K49" s="2790">
        <v>0</v>
      </c>
      <c r="L49" s="2784"/>
      <c r="M49" s="2784"/>
      <c r="N49" s="2784"/>
    </row>
    <row r="50" spans="1:14" s="2766" customFormat="1" ht="14.1" customHeight="1">
      <c r="A50" s="3454" t="s">
        <v>3880</v>
      </c>
      <c r="B50" s="3455"/>
      <c r="C50" s="2788" t="s">
        <v>3826</v>
      </c>
      <c r="D50" s="2788" t="s">
        <v>3826</v>
      </c>
      <c r="E50" s="2757">
        <v>448</v>
      </c>
      <c r="F50" s="2757">
        <v>3</v>
      </c>
      <c r="G50" s="2788" t="s">
        <v>3826</v>
      </c>
      <c r="H50" s="2757">
        <v>175.98</v>
      </c>
      <c r="I50" s="2790">
        <v>0</v>
      </c>
      <c r="J50" s="2790">
        <v>0</v>
      </c>
      <c r="K50" s="2790">
        <v>0</v>
      </c>
      <c r="L50" s="2784"/>
      <c r="M50" s="2784"/>
      <c r="N50" s="2784"/>
    </row>
    <row r="51" spans="1:14" s="2766" customFormat="1" ht="14.1" customHeight="1">
      <c r="A51" s="3454" t="s">
        <v>3881</v>
      </c>
      <c r="B51" s="3455"/>
      <c r="C51" s="2788">
        <v>12.635999999999999</v>
      </c>
      <c r="D51" s="2788" t="s">
        <v>3826</v>
      </c>
      <c r="E51" s="2757">
        <v>9.2200000000000006</v>
      </c>
      <c r="F51" s="2757">
        <v>32.800000000000004</v>
      </c>
      <c r="G51" s="2757">
        <v>5</v>
      </c>
      <c r="H51" s="2790">
        <v>0</v>
      </c>
      <c r="I51" s="2757">
        <v>9</v>
      </c>
      <c r="J51" s="2757">
        <v>45</v>
      </c>
      <c r="K51" s="2790">
        <v>0</v>
      </c>
      <c r="L51" s="2784"/>
      <c r="M51" s="2784"/>
      <c r="N51" s="2784"/>
    </row>
    <row r="52" spans="1:14" s="2766" customFormat="1" ht="14.1" customHeight="1">
      <c r="A52" s="3454" t="s">
        <v>3882</v>
      </c>
      <c r="B52" s="3455"/>
      <c r="C52" s="2788">
        <v>1344.2090000000001</v>
      </c>
      <c r="D52" s="2788">
        <v>2046.7570000000001</v>
      </c>
      <c r="E52" s="2757">
        <f>E53+14.36+4.01</f>
        <v>3197.3700000000003</v>
      </c>
      <c r="F52" s="2757">
        <f>F53+2</f>
        <v>1429</v>
      </c>
      <c r="G52" s="2757">
        <v>3908.12</v>
      </c>
      <c r="H52" s="2757">
        <v>1373.5729999999999</v>
      </c>
      <c r="I52" s="2757">
        <v>3901.1210000000001</v>
      </c>
      <c r="J52" s="2757">
        <f>J53+J62</f>
        <v>2335.306</v>
      </c>
      <c r="K52" s="2757">
        <f>K53+K62</f>
        <v>313.26</v>
      </c>
      <c r="L52" s="2784"/>
      <c r="M52" s="2784"/>
      <c r="N52" s="2784"/>
    </row>
    <row r="53" spans="1:14" s="2766" customFormat="1" ht="14.1" customHeight="1">
      <c r="A53" s="3454" t="s">
        <v>3883</v>
      </c>
      <c r="B53" s="3455"/>
      <c r="C53" s="2788">
        <v>1322</v>
      </c>
      <c r="D53" s="2788">
        <v>1971</v>
      </c>
      <c r="E53" s="2788">
        <v>3179</v>
      </c>
      <c r="F53" s="2788">
        <v>1427</v>
      </c>
      <c r="G53" s="2788">
        <v>3905</v>
      </c>
      <c r="H53" s="2788">
        <v>1372.5729999999999</v>
      </c>
      <c r="I53" s="2788">
        <v>3898.598</v>
      </c>
      <c r="J53" s="2788">
        <f>J54+J56</f>
        <v>2200.306</v>
      </c>
      <c r="K53" s="2788">
        <f>K54+K56</f>
        <v>313</v>
      </c>
      <c r="L53" s="2784"/>
      <c r="M53" s="2784"/>
      <c r="N53" s="2784"/>
    </row>
    <row r="54" spans="1:14" s="2766" customFormat="1" ht="14.1" customHeight="1">
      <c r="A54" s="3454" t="s">
        <v>3884</v>
      </c>
      <c r="B54" s="3455"/>
      <c r="C54" s="2788">
        <v>998.47400000000005</v>
      </c>
      <c r="D54" s="2788">
        <v>1284.694</v>
      </c>
      <c r="E54" s="2757">
        <f>E55+90.33</f>
        <v>937.30000000000007</v>
      </c>
      <c r="F54" s="2757">
        <f>F55</f>
        <v>382.1</v>
      </c>
      <c r="G54" s="2757">
        <v>338</v>
      </c>
      <c r="H54" s="2757">
        <v>392.57299999999998</v>
      </c>
      <c r="I54" s="2757">
        <v>360.59800000000001</v>
      </c>
      <c r="J54" s="2757">
        <f>0.306+120+50+22+26</f>
        <v>218.30599999999998</v>
      </c>
      <c r="K54" s="2757">
        <f>K55</f>
        <v>116</v>
      </c>
      <c r="L54" s="2784"/>
      <c r="M54" s="2784"/>
      <c r="N54" s="2784"/>
    </row>
    <row r="55" spans="1:14" s="2766" customFormat="1" ht="14.1" customHeight="1">
      <c r="A55" s="3454" t="s">
        <v>3885</v>
      </c>
      <c r="B55" s="3455"/>
      <c r="C55" s="2788">
        <v>113.974</v>
      </c>
      <c r="D55" s="2788">
        <v>1284.694</v>
      </c>
      <c r="E55" s="2757">
        <v>846.97</v>
      </c>
      <c r="F55" s="2757">
        <v>382.1</v>
      </c>
      <c r="G55" s="2757">
        <v>338</v>
      </c>
      <c r="H55" s="2757">
        <v>392.57299999999998</v>
      </c>
      <c r="I55" s="2757">
        <v>336</v>
      </c>
      <c r="J55" s="2757">
        <v>216</v>
      </c>
      <c r="K55" s="2757">
        <v>116</v>
      </c>
      <c r="L55" s="2784"/>
      <c r="M55" s="2784"/>
      <c r="N55" s="2784"/>
    </row>
    <row r="56" spans="1:14" s="2766" customFormat="1" ht="14.1" customHeight="1">
      <c r="A56" s="3454" t="s">
        <v>3886</v>
      </c>
      <c r="B56" s="3455"/>
      <c r="C56" s="2788">
        <f t="shared" ref="C56:G56" si="2">C57+C59</f>
        <v>246</v>
      </c>
      <c r="D56" s="2788">
        <f t="shared" si="2"/>
        <v>669</v>
      </c>
      <c r="E56" s="2788">
        <f t="shared" si="2"/>
        <v>2126</v>
      </c>
      <c r="F56" s="2788">
        <f t="shared" si="2"/>
        <v>974</v>
      </c>
      <c r="G56" s="2788">
        <f t="shared" si="2"/>
        <v>3518</v>
      </c>
      <c r="H56" s="2788">
        <v>980</v>
      </c>
      <c r="I56" s="2788">
        <v>3538</v>
      </c>
      <c r="J56" s="2788">
        <f>J57+J59</f>
        <v>1982</v>
      </c>
      <c r="K56" s="2788">
        <f>K57+K59</f>
        <v>197</v>
      </c>
      <c r="L56" s="2784"/>
      <c r="M56" s="2784"/>
      <c r="N56" s="2784"/>
    </row>
    <row r="57" spans="1:14" s="2766" customFormat="1" ht="14.1" customHeight="1">
      <c r="A57" s="3454" t="s">
        <v>3887</v>
      </c>
      <c r="B57" s="3455"/>
      <c r="C57" s="2788">
        <f>50+160</f>
        <v>210</v>
      </c>
      <c r="D57" s="2788">
        <v>610</v>
      </c>
      <c r="E57" s="2791">
        <v>1921</v>
      </c>
      <c r="F57" s="2791">
        <v>320</v>
      </c>
      <c r="G57" s="2791">
        <v>2887</v>
      </c>
      <c r="H57" s="2757">
        <v>521</v>
      </c>
      <c r="I57" s="2757">
        <v>707</v>
      </c>
      <c r="J57" s="2757">
        <f>31+20+24</f>
        <v>75</v>
      </c>
      <c r="K57" s="2757">
        <f>K58</f>
        <v>67</v>
      </c>
      <c r="L57" s="2784"/>
      <c r="M57" s="2784"/>
      <c r="N57" s="2784"/>
    </row>
    <row r="58" spans="1:14" s="2766" customFormat="1" ht="14.1" customHeight="1">
      <c r="A58" s="2789"/>
      <c r="B58" s="2787" t="s">
        <v>3888</v>
      </c>
      <c r="C58" s="2788"/>
      <c r="D58" s="2788">
        <v>610</v>
      </c>
      <c r="E58" s="2757">
        <v>1921</v>
      </c>
      <c r="F58" s="2757">
        <v>320</v>
      </c>
      <c r="G58" s="2757">
        <v>2887</v>
      </c>
      <c r="H58" s="2757">
        <v>513</v>
      </c>
      <c r="I58" s="2757">
        <v>692</v>
      </c>
      <c r="J58" s="2757">
        <f>31+20+24</f>
        <v>75</v>
      </c>
      <c r="K58" s="2757">
        <v>67</v>
      </c>
      <c r="L58" s="2784"/>
      <c r="M58" s="2784"/>
      <c r="N58" s="2784"/>
    </row>
    <row r="59" spans="1:14" s="2766" customFormat="1" ht="14.1" customHeight="1">
      <c r="A59" s="3454" t="s">
        <v>3889</v>
      </c>
      <c r="B59" s="3455"/>
      <c r="C59" s="2788">
        <f>6+30</f>
        <v>36</v>
      </c>
      <c r="D59" s="2788">
        <f>18+17+23+1</f>
        <v>59</v>
      </c>
      <c r="E59" s="2757">
        <f>78+8+119</f>
        <v>205</v>
      </c>
      <c r="F59" s="2757">
        <f>348+2+304</f>
        <v>654</v>
      </c>
      <c r="G59" s="2757">
        <f>280+24+2+285+40</f>
        <v>631</v>
      </c>
      <c r="H59" s="2757">
        <v>459</v>
      </c>
      <c r="I59" s="2757">
        <v>2831</v>
      </c>
      <c r="J59" s="2757">
        <f>1029+156+20+1+61+640</f>
        <v>1907</v>
      </c>
      <c r="K59" s="2757">
        <f>K60+K61</f>
        <v>130</v>
      </c>
      <c r="L59" s="2784"/>
      <c r="M59" s="2784"/>
      <c r="N59" s="2784"/>
    </row>
    <row r="60" spans="1:14" s="2766" customFormat="1" ht="14.1" customHeight="1">
      <c r="A60" s="2792"/>
      <c r="B60" s="2787" t="s">
        <v>3890</v>
      </c>
      <c r="C60" s="2788"/>
      <c r="D60" s="2790">
        <v>0</v>
      </c>
      <c r="E60" s="2788">
        <v>78</v>
      </c>
      <c r="F60" s="2788">
        <v>305</v>
      </c>
      <c r="G60" s="2788">
        <v>279</v>
      </c>
      <c r="H60" s="2788">
        <v>245</v>
      </c>
      <c r="I60" s="2788">
        <v>2558</v>
      </c>
      <c r="J60" s="2788">
        <f>132+856+640</f>
        <v>1628</v>
      </c>
      <c r="K60" s="2788">
        <v>95</v>
      </c>
      <c r="L60" s="2784"/>
      <c r="M60" s="2784"/>
      <c r="N60" s="2784"/>
    </row>
    <row r="61" spans="1:14" s="2766" customFormat="1" ht="14.1" customHeight="1">
      <c r="A61" s="2792"/>
      <c r="B61" s="2787" t="s">
        <v>191</v>
      </c>
      <c r="C61" s="2788"/>
      <c r="D61" s="2788">
        <f t="shared" ref="D61:G61" si="3">D59-D60</f>
        <v>59</v>
      </c>
      <c r="E61" s="2791">
        <f t="shared" si="3"/>
        <v>127</v>
      </c>
      <c r="F61" s="2791">
        <f t="shared" si="3"/>
        <v>349</v>
      </c>
      <c r="G61" s="2791">
        <f t="shared" si="3"/>
        <v>352</v>
      </c>
      <c r="H61" s="2788">
        <v>214</v>
      </c>
      <c r="I61" s="2788">
        <v>273</v>
      </c>
      <c r="J61" s="2788">
        <f>5+18+173+83</f>
        <v>279</v>
      </c>
      <c r="K61" s="2788">
        <v>35</v>
      </c>
      <c r="L61" s="2784"/>
      <c r="M61" s="2784"/>
      <c r="N61" s="2784"/>
    </row>
    <row r="62" spans="1:14" s="2766" customFormat="1" ht="14.1" customHeight="1">
      <c r="A62" s="3454" t="s">
        <v>3891</v>
      </c>
      <c r="B62" s="3455"/>
      <c r="C62" s="2788"/>
      <c r="D62" s="2790">
        <v>0</v>
      </c>
      <c r="E62" s="2790">
        <v>0</v>
      </c>
      <c r="F62" s="2790">
        <v>0</v>
      </c>
      <c r="G62" s="2757">
        <v>3</v>
      </c>
      <c r="H62" s="2757">
        <v>1</v>
      </c>
      <c r="I62" s="2757">
        <v>2.5</v>
      </c>
      <c r="J62" s="2757">
        <f>91+12+32</f>
        <v>135</v>
      </c>
      <c r="K62" s="2757">
        <v>0.26</v>
      </c>
      <c r="L62" s="2784"/>
      <c r="M62" s="2784"/>
      <c r="N62" s="2784"/>
    </row>
    <row r="63" spans="1:14" s="2766" customFormat="1" ht="14.1" customHeight="1">
      <c r="A63" s="3456" t="s">
        <v>3892</v>
      </c>
      <c r="B63" s="3457"/>
      <c r="C63" s="2793">
        <v>32.295000000000002</v>
      </c>
      <c r="D63" s="2793">
        <v>1.9690000000000001</v>
      </c>
      <c r="E63" s="2794">
        <v>0</v>
      </c>
      <c r="F63" s="2794">
        <v>0</v>
      </c>
      <c r="G63" s="2794">
        <v>0</v>
      </c>
      <c r="H63" s="2793">
        <v>60</v>
      </c>
      <c r="I63" s="2793">
        <v>37</v>
      </c>
      <c r="J63" s="2793">
        <v>34</v>
      </c>
      <c r="K63" s="2794">
        <v>0</v>
      </c>
      <c r="M63" s="2784"/>
      <c r="N63" s="2784"/>
    </row>
    <row r="64" spans="1:14" s="2766" customFormat="1" ht="95.25" customHeight="1">
      <c r="A64" s="3458" t="s">
        <v>3893</v>
      </c>
      <c r="B64" s="3459"/>
      <c r="C64" s="3459"/>
      <c r="D64" s="3459"/>
      <c r="E64" s="3459"/>
      <c r="F64" s="3459"/>
      <c r="G64" s="3459"/>
      <c r="H64" s="2795"/>
      <c r="I64" s="2795"/>
      <c r="J64" s="2796" t="s">
        <v>3894</v>
      </c>
      <c r="K64" s="2797"/>
    </row>
    <row r="65" spans="1:11" s="2766" customFormat="1" ht="13.5">
      <c r="A65" s="2798" t="s">
        <v>240</v>
      </c>
      <c r="B65" s="2799"/>
      <c r="C65" s="2800"/>
      <c r="D65" s="2800"/>
      <c r="E65" s="2800"/>
      <c r="F65" s="2800"/>
      <c r="H65" s="3460"/>
      <c r="I65" s="3461"/>
      <c r="J65" s="3461"/>
      <c r="K65" s="2797"/>
    </row>
    <row r="66" spans="1:11" s="2766" customFormat="1" ht="12">
      <c r="A66" s="2798" t="s">
        <v>180</v>
      </c>
      <c r="C66" s="2801"/>
      <c r="D66" s="2801"/>
    </row>
    <row r="67" spans="1:11" s="2766" customFormat="1" ht="12">
      <c r="C67" s="2801"/>
      <c r="D67" s="2801"/>
    </row>
    <row r="68" spans="1:11" s="2766" customFormat="1" ht="12">
      <c r="C68" s="2801"/>
      <c r="D68" s="2801"/>
    </row>
    <row r="69" spans="1:11" s="2766" customFormat="1" ht="12">
      <c r="C69" s="2802"/>
      <c r="D69" s="2802"/>
    </row>
    <row r="70" spans="1:11" s="2766" customFormat="1" ht="12">
      <c r="C70" s="2801"/>
      <c r="D70" s="2801"/>
    </row>
    <row r="71" spans="1:11" s="2766" customFormat="1" ht="12">
      <c r="C71" s="2801"/>
      <c r="D71" s="2801"/>
    </row>
    <row r="72" spans="1:11" ht="12">
      <c r="A72" s="2803"/>
      <c r="H72" s="2766"/>
      <c r="I72" s="2766"/>
      <c r="J72" s="2766"/>
      <c r="K72" s="2766"/>
    </row>
    <row r="73" spans="1:11">
      <c r="A73" s="2803"/>
    </row>
    <row r="74" spans="1:11">
      <c r="A74" s="2803"/>
    </row>
    <row r="75" spans="1:11">
      <c r="A75" s="2803"/>
    </row>
    <row r="76" spans="1:11">
      <c r="A76" s="2803"/>
    </row>
    <row r="77" spans="1:11">
      <c r="A77" s="2803"/>
    </row>
    <row r="78" spans="1:11">
      <c r="A78" s="2803"/>
    </row>
    <row r="79" spans="1:11">
      <c r="A79" s="2803"/>
    </row>
    <row r="80" spans="1:11">
      <c r="A80" s="2803"/>
    </row>
    <row r="81" spans="1:1">
      <c r="A81" s="2803"/>
    </row>
    <row r="82" spans="1:1">
      <c r="A82" s="2803"/>
    </row>
    <row r="83" spans="1:1">
      <c r="A83" s="2803"/>
    </row>
    <row r="84" spans="1:1">
      <c r="A84" s="2803"/>
    </row>
    <row r="85" spans="1:1">
      <c r="A85" s="2803"/>
    </row>
    <row r="86" spans="1:1">
      <c r="A86" s="2803"/>
    </row>
    <row r="87" spans="1:1">
      <c r="A87" s="2803"/>
    </row>
    <row r="88" spans="1:1">
      <c r="A88" s="2803"/>
    </row>
    <row r="89" spans="1:1">
      <c r="A89" s="2803"/>
    </row>
    <row r="90" spans="1:1">
      <c r="A90" s="2803"/>
    </row>
    <row r="91" spans="1:1">
      <c r="A91" s="2803"/>
    </row>
    <row r="92" spans="1:1">
      <c r="A92" s="2803"/>
    </row>
    <row r="93" spans="1:1">
      <c r="A93" s="2803"/>
    </row>
    <row r="94" spans="1:1">
      <c r="A94" s="2803"/>
    </row>
    <row r="95" spans="1:1">
      <c r="A95" s="2803"/>
    </row>
  </sheetData>
  <mergeCells count="41">
    <mergeCell ref="E4:E5"/>
    <mergeCell ref="F4:F5"/>
    <mergeCell ref="A22:B22"/>
    <mergeCell ref="A4:A5"/>
    <mergeCell ref="B4:B5"/>
    <mergeCell ref="C4:C5"/>
    <mergeCell ref="D4:D5"/>
    <mergeCell ref="G4:G5"/>
    <mergeCell ref="H4:H5"/>
    <mergeCell ref="I4:I5"/>
    <mergeCell ref="J4:J5"/>
    <mergeCell ref="K4:K5"/>
    <mergeCell ref="A45:B45"/>
    <mergeCell ref="A30:B30"/>
    <mergeCell ref="A33:B33"/>
    <mergeCell ref="A34:B34"/>
    <mergeCell ref="A36:B36"/>
    <mergeCell ref="A37:B37"/>
    <mergeCell ref="A38:B38"/>
    <mergeCell ref="A39:B39"/>
    <mergeCell ref="A40:B40"/>
    <mergeCell ref="A41:B41"/>
    <mergeCell ref="A42:B42"/>
    <mergeCell ref="A43:B43"/>
    <mergeCell ref="A57:B57"/>
    <mergeCell ref="A46:B46"/>
    <mergeCell ref="A47:B47"/>
    <mergeCell ref="A48:B48"/>
    <mergeCell ref="A49:B49"/>
    <mergeCell ref="A50:B50"/>
    <mergeCell ref="A51:B51"/>
    <mergeCell ref="A52:B52"/>
    <mergeCell ref="A53:B53"/>
    <mergeCell ref="A54:B54"/>
    <mergeCell ref="A55:B55"/>
    <mergeCell ref="A56:B56"/>
    <mergeCell ref="A59:B59"/>
    <mergeCell ref="A62:B62"/>
    <mergeCell ref="A63:B63"/>
    <mergeCell ref="A64:G64"/>
    <mergeCell ref="H65:J65"/>
  </mergeCells>
  <printOptions horizontalCentered="1" verticalCentered="1"/>
  <pageMargins left="0.55118110236220474" right="0" top="0.11811023622047245" bottom="0" header="0" footer="0"/>
  <pageSetup paperSize="9" scale="7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0"/>
  <sheetViews>
    <sheetView zoomScaleNormal="100" workbookViewId="0">
      <selection activeCell="V9" sqref="V9"/>
    </sheetView>
  </sheetViews>
  <sheetFormatPr defaultRowHeight="11.25"/>
  <cols>
    <col min="1" max="1" width="14.42578125" style="2808" customWidth="1"/>
    <col min="2" max="2" width="28.140625" style="2808" customWidth="1"/>
    <col min="3" max="4" width="8.7109375" style="2808" hidden="1" customWidth="1"/>
    <col min="5" max="9" width="8.7109375" style="2808" customWidth="1"/>
    <col min="10" max="11" width="10" style="2808" customWidth="1"/>
    <col min="12" max="16384" width="9.140625" style="2808"/>
  </cols>
  <sheetData>
    <row r="1" spans="1:12" s="2806" customFormat="1" ht="16.5">
      <c r="A1" s="2804" t="s">
        <v>3895</v>
      </c>
      <c r="B1" s="2805"/>
      <c r="E1" s="2807"/>
      <c r="F1" s="2807"/>
    </row>
    <row r="2" spans="1:12" s="2806" customFormat="1" ht="15.75" customHeight="1">
      <c r="A2" s="2804" t="s">
        <v>3812</v>
      </c>
      <c r="B2" s="2805"/>
      <c r="E2" s="2807"/>
      <c r="F2" s="2807"/>
    </row>
    <row r="3" spans="1:12" ht="14.25" customHeight="1">
      <c r="D3" s="2809"/>
      <c r="E3" s="2809"/>
      <c r="I3" s="2810"/>
      <c r="J3" s="2810"/>
      <c r="K3" s="2810" t="s">
        <v>74</v>
      </c>
    </row>
    <row r="4" spans="1:12" s="2811" customFormat="1" ht="12" customHeight="1">
      <c r="A4" s="3487" t="s">
        <v>3813</v>
      </c>
      <c r="B4" s="3489" t="s">
        <v>3814</v>
      </c>
      <c r="C4" s="3483" t="s">
        <v>3815</v>
      </c>
      <c r="D4" s="3483" t="s">
        <v>3816</v>
      </c>
      <c r="E4" s="3483" t="s">
        <v>3817</v>
      </c>
      <c r="F4" s="3483" t="s">
        <v>3896</v>
      </c>
      <c r="G4" s="3483" t="s">
        <v>3859</v>
      </c>
      <c r="H4" s="3483" t="s">
        <v>3897</v>
      </c>
      <c r="I4" s="3483" t="s">
        <v>3821</v>
      </c>
      <c r="J4" s="3483" t="s">
        <v>3898</v>
      </c>
      <c r="K4" s="3483" t="s">
        <v>3823</v>
      </c>
    </row>
    <row r="5" spans="1:12" s="2811" customFormat="1" ht="19.5" customHeight="1">
      <c r="A5" s="3488"/>
      <c r="B5" s="3490"/>
      <c r="C5" s="3484"/>
      <c r="D5" s="3484"/>
      <c r="E5" s="3484"/>
      <c r="F5" s="3484"/>
      <c r="G5" s="3484"/>
      <c r="H5" s="3484"/>
      <c r="I5" s="3484"/>
      <c r="J5" s="3484"/>
      <c r="K5" s="3484"/>
    </row>
    <row r="6" spans="1:12" s="2811" customFormat="1" ht="19.5" customHeight="1">
      <c r="A6" s="2812" t="s">
        <v>3824</v>
      </c>
      <c r="B6" s="2813" t="s">
        <v>3825</v>
      </c>
      <c r="C6" s="2814">
        <v>270.8</v>
      </c>
      <c r="D6" s="2814">
        <v>112.9</v>
      </c>
      <c r="E6" s="2814">
        <f>2.8+6.98</f>
        <v>9.7800000000000011</v>
      </c>
      <c r="F6" s="2814">
        <v>0.90500000000000003</v>
      </c>
      <c r="G6" s="2814">
        <v>10.1</v>
      </c>
      <c r="H6" s="2814">
        <v>535</v>
      </c>
      <c r="I6" s="2814">
        <v>696</v>
      </c>
      <c r="J6" s="2814">
        <v>2</v>
      </c>
      <c r="K6" s="2815" t="s">
        <v>3826</v>
      </c>
    </row>
    <row r="7" spans="1:12" s="2811" customFormat="1" ht="19.5" customHeight="1">
      <c r="A7" s="2816" t="s">
        <v>3827</v>
      </c>
      <c r="B7" s="2817" t="s">
        <v>285</v>
      </c>
      <c r="C7" s="2818">
        <v>335.3</v>
      </c>
      <c r="D7" s="2818">
        <v>235.3</v>
      </c>
      <c r="E7" s="2818">
        <f>14.3+190.9</f>
        <v>205.20000000000002</v>
      </c>
      <c r="F7" s="2818">
        <v>114.2</v>
      </c>
      <c r="G7" s="2818">
        <v>347.4</v>
      </c>
      <c r="H7" s="2818">
        <v>992</v>
      </c>
      <c r="I7" s="2818">
        <v>449</v>
      </c>
      <c r="J7" s="2818">
        <v>124</v>
      </c>
      <c r="K7" s="2818">
        <v>45</v>
      </c>
      <c r="L7" s="2819"/>
    </row>
    <row r="8" spans="1:12" s="2811" customFormat="1" ht="24.75" customHeight="1">
      <c r="A8" s="2816" t="s">
        <v>3828</v>
      </c>
      <c r="B8" s="2817" t="s">
        <v>3829</v>
      </c>
      <c r="C8" s="2818" t="s">
        <v>3826</v>
      </c>
      <c r="D8" s="2818" t="s">
        <v>3826</v>
      </c>
      <c r="E8" s="2818" t="s">
        <v>3826</v>
      </c>
      <c r="F8" s="2818" t="s">
        <v>3826</v>
      </c>
      <c r="G8" s="2818">
        <v>15.56</v>
      </c>
      <c r="H8" s="2818" t="s">
        <v>3826</v>
      </c>
      <c r="I8" s="2818" t="s">
        <v>3826</v>
      </c>
      <c r="J8" s="2820" t="s">
        <v>3826</v>
      </c>
      <c r="K8" s="2820" t="s">
        <v>3826</v>
      </c>
      <c r="L8" s="2819"/>
    </row>
    <row r="9" spans="1:12" s="2811" customFormat="1" ht="34.5" customHeight="1">
      <c r="A9" s="2816" t="s">
        <v>3899</v>
      </c>
      <c r="B9" s="2817" t="s">
        <v>3900</v>
      </c>
      <c r="C9" s="2818" t="s">
        <v>3826</v>
      </c>
      <c r="D9" s="2818" t="s">
        <v>3826</v>
      </c>
      <c r="E9" s="2818" t="s">
        <v>3826</v>
      </c>
      <c r="F9" s="2818" t="s">
        <v>3826</v>
      </c>
      <c r="G9" s="2818" t="s">
        <v>3826</v>
      </c>
      <c r="H9" s="2818">
        <v>1</v>
      </c>
      <c r="I9" s="2818">
        <v>6</v>
      </c>
      <c r="J9" s="2818" t="s">
        <v>3826</v>
      </c>
      <c r="K9" s="2820" t="s">
        <v>3826</v>
      </c>
      <c r="L9" s="2819"/>
    </row>
    <row r="10" spans="1:12" s="2811" customFormat="1" ht="19.5" customHeight="1">
      <c r="A10" s="2816" t="s">
        <v>3830</v>
      </c>
      <c r="B10" s="2817" t="s">
        <v>313</v>
      </c>
      <c r="C10" s="2814">
        <v>26</v>
      </c>
      <c r="D10" s="2814">
        <v>29.968</v>
      </c>
      <c r="E10" s="2814">
        <v>2.4710000000000001</v>
      </c>
      <c r="F10" s="2814">
        <v>3.8</v>
      </c>
      <c r="G10" s="2818" t="s">
        <v>3826</v>
      </c>
      <c r="H10" s="2818">
        <v>308</v>
      </c>
      <c r="I10" s="2818">
        <v>114</v>
      </c>
      <c r="J10" s="2818">
        <v>15</v>
      </c>
      <c r="K10" s="2820" t="s">
        <v>3826</v>
      </c>
      <c r="L10" s="2819"/>
    </row>
    <row r="11" spans="1:12" s="2811" customFormat="1" ht="23.25" customHeight="1">
      <c r="A11" s="2816" t="s">
        <v>3831</v>
      </c>
      <c r="B11" s="2817" t="s">
        <v>3832</v>
      </c>
      <c r="C11" s="2814">
        <v>5.508</v>
      </c>
      <c r="D11" s="2814">
        <v>17.231999999999999</v>
      </c>
      <c r="E11" s="2814">
        <f>3.388+18.834</f>
        <v>22.222000000000001</v>
      </c>
      <c r="F11" s="2814">
        <v>33.9</v>
      </c>
      <c r="G11" s="2814">
        <v>0.89</v>
      </c>
      <c r="H11" s="2814">
        <v>78</v>
      </c>
      <c r="I11" s="2814">
        <v>90</v>
      </c>
      <c r="J11" s="2814">
        <v>96</v>
      </c>
      <c r="K11" s="2814">
        <v>4</v>
      </c>
      <c r="L11" s="2819"/>
    </row>
    <row r="12" spans="1:12" s="2811" customFormat="1" ht="19.5" customHeight="1">
      <c r="A12" s="2816" t="s">
        <v>3833</v>
      </c>
      <c r="B12" s="2817" t="s">
        <v>3834</v>
      </c>
      <c r="C12" s="2814">
        <v>1.7749999999999999</v>
      </c>
      <c r="D12" s="2814">
        <v>5.2679999999999998</v>
      </c>
      <c r="E12" s="2814">
        <v>12.94</v>
      </c>
      <c r="F12" s="2814">
        <v>9</v>
      </c>
      <c r="G12" s="2818" t="s">
        <v>3826</v>
      </c>
      <c r="H12" s="2818">
        <v>33</v>
      </c>
      <c r="I12" s="2818">
        <v>167</v>
      </c>
      <c r="J12" s="2818">
        <f>0.4+0.58</f>
        <v>0.98</v>
      </c>
      <c r="K12" s="2818">
        <v>0.2</v>
      </c>
      <c r="L12" s="2819"/>
    </row>
    <row r="13" spans="1:12" s="2811" customFormat="1" ht="23.25" customHeight="1">
      <c r="A13" s="2816" t="s">
        <v>3835</v>
      </c>
      <c r="B13" s="2817" t="s">
        <v>3836</v>
      </c>
      <c r="C13" s="2814">
        <v>391</v>
      </c>
      <c r="D13" s="2814">
        <v>1068.3</v>
      </c>
      <c r="E13" s="2814">
        <f>32.489+887.884</f>
        <v>920.37300000000005</v>
      </c>
      <c r="F13" s="2814">
        <v>711.4</v>
      </c>
      <c r="G13" s="2814">
        <v>1002</v>
      </c>
      <c r="H13" s="2818">
        <v>1850</v>
      </c>
      <c r="I13" s="2818">
        <v>1017</v>
      </c>
      <c r="J13" s="2818">
        <v>2397</v>
      </c>
      <c r="K13" s="2818">
        <v>274</v>
      </c>
      <c r="L13" s="2819"/>
    </row>
    <row r="14" spans="1:12" s="2811" customFormat="1" ht="22.5" customHeight="1">
      <c r="A14" s="2816" t="s">
        <v>3837</v>
      </c>
      <c r="B14" s="2817" t="s">
        <v>3838</v>
      </c>
      <c r="C14" s="2814" t="s">
        <v>3826</v>
      </c>
      <c r="D14" s="2814" t="s">
        <v>3826</v>
      </c>
      <c r="E14" s="2814">
        <v>0.48199999999999998</v>
      </c>
      <c r="F14" s="2818" t="s">
        <v>3826</v>
      </c>
      <c r="G14" s="2818" t="s">
        <v>3826</v>
      </c>
      <c r="H14" s="2818">
        <v>195</v>
      </c>
      <c r="I14" s="2818">
        <v>19</v>
      </c>
      <c r="J14" s="2818">
        <v>6</v>
      </c>
      <c r="K14" s="2820" t="s">
        <v>3826</v>
      </c>
      <c r="L14" s="2819"/>
    </row>
    <row r="15" spans="1:12" s="2811" customFormat="1" ht="22.5" customHeight="1">
      <c r="A15" s="2816" t="s">
        <v>3839</v>
      </c>
      <c r="B15" s="2817" t="s">
        <v>3901</v>
      </c>
      <c r="C15" s="2814">
        <v>12.14</v>
      </c>
      <c r="D15" s="2814">
        <v>113</v>
      </c>
      <c r="E15" s="2814">
        <v>209</v>
      </c>
      <c r="F15" s="2814">
        <v>209.2</v>
      </c>
      <c r="G15" s="2818">
        <v>1063</v>
      </c>
      <c r="H15" s="2818">
        <v>1253</v>
      </c>
      <c r="I15" s="2818">
        <v>2381</v>
      </c>
      <c r="J15" s="2818">
        <v>535</v>
      </c>
      <c r="K15" s="2818">
        <v>229</v>
      </c>
      <c r="L15" s="2819"/>
    </row>
    <row r="16" spans="1:12" s="2821" customFormat="1" ht="24" customHeight="1">
      <c r="A16" s="2816" t="s">
        <v>3841</v>
      </c>
      <c r="B16" s="2817" t="s">
        <v>3842</v>
      </c>
      <c r="C16" s="2818">
        <v>90.756</v>
      </c>
      <c r="D16" s="2818">
        <v>245.41200000000001</v>
      </c>
      <c r="E16" s="2818">
        <v>213</v>
      </c>
      <c r="F16" s="2818">
        <v>329.8</v>
      </c>
      <c r="G16" s="2818">
        <v>124</v>
      </c>
      <c r="H16" s="2818">
        <v>164</v>
      </c>
      <c r="I16" s="2818">
        <v>253.6</v>
      </c>
      <c r="J16" s="2818">
        <v>862</v>
      </c>
      <c r="K16" s="2818">
        <v>112</v>
      </c>
      <c r="L16" s="2819"/>
    </row>
    <row r="17" spans="1:14" s="2821" customFormat="1" ht="24" customHeight="1">
      <c r="A17" s="2816" t="s">
        <v>3844</v>
      </c>
      <c r="B17" s="2817" t="s">
        <v>3845</v>
      </c>
      <c r="C17" s="2818" t="s">
        <v>3826</v>
      </c>
      <c r="D17" s="2818" t="s">
        <v>3826</v>
      </c>
      <c r="E17" s="2818" t="s">
        <v>3826</v>
      </c>
      <c r="F17" s="2818" t="s">
        <v>3826</v>
      </c>
      <c r="G17" s="2818">
        <v>71.3</v>
      </c>
      <c r="H17" s="2814">
        <v>34</v>
      </c>
      <c r="I17" s="2814">
        <v>28</v>
      </c>
      <c r="J17" s="2814">
        <v>23</v>
      </c>
      <c r="K17" s="2814">
        <v>2</v>
      </c>
      <c r="L17" s="2819"/>
    </row>
    <row r="18" spans="1:14" s="2821" customFormat="1" ht="24" customHeight="1">
      <c r="A18" s="2816" t="s">
        <v>3846</v>
      </c>
      <c r="B18" s="2817" t="s">
        <v>3847</v>
      </c>
      <c r="C18" s="2818" t="s">
        <v>3826</v>
      </c>
      <c r="D18" s="2818" t="s">
        <v>3826</v>
      </c>
      <c r="E18" s="2818" t="s">
        <v>3826</v>
      </c>
      <c r="F18" s="2818" t="s">
        <v>3826</v>
      </c>
      <c r="G18" s="2818" t="s">
        <v>3826</v>
      </c>
      <c r="H18" s="2818">
        <v>8</v>
      </c>
      <c r="I18" s="2818">
        <v>11</v>
      </c>
      <c r="J18" s="2818">
        <f>43+1.5</f>
        <v>44.5</v>
      </c>
      <c r="K18" s="2820" t="s">
        <v>3826</v>
      </c>
      <c r="L18" s="2819"/>
    </row>
    <row r="19" spans="1:14" s="2821" customFormat="1" ht="24" customHeight="1">
      <c r="A19" s="2816" t="s">
        <v>3848</v>
      </c>
      <c r="B19" s="2817" t="s">
        <v>366</v>
      </c>
      <c r="C19" s="2818" t="s">
        <v>3826</v>
      </c>
      <c r="D19" s="2818" t="s">
        <v>3826</v>
      </c>
      <c r="E19" s="2818">
        <v>18.298999999999999</v>
      </c>
      <c r="F19" s="2818" t="s">
        <v>3826</v>
      </c>
      <c r="G19" s="2818" t="s">
        <v>3826</v>
      </c>
      <c r="H19" s="2818">
        <v>575</v>
      </c>
      <c r="I19" s="2818" t="s">
        <v>3826</v>
      </c>
      <c r="J19" s="2818" t="s">
        <v>3826</v>
      </c>
      <c r="K19" s="2820" t="s">
        <v>3826</v>
      </c>
      <c r="L19" s="2819"/>
    </row>
    <row r="20" spans="1:14" s="2821" customFormat="1" ht="24" customHeight="1">
      <c r="A20" s="2816" t="s">
        <v>3849</v>
      </c>
      <c r="B20" s="2817" t="s">
        <v>3850</v>
      </c>
      <c r="C20" s="2818" t="s">
        <v>3826</v>
      </c>
      <c r="D20" s="2818" t="s">
        <v>3826</v>
      </c>
      <c r="E20" s="2818" t="s">
        <v>3826</v>
      </c>
      <c r="F20" s="2818" t="s">
        <v>3826</v>
      </c>
      <c r="G20" s="2818">
        <v>1374.999</v>
      </c>
      <c r="H20" s="2818">
        <v>72</v>
      </c>
      <c r="I20" s="2818">
        <v>274</v>
      </c>
      <c r="J20" s="2818" t="s">
        <v>3826</v>
      </c>
      <c r="K20" s="2820" t="s">
        <v>3826</v>
      </c>
      <c r="L20" s="2819"/>
    </row>
    <row r="21" spans="1:14" s="2821" customFormat="1" ht="24" customHeight="1">
      <c r="A21" s="2816" t="s">
        <v>3851</v>
      </c>
      <c r="B21" s="2817" t="s">
        <v>3852</v>
      </c>
      <c r="C21" s="2818" t="s">
        <v>3826</v>
      </c>
      <c r="D21" s="2818" t="s">
        <v>3826</v>
      </c>
      <c r="E21" s="2818" t="s">
        <v>3826</v>
      </c>
      <c r="F21" s="2818" t="s">
        <v>3826</v>
      </c>
      <c r="G21" s="2818" t="s">
        <v>3826</v>
      </c>
      <c r="H21" s="2818" t="s">
        <v>3826</v>
      </c>
      <c r="I21" s="2818">
        <v>42</v>
      </c>
      <c r="J21" s="2818">
        <f>7+4.6</f>
        <v>11.6</v>
      </c>
      <c r="K21" s="2820" t="s">
        <v>3826</v>
      </c>
      <c r="L21" s="2819"/>
    </row>
    <row r="22" spans="1:14" s="2821" customFormat="1" ht="24" customHeight="1">
      <c r="A22" s="2816" t="s">
        <v>3902</v>
      </c>
      <c r="B22" s="2817" t="s">
        <v>3903</v>
      </c>
      <c r="C22" s="2818" t="s">
        <v>3826</v>
      </c>
      <c r="D22" s="2818" t="s">
        <v>3826</v>
      </c>
      <c r="E22" s="2818" t="s">
        <v>3826</v>
      </c>
      <c r="F22" s="2818" t="s">
        <v>3826</v>
      </c>
      <c r="G22" s="2818" t="s">
        <v>3826</v>
      </c>
      <c r="H22" s="2818">
        <v>3</v>
      </c>
      <c r="I22" s="2818" t="s">
        <v>3826</v>
      </c>
      <c r="J22" s="2818">
        <v>18</v>
      </c>
      <c r="K22" s="2818">
        <v>2</v>
      </c>
      <c r="L22" s="2819"/>
    </row>
    <row r="23" spans="1:14" s="2821" customFormat="1" ht="16.5" hidden="1" customHeight="1">
      <c r="A23" s="2816"/>
      <c r="B23" s="2817"/>
      <c r="C23" s="2818"/>
      <c r="D23" s="2818"/>
      <c r="E23" s="2818"/>
      <c r="F23" s="2818"/>
      <c r="G23" s="2818"/>
      <c r="H23" s="2818"/>
      <c r="I23" s="2818"/>
      <c r="J23" s="2818"/>
      <c r="K23" s="2818"/>
    </row>
    <row r="24" spans="1:14" s="2823" customFormat="1" ht="18" customHeight="1">
      <c r="A24" s="3485" t="s">
        <v>3808</v>
      </c>
      <c r="B24" s="3486"/>
      <c r="C24" s="2822">
        <f>SUM(C6:C22)+1</f>
        <v>1134.2790000000002</v>
      </c>
      <c r="D24" s="2822">
        <f>SUM(D6:D22)-1</f>
        <v>1826.38</v>
      </c>
      <c r="E24" s="2822">
        <f>SUM(E6:E22)-2</f>
        <v>1611.7670000000001</v>
      </c>
      <c r="F24" s="2822">
        <f>SUM(F6:F22)</f>
        <v>1412.2049999999999</v>
      </c>
      <c r="G24" s="2822">
        <f>SUM(G6:G22)</f>
        <v>4009.2489999999998</v>
      </c>
      <c r="H24" s="2822">
        <f>SUM(H6:H22)</f>
        <v>6101</v>
      </c>
      <c r="I24" s="2822">
        <f>SUM(I6:I22)+2-1</f>
        <v>5548.6</v>
      </c>
      <c r="J24" s="2822">
        <f>SUM(J6:J22)</f>
        <v>4135.08</v>
      </c>
      <c r="K24" s="2822">
        <f>SUM(K6:K22)</f>
        <v>668.2</v>
      </c>
    </row>
    <row r="25" spans="1:14" ht="24.75" customHeight="1">
      <c r="A25" s="3476" t="s">
        <v>3904</v>
      </c>
      <c r="B25" s="3476"/>
      <c r="C25" s="3476"/>
      <c r="D25" s="3476"/>
      <c r="E25" s="3476"/>
      <c r="F25" s="3476"/>
      <c r="G25" s="3476"/>
      <c r="H25" s="3476"/>
      <c r="I25" s="3476"/>
      <c r="J25" s="3476"/>
      <c r="K25" s="3476"/>
    </row>
    <row r="26" spans="1:14" s="2806" customFormat="1" ht="16.5" customHeight="1">
      <c r="A26" s="2824"/>
      <c r="B26" s="2824"/>
      <c r="C26" s="2824"/>
      <c r="D26" s="2824"/>
      <c r="E26" s="2824"/>
      <c r="F26" s="2824"/>
      <c r="G26" s="2824"/>
      <c r="H26" s="2824"/>
      <c r="I26" s="2824"/>
      <c r="J26" s="2824"/>
      <c r="K26" s="2824"/>
    </row>
    <row r="27" spans="1:14" s="2806" customFormat="1" ht="23.25" customHeight="1">
      <c r="A27" s="2804" t="s">
        <v>3905</v>
      </c>
      <c r="B27" s="2825"/>
      <c r="E27" s="2826"/>
      <c r="F27" s="2826"/>
      <c r="M27" s="2827"/>
    </row>
    <row r="28" spans="1:14" s="2806" customFormat="1" ht="23.25" customHeight="1">
      <c r="A28" s="2804" t="s">
        <v>3856</v>
      </c>
      <c r="B28" s="2825"/>
      <c r="E28" s="2826"/>
      <c r="F28" s="2826"/>
      <c r="M28" s="2827"/>
    </row>
    <row r="29" spans="1:14" s="2806" customFormat="1" ht="14.25" customHeight="1">
      <c r="A29" s="2804" t="s">
        <v>3812</v>
      </c>
      <c r="B29" s="2825"/>
      <c r="C29" s="2828"/>
      <c r="D29" s="2828"/>
      <c r="E29" s="2828"/>
      <c r="F29" s="2828"/>
      <c r="G29" s="2828"/>
      <c r="H29" s="2828"/>
      <c r="I29" s="2828"/>
      <c r="J29" s="2828"/>
      <c r="K29" s="2828"/>
      <c r="L29" s="2827"/>
    </row>
    <row r="30" spans="1:14" s="2829" customFormat="1" ht="12" customHeight="1">
      <c r="A30" s="2808"/>
      <c r="B30" s="2808"/>
      <c r="C30" s="2808"/>
      <c r="D30" s="2809"/>
      <c r="E30" s="2809"/>
      <c r="F30" s="2808"/>
      <c r="I30" s="2830"/>
      <c r="J30" s="2830"/>
      <c r="K30" s="2830" t="s">
        <v>74</v>
      </c>
    </row>
    <row r="31" spans="1:14" s="2834" customFormat="1" ht="16.5" customHeight="1">
      <c r="A31" s="3477" t="s">
        <v>3906</v>
      </c>
      <c r="B31" s="3478"/>
      <c r="C31" s="2831" t="s">
        <v>3815</v>
      </c>
      <c r="D31" s="2832" t="s">
        <v>3816</v>
      </c>
      <c r="E31" s="2833" t="s">
        <v>3817</v>
      </c>
      <c r="F31" s="2833" t="s">
        <v>3818</v>
      </c>
      <c r="G31" s="2833" t="s">
        <v>3859</v>
      </c>
      <c r="H31" s="2833" t="s">
        <v>3907</v>
      </c>
      <c r="I31" s="2833" t="s">
        <v>3821</v>
      </c>
      <c r="J31" s="2833" t="s">
        <v>3822</v>
      </c>
      <c r="K31" s="2833" t="s">
        <v>3823</v>
      </c>
    </row>
    <row r="32" spans="1:14" s="2823" customFormat="1" ht="16.5" customHeight="1">
      <c r="A32" s="3479" t="s">
        <v>3861</v>
      </c>
      <c r="B32" s="3480"/>
      <c r="C32" s="2835">
        <f>C33+C41+C63</f>
        <v>1133.704</v>
      </c>
      <c r="D32" s="2835">
        <f>D33+D41+D63</f>
        <v>1825.7029999999997</v>
      </c>
      <c r="E32" s="2835">
        <f>E33+E41+E63</f>
        <v>1612.22</v>
      </c>
      <c r="F32" s="2835">
        <f>F33+F41+F63+1</f>
        <v>1412.15</v>
      </c>
      <c r="G32" s="2835">
        <f>G33+G41+G63</f>
        <v>4009.1</v>
      </c>
      <c r="H32" s="2835">
        <f>H33+H41+H63</f>
        <v>6100.9639999999999</v>
      </c>
      <c r="I32" s="2835">
        <f>I33+I41+I63</f>
        <v>5548.9219999999996</v>
      </c>
      <c r="J32" s="2835">
        <f>J33+J41+J63</f>
        <v>4135.16</v>
      </c>
      <c r="K32" s="2835">
        <f>K33+K41</f>
        <v>668</v>
      </c>
      <c r="M32" s="2836"/>
      <c r="N32" s="2836"/>
    </row>
    <row r="33" spans="1:15" s="2823" customFormat="1" ht="16.5" customHeight="1">
      <c r="A33" s="3481" t="s">
        <v>3908</v>
      </c>
      <c r="B33" s="3482"/>
      <c r="C33" s="2837">
        <v>13.042000000000002</v>
      </c>
      <c r="D33" s="2838">
        <f t="shared" ref="D33:G33" si="0">D34+D39</f>
        <v>243.16899999999998</v>
      </c>
      <c r="E33" s="2838">
        <f t="shared" si="0"/>
        <v>296.18</v>
      </c>
      <c r="F33" s="2838">
        <f t="shared" si="0"/>
        <v>381.5</v>
      </c>
      <c r="G33" s="2838">
        <f t="shared" si="0"/>
        <v>947.1</v>
      </c>
      <c r="H33" s="2838">
        <v>318.47099999999995</v>
      </c>
      <c r="I33" s="2837">
        <v>878.52699999999993</v>
      </c>
      <c r="J33" s="2837">
        <f>J34+J39</f>
        <v>896</v>
      </c>
      <c r="K33" s="2837">
        <f>K34+K39</f>
        <v>27</v>
      </c>
      <c r="M33" s="2836"/>
      <c r="N33" s="2836"/>
      <c r="O33" s="2836"/>
    </row>
    <row r="34" spans="1:15" s="2823" customFormat="1" ht="16.5" customHeight="1">
      <c r="A34" s="2839" t="s">
        <v>3909</v>
      </c>
      <c r="B34" s="2840"/>
      <c r="C34" s="2841">
        <v>13.042000000000002</v>
      </c>
      <c r="D34" s="2842">
        <v>148.74799999999999</v>
      </c>
      <c r="E34" s="2841">
        <f>E35+E37</f>
        <v>283.47000000000003</v>
      </c>
      <c r="F34" s="2841">
        <f>F35</f>
        <v>356.8</v>
      </c>
      <c r="G34" s="2841">
        <v>881.1</v>
      </c>
      <c r="H34" s="2841">
        <v>290.45799999999997</v>
      </c>
      <c r="I34" s="2841">
        <v>848.26099999999997</v>
      </c>
      <c r="J34" s="2841">
        <f>25+J35+103</f>
        <v>730</v>
      </c>
      <c r="K34" s="2841">
        <f>K35</f>
        <v>11</v>
      </c>
      <c r="M34" s="2836"/>
      <c r="N34" s="2836"/>
    </row>
    <row r="35" spans="1:15" s="2823" customFormat="1" ht="16.5" customHeight="1">
      <c r="A35" s="2839" t="s">
        <v>3910</v>
      </c>
      <c r="B35" s="2840"/>
      <c r="C35" s="2841">
        <v>13.042000000000002</v>
      </c>
      <c r="D35" s="2842">
        <v>148.74799999999999</v>
      </c>
      <c r="E35" s="2841">
        <v>282.3</v>
      </c>
      <c r="F35" s="2841">
        <v>356.8</v>
      </c>
      <c r="G35" s="2841">
        <v>94</v>
      </c>
      <c r="H35" s="2841">
        <v>183.214</v>
      </c>
      <c r="I35" s="2841">
        <v>728.26099999999997</v>
      </c>
      <c r="J35" s="2841">
        <f>286+138+4+64+85+25</f>
        <v>602</v>
      </c>
      <c r="K35" s="2841">
        <f>4+K36</f>
        <v>11</v>
      </c>
      <c r="M35" s="2836"/>
      <c r="N35" s="2836"/>
    </row>
    <row r="36" spans="1:15" s="2823" customFormat="1" ht="16.5" customHeight="1">
      <c r="A36" s="2839" t="s">
        <v>3911</v>
      </c>
      <c r="B36" s="2840"/>
      <c r="C36" s="2841">
        <v>1.9730000000000001</v>
      </c>
      <c r="D36" s="2842">
        <v>65.108999999999995</v>
      </c>
      <c r="E36" s="2841">
        <v>150.26</v>
      </c>
      <c r="F36" s="2841">
        <v>288.3</v>
      </c>
      <c r="G36" s="2841">
        <v>10.1</v>
      </c>
      <c r="H36" s="2841">
        <v>43.88</v>
      </c>
      <c r="I36" s="2841">
        <v>184</v>
      </c>
      <c r="J36" s="2841">
        <f>80.5+46+85</f>
        <v>211.5</v>
      </c>
      <c r="K36" s="2841">
        <v>7</v>
      </c>
      <c r="M36" s="2836"/>
      <c r="N36" s="2836"/>
    </row>
    <row r="37" spans="1:15" s="2823" customFormat="1" ht="16.5" customHeight="1">
      <c r="A37" s="2839" t="s">
        <v>3912</v>
      </c>
      <c r="B37" s="2840"/>
      <c r="C37" s="2843">
        <v>0</v>
      </c>
      <c r="D37" s="2843">
        <v>0</v>
      </c>
      <c r="E37" s="2844">
        <v>1.17</v>
      </c>
      <c r="F37" s="2843">
        <v>0</v>
      </c>
      <c r="G37" s="2841">
        <v>787</v>
      </c>
      <c r="H37" s="2841">
        <v>61.248999999999995</v>
      </c>
      <c r="I37" s="2843">
        <v>0</v>
      </c>
      <c r="J37" s="2841">
        <f>4+103</f>
        <v>107</v>
      </c>
      <c r="K37" s="2845" t="s">
        <v>661</v>
      </c>
      <c r="M37" s="2836"/>
      <c r="N37" s="2836"/>
    </row>
    <row r="38" spans="1:15" s="2823" customFormat="1" ht="16.5" customHeight="1">
      <c r="A38" s="2839" t="s">
        <v>284</v>
      </c>
      <c r="B38" s="2840"/>
      <c r="C38" s="2846" t="s">
        <v>3826</v>
      </c>
      <c r="D38" s="2843" t="s">
        <v>3826</v>
      </c>
      <c r="E38" s="2843" t="s">
        <v>3826</v>
      </c>
      <c r="F38" s="2843" t="s">
        <v>3826</v>
      </c>
      <c r="G38" s="2843" t="s">
        <v>3826</v>
      </c>
      <c r="H38" s="2847">
        <v>46</v>
      </c>
      <c r="I38" s="2847">
        <v>120</v>
      </c>
      <c r="J38" s="2814">
        <f>5+16</f>
        <v>21</v>
      </c>
      <c r="K38" s="2815" t="s">
        <v>661</v>
      </c>
      <c r="M38" s="2836"/>
      <c r="N38" s="2836"/>
    </row>
    <row r="39" spans="1:15" s="2823" customFormat="1" ht="16.5" customHeight="1">
      <c r="A39" s="2839" t="s">
        <v>3913</v>
      </c>
      <c r="B39" s="2840"/>
      <c r="C39" s="2843" t="s">
        <v>3826</v>
      </c>
      <c r="D39" s="2842">
        <v>94.421000000000006</v>
      </c>
      <c r="E39" s="2841">
        <f>E40</f>
        <v>12.71</v>
      </c>
      <c r="F39" s="2841">
        <f>F40</f>
        <v>24.7</v>
      </c>
      <c r="G39" s="2841">
        <v>66</v>
      </c>
      <c r="H39" s="2841">
        <v>28.012999999999998</v>
      </c>
      <c r="I39" s="2841">
        <v>30.265999999999998</v>
      </c>
      <c r="J39" s="2841">
        <f>79+81+6</f>
        <v>166</v>
      </c>
      <c r="K39" s="2841">
        <f>12+K40</f>
        <v>16</v>
      </c>
      <c r="M39" s="2836"/>
      <c r="N39" s="2836"/>
    </row>
    <row r="40" spans="1:15" s="2823" customFormat="1" ht="16.5" customHeight="1">
      <c r="A40" s="2839" t="s">
        <v>3914</v>
      </c>
      <c r="B40" s="2840"/>
      <c r="C40" s="2843" t="s">
        <v>3826</v>
      </c>
      <c r="D40" s="2842">
        <v>94.421000000000006</v>
      </c>
      <c r="E40" s="2841">
        <v>12.71</v>
      </c>
      <c r="F40" s="2841">
        <v>24.7</v>
      </c>
      <c r="G40" s="2841">
        <v>56</v>
      </c>
      <c r="H40" s="2841">
        <v>25.18</v>
      </c>
      <c r="I40" s="2841">
        <v>6.266</v>
      </c>
      <c r="J40" s="2841">
        <f>10+69+6</f>
        <v>85</v>
      </c>
      <c r="K40" s="2841">
        <v>4</v>
      </c>
      <c r="M40" s="2836"/>
      <c r="N40" s="2836"/>
    </row>
    <row r="41" spans="1:15" s="2823" customFormat="1" ht="16.5" customHeight="1">
      <c r="A41" s="2848" t="s">
        <v>3915</v>
      </c>
      <c r="B41" s="2840"/>
      <c r="C41" s="2837">
        <f t="shared" ref="C41:G41" si="1">C42+C51</f>
        <v>1005.755</v>
      </c>
      <c r="D41" s="2837">
        <f t="shared" si="1"/>
        <v>1551.723</v>
      </c>
      <c r="E41" s="2837">
        <f t="shared" si="1"/>
        <v>1316.04</v>
      </c>
      <c r="F41" s="2837">
        <f t="shared" si="1"/>
        <v>1029.6500000000001</v>
      </c>
      <c r="G41" s="2837">
        <f t="shared" si="1"/>
        <v>3062</v>
      </c>
      <c r="H41" s="2837">
        <v>5694.4930000000004</v>
      </c>
      <c r="I41" s="2837">
        <v>4670.3949999999995</v>
      </c>
      <c r="J41" s="2837">
        <f>J42+J51+J63</f>
        <v>3239.16</v>
      </c>
      <c r="K41" s="2837">
        <f>K42+K51</f>
        <v>641</v>
      </c>
      <c r="M41" s="2836"/>
      <c r="N41" s="2836"/>
    </row>
    <row r="42" spans="1:15" s="2823" customFormat="1" ht="16.5" customHeight="1">
      <c r="A42" s="2839" t="s">
        <v>3916</v>
      </c>
      <c r="B42" s="2840"/>
      <c r="C42" s="2841">
        <f t="shared" ref="C42:G42" si="2">C43+C44+C45+C46+C47+C48+C49+C50</f>
        <v>862.04899999999998</v>
      </c>
      <c r="D42" s="2841">
        <f t="shared" si="2"/>
        <v>1186.0229999999999</v>
      </c>
      <c r="E42" s="2841">
        <f t="shared" si="2"/>
        <v>589.54000000000008</v>
      </c>
      <c r="F42" s="2841">
        <f t="shared" si="2"/>
        <v>669.3</v>
      </c>
      <c r="G42" s="2841">
        <f t="shared" si="2"/>
        <v>1288.0000000000002</v>
      </c>
      <c r="H42" s="2841">
        <v>4502.7430000000004</v>
      </c>
      <c r="I42" s="2841">
        <v>3255.1949999999997</v>
      </c>
      <c r="J42" s="2841">
        <f>SUM(J43:J50)</f>
        <v>2993</v>
      </c>
      <c r="K42" s="2841">
        <f>SUM(K43:K50)</f>
        <v>416</v>
      </c>
      <c r="M42" s="2836"/>
      <c r="N42" s="2836"/>
    </row>
    <row r="43" spans="1:15" s="2823" customFormat="1" ht="16.5" customHeight="1">
      <c r="A43" s="2839" t="s">
        <v>3917</v>
      </c>
      <c r="B43" s="2840"/>
      <c r="C43" s="2849">
        <v>0</v>
      </c>
      <c r="D43" s="2849">
        <v>0</v>
      </c>
      <c r="E43" s="2841">
        <v>4.47</v>
      </c>
      <c r="F43" s="2849">
        <v>0</v>
      </c>
      <c r="G43" s="2849">
        <v>0</v>
      </c>
      <c r="H43" s="2849">
        <v>0</v>
      </c>
      <c r="I43" s="2849">
        <v>0</v>
      </c>
      <c r="J43" s="2849">
        <v>0</v>
      </c>
      <c r="K43" s="2850" t="s">
        <v>661</v>
      </c>
      <c r="M43" s="2836"/>
      <c r="N43" s="2836"/>
    </row>
    <row r="44" spans="1:15" s="2823" customFormat="1" ht="16.5" customHeight="1">
      <c r="A44" s="2839" t="s">
        <v>3918</v>
      </c>
      <c r="B44" s="2840"/>
      <c r="C44" s="2849">
        <v>0</v>
      </c>
      <c r="D44" s="2849">
        <v>0</v>
      </c>
      <c r="E44" s="2849">
        <v>0</v>
      </c>
      <c r="F44" s="2849">
        <v>0</v>
      </c>
      <c r="G44" s="2849">
        <v>0</v>
      </c>
      <c r="H44" s="2841">
        <v>39</v>
      </c>
      <c r="I44" s="2841">
        <v>6.0620000000000003</v>
      </c>
      <c r="J44" s="2841">
        <v>3</v>
      </c>
      <c r="K44" s="2841">
        <v>22</v>
      </c>
      <c r="M44" s="2836"/>
      <c r="N44" s="2836"/>
    </row>
    <row r="45" spans="1:15" s="2823" customFormat="1" ht="16.5" customHeight="1">
      <c r="A45" s="2839" t="s">
        <v>3919</v>
      </c>
      <c r="B45" s="2840"/>
      <c r="C45" s="2841">
        <v>291.45299999999997</v>
      </c>
      <c r="D45" s="2842">
        <v>267.36399999999998</v>
      </c>
      <c r="E45" s="2841">
        <v>234.77</v>
      </c>
      <c r="F45" s="2841">
        <v>95</v>
      </c>
      <c r="G45" s="2841">
        <v>71.3</v>
      </c>
      <c r="H45" s="2841">
        <v>1182.8969999999999</v>
      </c>
      <c r="I45" s="2841">
        <v>151</v>
      </c>
      <c r="J45" s="2841">
        <f>54+67+332</f>
        <v>453</v>
      </c>
      <c r="K45" s="2841">
        <v>22</v>
      </c>
      <c r="M45" s="2836"/>
      <c r="N45" s="2836"/>
    </row>
    <row r="46" spans="1:15" s="2823" customFormat="1" ht="16.5" customHeight="1">
      <c r="A46" s="2839" t="s">
        <v>3920</v>
      </c>
      <c r="B46" s="2840"/>
      <c r="C46" s="2841">
        <v>269.738</v>
      </c>
      <c r="D46" s="2842">
        <v>146.17500000000001</v>
      </c>
      <c r="E46" s="2841">
        <v>9.6</v>
      </c>
      <c r="F46" s="2841">
        <v>9</v>
      </c>
      <c r="G46" s="2841">
        <v>9</v>
      </c>
      <c r="H46" s="2841">
        <v>671</v>
      </c>
      <c r="I46" s="2841">
        <v>78</v>
      </c>
      <c r="J46" s="2841">
        <v>4</v>
      </c>
      <c r="K46" s="2845" t="s">
        <v>661</v>
      </c>
      <c r="M46" s="2836"/>
      <c r="N46" s="2836"/>
    </row>
    <row r="47" spans="1:15" s="2823" customFormat="1" ht="16.5" customHeight="1">
      <c r="A47" s="2839" t="s">
        <v>3921</v>
      </c>
      <c r="B47" s="2840"/>
      <c r="C47" s="2841">
        <v>5.508</v>
      </c>
      <c r="D47" s="2842">
        <v>127.434</v>
      </c>
      <c r="E47" s="2841">
        <v>139.93</v>
      </c>
      <c r="F47" s="2841">
        <v>86</v>
      </c>
      <c r="G47" s="2841">
        <v>98.1</v>
      </c>
      <c r="H47" s="2841">
        <v>352.358</v>
      </c>
      <c r="I47" s="2841">
        <v>55</v>
      </c>
      <c r="J47" s="2841">
        <f>17+22+25</f>
        <v>64</v>
      </c>
      <c r="K47" s="2845" t="s">
        <v>661</v>
      </c>
      <c r="M47" s="2836"/>
      <c r="N47" s="2836"/>
    </row>
    <row r="48" spans="1:15" s="2823" customFormat="1" ht="16.5" customHeight="1">
      <c r="A48" s="2839" t="s">
        <v>3922</v>
      </c>
      <c r="B48" s="2840"/>
      <c r="C48" s="2841">
        <v>187.185</v>
      </c>
      <c r="D48" s="2842">
        <v>175.42099999999999</v>
      </c>
      <c r="E48" s="2841">
        <v>166.91</v>
      </c>
      <c r="F48" s="2841">
        <v>209.9</v>
      </c>
      <c r="G48" s="2841">
        <v>109</v>
      </c>
      <c r="H48" s="2814">
        <v>77</v>
      </c>
      <c r="I48" s="2841">
        <v>5</v>
      </c>
      <c r="J48" s="2841">
        <f>6+19</f>
        <v>25</v>
      </c>
      <c r="K48" s="2841">
        <v>7</v>
      </c>
      <c r="M48" s="2836"/>
      <c r="N48" s="2836"/>
    </row>
    <row r="49" spans="1:14" s="2823" customFormat="1" ht="16.5" customHeight="1">
      <c r="A49" s="2839" t="s">
        <v>3923</v>
      </c>
      <c r="B49" s="2840"/>
      <c r="C49" s="2841">
        <v>13.68</v>
      </c>
      <c r="D49" s="2842">
        <v>35.116</v>
      </c>
      <c r="E49" s="2841">
        <v>20.440000000000001</v>
      </c>
      <c r="F49" s="2841">
        <v>70.400000000000006</v>
      </c>
      <c r="G49" s="2841">
        <v>325.3</v>
      </c>
      <c r="H49" s="2841">
        <v>77.007999999999996</v>
      </c>
      <c r="I49" s="2841">
        <v>77</v>
      </c>
      <c r="J49" s="2841">
        <f>14+10+13</f>
        <v>37</v>
      </c>
      <c r="K49" s="2841">
        <v>1</v>
      </c>
      <c r="M49" s="2836"/>
      <c r="N49" s="2836"/>
    </row>
    <row r="50" spans="1:14" s="2823" customFormat="1" ht="16.5" customHeight="1">
      <c r="A50" s="2839" t="s">
        <v>3924</v>
      </c>
      <c r="B50" s="2840"/>
      <c r="C50" s="2841">
        <v>94.485000000000014</v>
      </c>
      <c r="D50" s="2841">
        <v>434.51299999999998</v>
      </c>
      <c r="E50" s="2841">
        <v>13.420000000000041</v>
      </c>
      <c r="F50" s="2841">
        <v>198.99999999999997</v>
      </c>
      <c r="G50" s="2841">
        <v>675.30000000000018</v>
      </c>
      <c r="H50" s="2841">
        <v>2103.48</v>
      </c>
      <c r="I50" s="2841">
        <v>2883.1329999999998</v>
      </c>
      <c r="J50" s="2841">
        <f>952+6+804+557+82+6</f>
        <v>2407</v>
      </c>
      <c r="K50" s="2841">
        <v>364</v>
      </c>
      <c r="M50" s="2836"/>
      <c r="N50" s="2836"/>
    </row>
    <row r="51" spans="1:14" s="2823" customFormat="1" ht="16.5" customHeight="1">
      <c r="A51" s="2839" t="s">
        <v>3925</v>
      </c>
      <c r="B51" s="2840"/>
      <c r="C51" s="2841">
        <v>143.70599999999999</v>
      </c>
      <c r="D51" s="2842">
        <f t="shared" ref="D51:G51" si="3">D52+D62</f>
        <v>365.7</v>
      </c>
      <c r="E51" s="2842">
        <f t="shared" si="3"/>
        <v>726.5</v>
      </c>
      <c r="F51" s="2842">
        <f t="shared" si="3"/>
        <v>360.35</v>
      </c>
      <c r="G51" s="2842">
        <f t="shared" si="3"/>
        <v>1774</v>
      </c>
      <c r="H51" s="2842">
        <v>1191.75</v>
      </c>
      <c r="I51" s="2842">
        <v>1415.2</v>
      </c>
      <c r="J51" s="2841">
        <f>J52+J62</f>
        <v>246.16</v>
      </c>
      <c r="K51" s="2841">
        <f>K52+K62</f>
        <v>225</v>
      </c>
      <c r="M51" s="2836"/>
      <c r="N51" s="2836"/>
    </row>
    <row r="52" spans="1:14" s="2823" customFormat="1" ht="16.5" customHeight="1">
      <c r="A52" s="2839" t="s">
        <v>3926</v>
      </c>
      <c r="B52" s="2840"/>
      <c r="C52" s="2841">
        <f>134.39</f>
        <v>134.38999999999999</v>
      </c>
      <c r="D52" s="2842">
        <v>331</v>
      </c>
      <c r="E52" s="2842">
        <v>723</v>
      </c>
      <c r="F52" s="2842">
        <v>349</v>
      </c>
      <c r="G52" s="2842">
        <v>1774</v>
      </c>
      <c r="H52" s="2842">
        <v>973.75</v>
      </c>
      <c r="I52" s="2842">
        <v>1370.2</v>
      </c>
      <c r="J52" s="2841">
        <f>J53+J55</f>
        <v>198.16</v>
      </c>
      <c r="K52" s="2841">
        <f>K53+K55</f>
        <v>199</v>
      </c>
      <c r="M52" s="2836"/>
      <c r="N52" s="2836"/>
    </row>
    <row r="53" spans="1:14" s="2823" customFormat="1" ht="16.5" customHeight="1">
      <c r="A53" s="3472" t="s">
        <v>3927</v>
      </c>
      <c r="B53" s="3473"/>
      <c r="C53" s="2843">
        <v>0</v>
      </c>
      <c r="D53" s="2843">
        <v>0</v>
      </c>
      <c r="E53" s="2843">
        <v>0</v>
      </c>
      <c r="F53" s="2843">
        <v>0</v>
      </c>
      <c r="G53" s="2843">
        <v>0</v>
      </c>
      <c r="H53" s="2841">
        <v>45.35</v>
      </c>
      <c r="I53" s="2843">
        <v>0</v>
      </c>
      <c r="J53" s="2841">
        <f>6+158</f>
        <v>164</v>
      </c>
      <c r="K53" s="2841">
        <f>K54</f>
        <v>153</v>
      </c>
      <c r="M53" s="2836"/>
      <c r="N53" s="2836"/>
    </row>
    <row r="54" spans="1:14" s="2823" customFormat="1" ht="16.5" customHeight="1">
      <c r="A54" s="3472" t="s">
        <v>3928</v>
      </c>
      <c r="B54" s="3473"/>
      <c r="C54" s="2843">
        <v>0</v>
      </c>
      <c r="D54" s="2843">
        <v>0</v>
      </c>
      <c r="E54" s="2843">
        <v>0</v>
      </c>
      <c r="F54" s="2843">
        <v>0</v>
      </c>
      <c r="G54" s="2843">
        <v>0</v>
      </c>
      <c r="H54" s="2841">
        <v>45.35</v>
      </c>
      <c r="I54" s="2843">
        <v>0</v>
      </c>
      <c r="J54" s="2841">
        <f>6+157</f>
        <v>163</v>
      </c>
      <c r="K54" s="2841">
        <v>153</v>
      </c>
      <c r="M54" s="2836"/>
      <c r="N54" s="2836"/>
    </row>
    <row r="55" spans="1:14" s="2823" customFormat="1" ht="16.5" customHeight="1">
      <c r="A55" s="2839" t="s">
        <v>3929</v>
      </c>
      <c r="B55" s="2840"/>
      <c r="C55" s="2841">
        <f t="shared" ref="C55:J55" si="4">C56+C59</f>
        <v>2</v>
      </c>
      <c r="D55" s="2841">
        <f t="shared" si="4"/>
        <v>30.9</v>
      </c>
      <c r="E55" s="2841">
        <f t="shared" si="4"/>
        <v>45.099999999999994</v>
      </c>
      <c r="F55" s="2841">
        <f t="shared" si="4"/>
        <v>12</v>
      </c>
      <c r="G55" s="2841">
        <f t="shared" si="4"/>
        <v>1702.8</v>
      </c>
      <c r="H55" s="2841">
        <v>928.4</v>
      </c>
      <c r="I55" s="2841">
        <v>1370.2</v>
      </c>
      <c r="J55" s="2841">
        <f t="shared" si="4"/>
        <v>34.159999999999997</v>
      </c>
      <c r="K55" s="2841">
        <f>K56+K61</f>
        <v>46</v>
      </c>
      <c r="M55" s="2836"/>
      <c r="N55" s="2836"/>
    </row>
    <row r="56" spans="1:14" s="2823" customFormat="1" ht="16.5" customHeight="1">
      <c r="A56" s="3472" t="s">
        <v>3887</v>
      </c>
      <c r="B56" s="3473"/>
      <c r="C56" s="2841">
        <v>2</v>
      </c>
      <c r="D56" s="2842">
        <f>D57</f>
        <v>30.9</v>
      </c>
      <c r="E56" s="2842">
        <f>E57</f>
        <v>27.4</v>
      </c>
      <c r="F56" s="2842">
        <f>F57</f>
        <v>12</v>
      </c>
      <c r="G56" s="2842">
        <f>G57</f>
        <v>1027</v>
      </c>
      <c r="H56" s="2842">
        <v>677</v>
      </c>
      <c r="I56" s="2842">
        <v>556</v>
      </c>
      <c r="J56" s="2841">
        <f>1+2.16</f>
        <v>3.16</v>
      </c>
      <c r="K56" s="2843">
        <v>0</v>
      </c>
      <c r="M56" s="2836"/>
      <c r="N56" s="2836"/>
    </row>
    <row r="57" spans="1:14" s="2823" customFormat="1" ht="16.5" customHeight="1">
      <c r="A57" s="2851" t="s">
        <v>3888</v>
      </c>
      <c r="B57" s="2840"/>
      <c r="C57" s="2841"/>
      <c r="D57" s="2842">
        <v>30.9</v>
      </c>
      <c r="E57" s="2841">
        <v>27.4</v>
      </c>
      <c r="F57" s="2841">
        <v>12</v>
      </c>
      <c r="G57" s="2841">
        <v>1027</v>
      </c>
      <c r="H57" s="2841">
        <v>61</v>
      </c>
      <c r="I57" s="2841">
        <v>308.2</v>
      </c>
      <c r="J57" s="2841">
        <f>2.16+1</f>
        <v>3.16</v>
      </c>
      <c r="K57" s="2843">
        <v>0</v>
      </c>
      <c r="M57" s="2836"/>
      <c r="N57" s="2836"/>
    </row>
    <row r="58" spans="1:14" s="2823" customFormat="1" ht="16.5" customHeight="1">
      <c r="A58" s="2851" t="s">
        <v>246</v>
      </c>
      <c r="B58" s="2840"/>
      <c r="C58" s="2841"/>
      <c r="D58" s="2843">
        <v>0</v>
      </c>
      <c r="E58" s="2843">
        <v>0</v>
      </c>
      <c r="F58" s="2843">
        <v>0</v>
      </c>
      <c r="G58" s="2843">
        <v>0</v>
      </c>
      <c r="H58" s="2841">
        <v>616</v>
      </c>
      <c r="I58" s="2841">
        <v>247.8</v>
      </c>
      <c r="J58" s="2843">
        <v>0</v>
      </c>
      <c r="K58" s="2843">
        <v>0</v>
      </c>
      <c r="M58" s="2836"/>
      <c r="N58" s="2836"/>
    </row>
    <row r="59" spans="1:14" s="2823" customFormat="1" ht="16.5" customHeight="1">
      <c r="A59" s="3472" t="s">
        <v>3889</v>
      </c>
      <c r="B59" s="3473"/>
      <c r="C59" s="2843">
        <v>0</v>
      </c>
      <c r="D59" s="2843">
        <v>0</v>
      </c>
      <c r="E59" s="2841">
        <f>E60+E61</f>
        <v>17.7</v>
      </c>
      <c r="F59" s="2843">
        <v>0</v>
      </c>
      <c r="G59" s="2841">
        <f>G60+G61</f>
        <v>675.8</v>
      </c>
      <c r="H59" s="2841">
        <v>251</v>
      </c>
      <c r="I59" s="2841">
        <v>814.2</v>
      </c>
      <c r="J59" s="2841">
        <f>J60+J61</f>
        <v>31</v>
      </c>
      <c r="K59" s="2841">
        <v>46</v>
      </c>
      <c r="M59" s="2836"/>
      <c r="N59" s="2836"/>
    </row>
    <row r="60" spans="1:14" s="2823" customFormat="1" ht="16.5" customHeight="1">
      <c r="A60" s="2851" t="s">
        <v>3890</v>
      </c>
      <c r="B60" s="2852"/>
      <c r="C60" s="2853"/>
      <c r="D60" s="2843">
        <v>0</v>
      </c>
      <c r="E60" s="2843">
        <v>0</v>
      </c>
      <c r="F60" s="2843">
        <v>0</v>
      </c>
      <c r="G60" s="2843">
        <v>0</v>
      </c>
      <c r="H60" s="2843">
        <v>0</v>
      </c>
      <c r="I60" s="2842">
        <v>2.2000000000000002</v>
      </c>
      <c r="J60" s="2841">
        <v>6</v>
      </c>
      <c r="K60" s="2843">
        <v>0</v>
      </c>
      <c r="M60" s="2836"/>
      <c r="N60" s="2836"/>
    </row>
    <row r="61" spans="1:14" s="2823" customFormat="1" ht="16.5" customHeight="1">
      <c r="A61" s="2851" t="s">
        <v>246</v>
      </c>
      <c r="B61" s="2852"/>
      <c r="C61" s="2853"/>
      <c r="D61" s="2843">
        <v>0</v>
      </c>
      <c r="E61" s="2841">
        <f>1.7+16</f>
        <v>17.7</v>
      </c>
      <c r="F61" s="2843">
        <v>0</v>
      </c>
      <c r="G61" s="2841">
        <f>23+36+616.8</f>
        <v>675.8</v>
      </c>
      <c r="H61" s="2841">
        <v>251.4</v>
      </c>
      <c r="I61" s="2841">
        <v>812</v>
      </c>
      <c r="J61" s="2841">
        <f>12+13</f>
        <v>25</v>
      </c>
      <c r="K61" s="2841">
        <v>46</v>
      </c>
      <c r="M61" s="2836"/>
      <c r="N61" s="2836"/>
    </row>
    <row r="62" spans="1:14" s="2823" customFormat="1" ht="16.5" customHeight="1">
      <c r="A62" s="2854" t="s">
        <v>3930</v>
      </c>
      <c r="B62" s="2852"/>
      <c r="C62" s="2853"/>
      <c r="D62" s="2842">
        <v>34.700000000000003</v>
      </c>
      <c r="E62" s="2842">
        <v>3.5</v>
      </c>
      <c r="F62" s="2842">
        <v>11.35</v>
      </c>
      <c r="G62" s="2843">
        <v>0</v>
      </c>
      <c r="H62" s="2842">
        <v>218</v>
      </c>
      <c r="I62" s="2842">
        <v>45</v>
      </c>
      <c r="J62" s="2841">
        <f>35+6+6+1</f>
        <v>48</v>
      </c>
      <c r="K62" s="2841">
        <v>26</v>
      </c>
      <c r="M62" s="2836"/>
      <c r="N62" s="2836"/>
    </row>
    <row r="63" spans="1:14" s="2823" customFormat="1" ht="12.75" customHeight="1">
      <c r="A63" s="2855" t="s">
        <v>3931</v>
      </c>
      <c r="B63" s="2856"/>
      <c r="C63" s="2857">
        <v>114.907</v>
      </c>
      <c r="D63" s="2857">
        <v>30.811</v>
      </c>
      <c r="E63" s="2858">
        <v>0</v>
      </c>
      <c r="F63" s="2858">
        <v>0</v>
      </c>
      <c r="G63" s="2858">
        <v>0</v>
      </c>
      <c r="H63" s="2857">
        <v>88</v>
      </c>
      <c r="I63" s="2858">
        <v>0</v>
      </c>
      <c r="J63" s="2858">
        <v>0</v>
      </c>
      <c r="K63" s="2858">
        <v>0</v>
      </c>
      <c r="M63" s="2836"/>
      <c r="N63" s="2836"/>
    </row>
    <row r="64" spans="1:14" s="2823" customFormat="1" ht="99" customHeight="1">
      <c r="A64" s="3474" t="s">
        <v>3893</v>
      </c>
      <c r="B64" s="3475"/>
      <c r="C64" s="3475"/>
      <c r="D64" s="3475"/>
      <c r="E64" s="3475"/>
      <c r="F64" s="3475"/>
      <c r="G64" s="3475"/>
      <c r="H64" s="3475"/>
      <c r="I64" s="2859"/>
      <c r="J64" s="2860" t="s">
        <v>3894</v>
      </c>
      <c r="K64" s="2795"/>
      <c r="L64" s="2795"/>
    </row>
    <row r="65" spans="1:11" s="2823" customFormat="1" ht="13.5">
      <c r="A65" s="2861" t="s">
        <v>240</v>
      </c>
      <c r="B65" s="2862"/>
      <c r="C65" s="2863"/>
      <c r="D65" s="2863"/>
      <c r="E65" s="2863"/>
      <c r="F65" s="2863"/>
    </row>
    <row r="66" spans="1:11" ht="12">
      <c r="A66" s="2861" t="s">
        <v>180</v>
      </c>
      <c r="D66" s="2864"/>
      <c r="E66" s="2864"/>
      <c r="F66" s="2864"/>
      <c r="G66" s="2864"/>
      <c r="H66" s="2864"/>
      <c r="I66" s="2864"/>
      <c r="J66" s="2864"/>
      <c r="K66" s="2864"/>
    </row>
    <row r="67" spans="1:11" ht="12">
      <c r="E67" s="2865"/>
      <c r="F67" s="2861"/>
    </row>
    <row r="68" spans="1:11" ht="12">
      <c r="E68" s="2865"/>
      <c r="F68" s="2861"/>
    </row>
    <row r="69" spans="1:11" ht="12">
      <c r="E69" s="2865"/>
      <c r="F69" s="2865"/>
    </row>
    <row r="70" spans="1:11" ht="12">
      <c r="E70" s="2865"/>
      <c r="F70" s="2865"/>
    </row>
    <row r="71" spans="1:11" ht="12">
      <c r="E71" s="2865"/>
      <c r="F71" s="2865"/>
    </row>
    <row r="72" spans="1:11" ht="12">
      <c r="E72" s="2865"/>
      <c r="F72" s="2865"/>
    </row>
    <row r="73" spans="1:11" ht="12">
      <c r="E73" s="2865"/>
      <c r="F73" s="2865"/>
    </row>
    <row r="74" spans="1:11" ht="12">
      <c r="E74" s="2823"/>
      <c r="F74" s="2823"/>
    </row>
    <row r="75" spans="1:11" ht="12">
      <c r="E75" s="2823"/>
      <c r="F75" s="2823"/>
    </row>
    <row r="76" spans="1:11" ht="12">
      <c r="E76" s="2823"/>
      <c r="F76" s="2823"/>
    </row>
    <row r="77" spans="1:11" ht="12">
      <c r="E77" s="2823"/>
      <c r="F77" s="2823"/>
    </row>
    <row r="78" spans="1:11" ht="12">
      <c r="E78" s="2811"/>
      <c r="F78" s="2811"/>
    </row>
    <row r="79" spans="1:11" ht="12">
      <c r="E79" s="2811"/>
      <c r="F79" s="2811"/>
    </row>
    <row r="80" spans="1:11" ht="12">
      <c r="E80" s="2811"/>
      <c r="F80" s="2811"/>
    </row>
  </sheetData>
  <mergeCells count="21">
    <mergeCell ref="E4:E5"/>
    <mergeCell ref="F4:F5"/>
    <mergeCell ref="A24:B24"/>
    <mergeCell ref="A4:A5"/>
    <mergeCell ref="B4:B5"/>
    <mergeCell ref="C4:C5"/>
    <mergeCell ref="D4:D5"/>
    <mergeCell ref="G4:G5"/>
    <mergeCell ref="H4:H5"/>
    <mergeCell ref="I4:I5"/>
    <mergeCell ref="J4:J5"/>
    <mergeCell ref="K4:K5"/>
    <mergeCell ref="A56:B56"/>
    <mergeCell ref="A59:B59"/>
    <mergeCell ref="A64:H64"/>
    <mergeCell ref="A25:K25"/>
    <mergeCell ref="A31:B31"/>
    <mergeCell ref="A32:B32"/>
    <mergeCell ref="A33:B33"/>
    <mergeCell ref="A53:B53"/>
    <mergeCell ref="A54:B54"/>
  </mergeCells>
  <printOptions horizontalCentered="1" verticalCentered="1"/>
  <pageMargins left="0" right="0" top="0" bottom="0" header="0.31496062992125984" footer="0.11811023622047245"/>
  <pageSetup paperSize="9" scale="6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L18" sqref="L18"/>
    </sheetView>
  </sheetViews>
  <sheetFormatPr defaultRowHeight="15"/>
  <cols>
    <col min="1" max="1" width="30.5703125" style="457" customWidth="1"/>
    <col min="2" max="2" width="16.7109375" style="457" customWidth="1"/>
    <col min="3" max="3" width="30.5703125" style="457" customWidth="1"/>
    <col min="4" max="4" width="19.85546875" style="457" customWidth="1"/>
    <col min="5" max="5" width="18.7109375" style="457" customWidth="1"/>
    <col min="6" max="16384" width="9.140625" style="457"/>
  </cols>
  <sheetData>
    <row r="2" spans="1:4" ht="42" customHeight="1">
      <c r="A2" s="3491" t="s">
        <v>3932</v>
      </c>
      <c r="B2" s="3491"/>
      <c r="C2" s="3491"/>
      <c r="D2" s="3491"/>
    </row>
    <row r="3" spans="1:4" ht="30" customHeight="1" thickBot="1">
      <c r="A3" s="2866"/>
      <c r="B3" s="2866"/>
      <c r="C3" s="2866"/>
      <c r="D3" s="2867" t="s">
        <v>3208</v>
      </c>
    </row>
    <row r="4" spans="1:4" ht="39.75" customHeight="1" thickBot="1">
      <c r="A4" s="3492" t="s">
        <v>3933</v>
      </c>
      <c r="B4" s="3493"/>
      <c r="C4" s="3492" t="s">
        <v>3934</v>
      </c>
      <c r="D4" s="3492"/>
    </row>
    <row r="5" spans="1:4" ht="41.25" customHeight="1" thickBot="1">
      <c r="A5" s="2868" t="s">
        <v>3935</v>
      </c>
      <c r="B5" s="2869">
        <v>282103</v>
      </c>
      <c r="C5" s="2868" t="s">
        <v>3936</v>
      </c>
      <c r="D5" s="2870">
        <v>292125</v>
      </c>
    </row>
    <row r="6" spans="1:4" s="2874" customFormat="1" ht="30" customHeight="1">
      <c r="A6" s="2871" t="s">
        <v>3937</v>
      </c>
      <c r="B6" s="2872">
        <v>30228</v>
      </c>
      <c r="C6" s="2871" t="s">
        <v>3888</v>
      </c>
      <c r="D6" s="2873">
        <v>105604</v>
      </c>
    </row>
    <row r="7" spans="1:4" s="2874" customFormat="1" ht="30" customHeight="1">
      <c r="A7" s="2875" t="s">
        <v>3938</v>
      </c>
      <c r="B7" s="2876">
        <v>25828</v>
      </c>
      <c r="C7" s="2875" t="s">
        <v>3938</v>
      </c>
      <c r="D7" s="2877">
        <v>23792</v>
      </c>
    </row>
    <row r="8" spans="1:4" s="2874" customFormat="1" ht="30" customHeight="1">
      <c r="A8" s="2875" t="s">
        <v>3939</v>
      </c>
      <c r="B8" s="2876">
        <v>24329</v>
      </c>
      <c r="C8" s="2875" t="s">
        <v>3940</v>
      </c>
      <c r="D8" s="2877">
        <v>21789</v>
      </c>
    </row>
    <row r="9" spans="1:4" s="2874" customFormat="1" ht="30" customHeight="1">
      <c r="A9" s="2875" t="s">
        <v>3941</v>
      </c>
      <c r="B9" s="2876">
        <v>20607</v>
      </c>
      <c r="C9" s="2875" t="s">
        <v>3937</v>
      </c>
      <c r="D9" s="2877">
        <v>11912</v>
      </c>
    </row>
    <row r="10" spans="1:4" s="2874" customFormat="1" ht="30" customHeight="1">
      <c r="A10" s="2875" t="s">
        <v>3888</v>
      </c>
      <c r="B10" s="2876">
        <v>18636</v>
      </c>
      <c r="C10" s="2875" t="s">
        <v>3942</v>
      </c>
      <c r="D10" s="2877">
        <v>7235</v>
      </c>
    </row>
    <row r="11" spans="1:4" s="2874" customFormat="1" ht="30" customHeight="1">
      <c r="A11" s="2875" t="s">
        <v>3943</v>
      </c>
      <c r="B11" s="2876">
        <v>18071</v>
      </c>
      <c r="C11" s="2875" t="s">
        <v>3939</v>
      </c>
      <c r="D11" s="2877">
        <v>4521</v>
      </c>
    </row>
    <row r="12" spans="1:4" s="2874" customFormat="1" ht="30" customHeight="1">
      <c r="A12" s="2875" t="s">
        <v>3944</v>
      </c>
      <c r="B12" s="2876">
        <v>9193</v>
      </c>
      <c r="C12" s="2875" t="s">
        <v>3945</v>
      </c>
      <c r="D12" s="2877">
        <v>3967</v>
      </c>
    </row>
    <row r="13" spans="1:4" s="2874" customFormat="1" ht="30" customHeight="1">
      <c r="A13" s="2875" t="s">
        <v>3940</v>
      </c>
      <c r="B13" s="2876">
        <v>7913</v>
      </c>
      <c r="C13" s="2875" t="s">
        <v>3946</v>
      </c>
      <c r="D13" s="2877">
        <v>3215</v>
      </c>
    </row>
    <row r="14" spans="1:4" s="2874" customFormat="1" ht="30" customHeight="1">
      <c r="A14" s="2875" t="s">
        <v>3946</v>
      </c>
      <c r="B14" s="2876">
        <v>6717</v>
      </c>
      <c r="C14" s="2875" t="s">
        <v>3947</v>
      </c>
      <c r="D14" s="2877">
        <v>3107</v>
      </c>
    </row>
    <row r="15" spans="1:4" s="2874" customFormat="1" ht="30" customHeight="1" thickBot="1">
      <c r="A15" s="2878" t="s">
        <v>3948</v>
      </c>
      <c r="B15" s="2879">
        <v>6314</v>
      </c>
      <c r="C15" s="2878" t="s">
        <v>3949</v>
      </c>
      <c r="D15" s="2880">
        <v>2965</v>
      </c>
    </row>
    <row r="16" spans="1:4" s="2874" customFormat="1" ht="17.25" customHeight="1">
      <c r="A16" s="3494" t="s">
        <v>3950</v>
      </c>
      <c r="B16" s="3494"/>
      <c r="C16" s="3494"/>
      <c r="D16" s="3494"/>
    </row>
    <row r="17" spans="1:2">
      <c r="A17" s="2881" t="s">
        <v>3951</v>
      </c>
      <c r="B17" s="2882"/>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9"/>
  <sheetViews>
    <sheetView zoomScale="64" zoomScaleNormal="64" zoomScaleSheetLayoutView="100" workbookViewId="0">
      <selection activeCell="L12" sqref="L12"/>
    </sheetView>
  </sheetViews>
  <sheetFormatPr defaultRowHeight="19.5"/>
  <cols>
    <col min="1" max="1" width="4.85546875" style="2953" customWidth="1"/>
    <col min="2" max="2" width="56.5703125" style="2896" customWidth="1"/>
    <col min="3" max="3" width="17.5703125" style="2883" customWidth="1"/>
    <col min="4" max="4" width="17.5703125" style="2955" customWidth="1"/>
    <col min="5" max="7" width="17.5703125" style="2883" customWidth="1"/>
    <col min="8" max="8" width="16.28515625" style="2883" customWidth="1"/>
    <col min="9" max="9" width="12" style="2883" customWidth="1"/>
    <col min="10" max="21" width="16.28515625" style="2883" customWidth="1"/>
    <col min="22" max="16384" width="9.140625" style="2883"/>
  </cols>
  <sheetData>
    <row r="1" spans="1:9" ht="31.5" customHeight="1">
      <c r="A1" s="3502" t="s">
        <v>3952</v>
      </c>
      <c r="B1" s="3502"/>
      <c r="C1" s="3502"/>
      <c r="D1" s="3502"/>
      <c r="E1" s="3502"/>
      <c r="F1" s="3502"/>
      <c r="G1" s="3502"/>
      <c r="H1" s="3502"/>
    </row>
    <row r="2" spans="1:9" ht="30.75" customHeight="1">
      <c r="A2" s="3502"/>
      <c r="B2" s="3502"/>
      <c r="C2" s="3502"/>
      <c r="D2" s="3502"/>
      <c r="E2" s="3502"/>
      <c r="F2" s="3502"/>
      <c r="G2" s="3502"/>
      <c r="H2" s="3502"/>
    </row>
    <row r="3" spans="1:9" ht="51" customHeight="1" thickBot="1">
      <c r="A3" s="2884"/>
      <c r="B3" s="2885"/>
      <c r="C3" s="2886"/>
      <c r="D3" s="2886"/>
      <c r="E3" s="2886"/>
      <c r="F3" s="2886"/>
      <c r="G3" s="2886"/>
      <c r="H3" s="2886" t="s">
        <v>74</v>
      </c>
    </row>
    <row r="4" spans="1:9" s="2888" customFormat="1" ht="45.75" customHeight="1">
      <c r="A4" s="3495"/>
      <c r="B4" s="3503"/>
      <c r="C4" s="3499" t="s">
        <v>3953</v>
      </c>
      <c r="D4" s="3499"/>
      <c r="E4" s="3499"/>
      <c r="F4" s="3499"/>
      <c r="G4" s="3500" t="s">
        <v>3954</v>
      </c>
      <c r="H4" s="2887" t="s">
        <v>3955</v>
      </c>
    </row>
    <row r="5" spans="1:9" s="2888" customFormat="1" ht="79.5" customHeight="1">
      <c r="A5" s="3496"/>
      <c r="B5" s="3504"/>
      <c r="C5" s="2889" t="s">
        <v>3956</v>
      </c>
      <c r="D5" s="2889" t="s">
        <v>3957</v>
      </c>
      <c r="E5" s="2890" t="s">
        <v>3958</v>
      </c>
      <c r="F5" s="2889" t="s">
        <v>3959</v>
      </c>
      <c r="G5" s="3505"/>
      <c r="H5" s="2889" t="s">
        <v>3956</v>
      </c>
    </row>
    <row r="6" spans="1:9" s="2896" customFormat="1" ht="13.5" customHeight="1">
      <c r="A6" s="2891"/>
      <c r="B6" s="2892"/>
      <c r="C6" s="2893"/>
      <c r="D6" s="2894"/>
      <c r="E6" s="2893"/>
      <c r="F6" s="2893"/>
      <c r="G6" s="2895"/>
      <c r="H6" s="2893"/>
    </row>
    <row r="7" spans="1:9" s="2900" customFormat="1" ht="27.75" customHeight="1">
      <c r="A7" s="2891" t="s">
        <v>3960</v>
      </c>
      <c r="B7" s="2897" t="s">
        <v>3961</v>
      </c>
      <c r="C7" s="2898">
        <f t="shared" ref="C7:F7" si="0">C8+C42+C72</f>
        <v>-7301.0829999999987</v>
      </c>
      <c r="D7" s="2898">
        <f t="shared" si="0"/>
        <v>-7481</v>
      </c>
      <c r="E7" s="2898">
        <f t="shared" si="0"/>
        <v>-11987</v>
      </c>
      <c r="F7" s="2898">
        <f t="shared" si="0"/>
        <v>-9418</v>
      </c>
      <c r="G7" s="2898">
        <f>C7+D7+E7+F7</f>
        <v>-36187.082999999999</v>
      </c>
      <c r="H7" s="2898">
        <f>H8+H42+H72</f>
        <v>-5379</v>
      </c>
      <c r="I7" s="2899"/>
    </row>
    <row r="8" spans="1:9" s="2900" customFormat="1" ht="27.75" customHeight="1">
      <c r="A8" s="2891" t="s">
        <v>3962</v>
      </c>
      <c r="B8" s="2897" t="s">
        <v>3963</v>
      </c>
      <c r="C8" s="2898">
        <f t="shared" ref="C8:H8" si="1">C9+C19</f>
        <v>-9509</v>
      </c>
      <c r="D8" s="2898">
        <f t="shared" si="1"/>
        <v>-8270</v>
      </c>
      <c r="E8" s="2898">
        <f t="shared" si="1"/>
        <v>-15573</v>
      </c>
      <c r="F8" s="2898">
        <f t="shared" si="1"/>
        <v>-14745</v>
      </c>
      <c r="G8" s="2898">
        <f t="shared" ref="G8:G54" si="2">C8+D8+E8+F8</f>
        <v>-48097</v>
      </c>
      <c r="H8" s="2898">
        <f t="shared" si="1"/>
        <v>-8066</v>
      </c>
    </row>
    <row r="9" spans="1:9" s="2900" customFormat="1" ht="27.75" customHeight="1">
      <c r="A9" s="2891"/>
      <c r="B9" s="2897" t="s">
        <v>3964</v>
      </c>
      <c r="C9" s="2898">
        <f t="shared" ref="C9:F9" si="3">C10+C11</f>
        <v>-15639</v>
      </c>
      <c r="D9" s="2898">
        <f t="shared" si="3"/>
        <v>-14973</v>
      </c>
      <c r="E9" s="2898">
        <f t="shared" si="3"/>
        <v>-17515</v>
      </c>
      <c r="F9" s="2898">
        <f t="shared" si="3"/>
        <v>-21463</v>
      </c>
      <c r="G9" s="2898">
        <f t="shared" si="2"/>
        <v>-69590</v>
      </c>
      <c r="H9" s="2898">
        <f>H10+H11</f>
        <v>-12653</v>
      </c>
    </row>
    <row r="10" spans="1:9" s="2896" customFormat="1" ht="27.75" customHeight="1">
      <c r="A10" s="2891"/>
      <c r="B10" s="2901" t="s">
        <v>3965</v>
      </c>
      <c r="C10" s="2902">
        <v>20361</v>
      </c>
      <c r="D10" s="2902">
        <v>21746</v>
      </c>
      <c r="E10" s="2902">
        <v>22481</v>
      </c>
      <c r="F10" s="2902">
        <v>23560</v>
      </c>
      <c r="G10" s="2902">
        <f t="shared" si="2"/>
        <v>88148</v>
      </c>
      <c r="H10" s="2902">
        <f>H13+H16</f>
        <v>21385</v>
      </c>
      <c r="I10" s="2903"/>
    </row>
    <row r="11" spans="1:9" s="2896" customFormat="1" ht="27.75" customHeight="1">
      <c r="A11" s="2891"/>
      <c r="B11" s="2901" t="s">
        <v>3966</v>
      </c>
      <c r="C11" s="2904">
        <v>-36000</v>
      </c>
      <c r="D11" s="2904">
        <v>-36719</v>
      </c>
      <c r="E11" s="2904">
        <v>-39996</v>
      </c>
      <c r="F11" s="2904">
        <v>-45023</v>
      </c>
      <c r="G11" s="2904">
        <f t="shared" si="2"/>
        <v>-157738</v>
      </c>
      <c r="H11" s="2904">
        <f>H14+H17</f>
        <v>-34038</v>
      </c>
      <c r="I11" s="2903"/>
    </row>
    <row r="12" spans="1:9" s="2896" customFormat="1" ht="27.75" customHeight="1">
      <c r="A12" s="2891"/>
      <c r="B12" s="2901" t="s">
        <v>3967</v>
      </c>
      <c r="C12" s="2902">
        <f t="shared" ref="C12:H12" si="4">C13+C14</f>
        <v>-18762</v>
      </c>
      <c r="D12" s="2902">
        <f t="shared" si="4"/>
        <v>-18461</v>
      </c>
      <c r="E12" s="2902">
        <f t="shared" si="4"/>
        <v>-20609</v>
      </c>
      <c r="F12" s="2902">
        <f t="shared" si="4"/>
        <v>-24798</v>
      </c>
      <c r="G12" s="2902">
        <f t="shared" si="2"/>
        <v>-82630</v>
      </c>
      <c r="H12" s="2902">
        <f t="shared" si="4"/>
        <v>-16058</v>
      </c>
    </row>
    <row r="13" spans="1:9" s="2896" customFormat="1" ht="27.75" customHeight="1">
      <c r="A13" s="2891"/>
      <c r="B13" s="2901" t="s">
        <v>3968</v>
      </c>
      <c r="C13" s="2902">
        <v>16491</v>
      </c>
      <c r="D13" s="2902">
        <v>17553</v>
      </c>
      <c r="E13" s="2902">
        <v>18522</v>
      </c>
      <c r="F13" s="2902">
        <v>19401</v>
      </c>
      <c r="G13" s="2902">
        <f t="shared" si="2"/>
        <v>71967</v>
      </c>
      <c r="H13" s="2902">
        <v>17217</v>
      </c>
      <c r="I13" s="2903"/>
    </row>
    <row r="14" spans="1:9" s="2896" customFormat="1" ht="27.75" customHeight="1">
      <c r="A14" s="2891"/>
      <c r="B14" s="2901" t="s">
        <v>3969</v>
      </c>
      <c r="C14" s="2902">
        <v>-35253</v>
      </c>
      <c r="D14" s="2902">
        <v>-36014</v>
      </c>
      <c r="E14" s="2902">
        <v>-39131</v>
      </c>
      <c r="F14" s="2902">
        <v>-44199</v>
      </c>
      <c r="G14" s="2902">
        <f t="shared" si="2"/>
        <v>-154597</v>
      </c>
      <c r="H14" s="2902">
        <v>-33275</v>
      </c>
    </row>
    <row r="15" spans="1:9" s="2896" customFormat="1" ht="27.75" customHeight="1">
      <c r="A15" s="2905"/>
      <c r="B15" s="2901" t="s">
        <v>3970</v>
      </c>
      <c r="C15" s="2904">
        <f t="shared" ref="C15:F15" si="5">C16+C17</f>
        <v>3123</v>
      </c>
      <c r="D15" s="2904">
        <f t="shared" si="5"/>
        <v>3488</v>
      </c>
      <c r="E15" s="2904">
        <f t="shared" si="5"/>
        <v>3094</v>
      </c>
      <c r="F15" s="2904">
        <f t="shared" si="5"/>
        <v>3335</v>
      </c>
      <c r="G15" s="2904">
        <f t="shared" si="2"/>
        <v>13040</v>
      </c>
      <c r="H15" s="2904">
        <f>H16+H17</f>
        <v>3405</v>
      </c>
    </row>
    <row r="16" spans="1:9" s="2896" customFormat="1" ht="27.75" customHeight="1">
      <c r="A16" s="2891"/>
      <c r="B16" s="2901" t="s">
        <v>3968</v>
      </c>
      <c r="C16" s="2902">
        <v>3870</v>
      </c>
      <c r="D16" s="2902">
        <v>4193</v>
      </c>
      <c r="E16" s="2902">
        <v>3959</v>
      </c>
      <c r="F16" s="2902">
        <v>4159</v>
      </c>
      <c r="G16" s="2902">
        <f t="shared" si="2"/>
        <v>16181</v>
      </c>
      <c r="H16" s="2902">
        <v>4168</v>
      </c>
    </row>
    <row r="17" spans="1:15" s="2896" customFormat="1" ht="27.75" customHeight="1">
      <c r="A17" s="2891"/>
      <c r="B17" s="2901" t="s">
        <v>3969</v>
      </c>
      <c r="C17" s="2904">
        <v>-747</v>
      </c>
      <c r="D17" s="2904">
        <v>-705</v>
      </c>
      <c r="E17" s="2904">
        <v>-865</v>
      </c>
      <c r="F17" s="2904">
        <v>-824</v>
      </c>
      <c r="G17" s="2904">
        <f t="shared" si="2"/>
        <v>-3141</v>
      </c>
      <c r="H17" s="2904">
        <v>-763</v>
      </c>
    </row>
    <row r="18" spans="1:15" s="2896" customFormat="1" ht="27.75" customHeight="1">
      <c r="A18" s="2891"/>
      <c r="B18" s="2901" t="s">
        <v>3971</v>
      </c>
      <c r="C18" s="2902">
        <v>-136</v>
      </c>
      <c r="D18" s="2902">
        <v>-124</v>
      </c>
      <c r="E18" s="2902">
        <v>-208</v>
      </c>
      <c r="F18" s="2902">
        <v>-201</v>
      </c>
      <c r="G18" s="2902">
        <f t="shared" si="2"/>
        <v>-669</v>
      </c>
      <c r="H18" s="2902">
        <v>-152</v>
      </c>
    </row>
    <row r="19" spans="1:15" s="2900" customFormat="1" ht="27.75" customHeight="1">
      <c r="A19" s="2891"/>
      <c r="B19" s="2897" t="s">
        <v>3972</v>
      </c>
      <c r="C19" s="2906">
        <f t="shared" ref="C19:H19" si="6">C20+C31</f>
        <v>6130</v>
      </c>
      <c r="D19" s="2906">
        <f t="shared" si="6"/>
        <v>6703</v>
      </c>
      <c r="E19" s="2906">
        <f t="shared" si="6"/>
        <v>1942</v>
      </c>
      <c r="F19" s="2906">
        <f t="shared" si="6"/>
        <v>6718</v>
      </c>
      <c r="G19" s="2906">
        <f t="shared" si="2"/>
        <v>21493</v>
      </c>
      <c r="H19" s="2906">
        <f t="shared" si="6"/>
        <v>4587</v>
      </c>
      <c r="I19" s="2896"/>
      <c r="J19" s="2903"/>
      <c r="K19" s="2903"/>
      <c r="L19" s="2899"/>
    </row>
    <row r="20" spans="1:15" s="2896" customFormat="1" ht="27.75" customHeight="1">
      <c r="A20" s="2891"/>
      <c r="B20" s="2901" t="s">
        <v>3973</v>
      </c>
      <c r="C20" s="2904">
        <f t="shared" ref="C20:H20" si="7">C21+C25+C28</f>
        <v>26150</v>
      </c>
      <c r="D20" s="2904">
        <f t="shared" si="7"/>
        <v>27880</v>
      </c>
      <c r="E20" s="2904">
        <f t="shared" si="7"/>
        <v>22390</v>
      </c>
      <c r="F20" s="2904">
        <f t="shared" si="7"/>
        <v>28226</v>
      </c>
      <c r="G20" s="2904">
        <f t="shared" si="2"/>
        <v>104646</v>
      </c>
      <c r="H20" s="2904">
        <f t="shared" si="7"/>
        <v>23356</v>
      </c>
      <c r="I20" s="2903"/>
      <c r="J20" s="2903"/>
      <c r="K20" s="2903"/>
      <c r="L20" s="2899"/>
      <c r="M20" s="2903"/>
      <c r="N20" s="2903"/>
      <c r="O20" s="2903"/>
    </row>
    <row r="21" spans="1:15" s="2896" customFormat="1" ht="27.75" customHeight="1">
      <c r="A21" s="2891"/>
      <c r="B21" s="2901" t="s">
        <v>3974</v>
      </c>
      <c r="C21" s="2902">
        <v>2855</v>
      </c>
      <c r="D21" s="2902">
        <v>2339</v>
      </c>
      <c r="E21" s="2902">
        <v>2652</v>
      </c>
      <c r="F21" s="2902">
        <v>3172</v>
      </c>
      <c r="G21" s="2902">
        <f t="shared" si="2"/>
        <v>11018</v>
      </c>
      <c r="H21" s="2902">
        <f>H22+H23+H24</f>
        <v>2991</v>
      </c>
      <c r="I21" s="2903"/>
      <c r="J21" s="2903"/>
      <c r="K21" s="2903"/>
      <c r="L21" s="2899"/>
      <c r="M21" s="2903"/>
      <c r="N21" s="2903"/>
      <c r="O21" s="2903"/>
    </row>
    <row r="22" spans="1:15" s="2911" customFormat="1" ht="27.75" customHeight="1">
      <c r="A22" s="2907"/>
      <c r="B22" s="2908" t="s">
        <v>3975</v>
      </c>
      <c r="C22" s="2909">
        <v>2177</v>
      </c>
      <c r="D22" s="2909">
        <v>1602</v>
      </c>
      <c r="E22" s="2909">
        <v>2084</v>
      </c>
      <c r="F22" s="2909">
        <v>2513</v>
      </c>
      <c r="G22" s="2909">
        <f t="shared" si="2"/>
        <v>8376</v>
      </c>
      <c r="H22" s="2909">
        <v>2280</v>
      </c>
      <c r="I22" s="2903"/>
      <c r="J22" s="2903"/>
      <c r="K22" s="2903"/>
      <c r="L22" s="2899"/>
      <c r="M22" s="2910"/>
      <c r="N22" s="2910"/>
      <c r="O22" s="2910"/>
    </row>
    <row r="23" spans="1:15" s="2911" customFormat="1" ht="27.75" customHeight="1">
      <c r="A23" s="2907"/>
      <c r="B23" s="2908" t="s">
        <v>3976</v>
      </c>
      <c r="C23" s="2909">
        <v>140</v>
      </c>
      <c r="D23" s="2909">
        <v>149</v>
      </c>
      <c r="E23" s="2909">
        <v>145</v>
      </c>
      <c r="F23" s="2909">
        <v>178</v>
      </c>
      <c r="G23" s="2909">
        <f t="shared" si="2"/>
        <v>612</v>
      </c>
      <c r="H23" s="2909">
        <v>164</v>
      </c>
      <c r="I23" s="2903"/>
      <c r="J23" s="2899"/>
      <c r="K23" s="2899"/>
      <c r="L23" s="2903"/>
      <c r="M23" s="2910"/>
      <c r="N23" s="2910"/>
      <c r="O23" s="2910"/>
    </row>
    <row r="24" spans="1:15" s="2911" customFormat="1" ht="27.75" customHeight="1">
      <c r="A24" s="2907"/>
      <c r="B24" s="2908" t="s">
        <v>3977</v>
      </c>
      <c r="C24" s="2912">
        <v>538</v>
      </c>
      <c r="D24" s="2912">
        <v>588</v>
      </c>
      <c r="E24" s="2912">
        <v>423</v>
      </c>
      <c r="F24" s="2912">
        <v>481</v>
      </c>
      <c r="G24" s="2912">
        <f t="shared" si="2"/>
        <v>2030</v>
      </c>
      <c r="H24" s="2912">
        <v>547</v>
      </c>
      <c r="I24" s="2903"/>
    </row>
    <row r="25" spans="1:15" s="2896" customFormat="1" ht="27.75" customHeight="1">
      <c r="A25" s="2905"/>
      <c r="B25" s="2901" t="s">
        <v>3978</v>
      </c>
      <c r="C25" s="2904">
        <f t="shared" ref="C25:H25" si="8">C26+C27</f>
        <v>12064</v>
      </c>
      <c r="D25" s="2904">
        <f t="shared" si="8"/>
        <v>9991</v>
      </c>
      <c r="E25" s="2904">
        <f t="shared" si="8"/>
        <v>7050</v>
      </c>
      <c r="F25" s="2904">
        <f t="shared" si="8"/>
        <v>11452</v>
      </c>
      <c r="G25" s="2904">
        <f t="shared" si="2"/>
        <v>40557</v>
      </c>
      <c r="H25" s="2904">
        <f t="shared" si="8"/>
        <v>11516</v>
      </c>
      <c r="I25" s="2903"/>
    </row>
    <row r="26" spans="1:15" s="2911" customFormat="1" ht="27.75" customHeight="1">
      <c r="A26" s="2907"/>
      <c r="B26" s="2908" t="s">
        <v>3979</v>
      </c>
      <c r="C26" s="2909">
        <v>4173</v>
      </c>
      <c r="D26" s="2909">
        <v>3469</v>
      </c>
      <c r="E26" s="2909">
        <v>2663</v>
      </c>
      <c r="F26" s="2909">
        <v>5197</v>
      </c>
      <c r="G26" s="2909">
        <f t="shared" si="2"/>
        <v>15502</v>
      </c>
      <c r="H26" s="2909">
        <v>4175</v>
      </c>
      <c r="I26" s="2903"/>
    </row>
    <row r="27" spans="1:15" s="2911" customFormat="1" ht="27.75" customHeight="1">
      <c r="A27" s="2913"/>
      <c r="B27" s="2908" t="s">
        <v>3980</v>
      </c>
      <c r="C27" s="2912">
        <v>7891</v>
      </c>
      <c r="D27" s="2912">
        <v>6522</v>
      </c>
      <c r="E27" s="2912">
        <v>4387</v>
      </c>
      <c r="F27" s="2912">
        <v>6255</v>
      </c>
      <c r="G27" s="2912">
        <f t="shared" si="2"/>
        <v>25055</v>
      </c>
      <c r="H27" s="2912">
        <v>7341</v>
      </c>
      <c r="I27" s="2903"/>
    </row>
    <row r="28" spans="1:15" s="2896" customFormat="1" ht="27.75" customHeight="1">
      <c r="A28" s="2891"/>
      <c r="B28" s="2901" t="s">
        <v>3981</v>
      </c>
      <c r="C28" s="2904">
        <f t="shared" ref="C28:H28" si="9">C29+C30</f>
        <v>11231</v>
      </c>
      <c r="D28" s="2904">
        <f t="shared" si="9"/>
        <v>15550</v>
      </c>
      <c r="E28" s="2904">
        <f t="shared" si="9"/>
        <v>12688</v>
      </c>
      <c r="F28" s="2904">
        <f t="shared" si="9"/>
        <v>13602</v>
      </c>
      <c r="G28" s="2904">
        <f t="shared" si="2"/>
        <v>53071</v>
      </c>
      <c r="H28" s="2904">
        <f t="shared" si="9"/>
        <v>8849</v>
      </c>
      <c r="I28" s="2903"/>
    </row>
    <row r="29" spans="1:15" s="2911" customFormat="1" ht="27.75" customHeight="1">
      <c r="A29" s="2907"/>
      <c r="B29" s="2908" t="s">
        <v>3982</v>
      </c>
      <c r="C29" s="2909">
        <v>11012</v>
      </c>
      <c r="D29" s="2909">
        <v>15079</v>
      </c>
      <c r="E29" s="2909">
        <v>11549</v>
      </c>
      <c r="F29" s="2909">
        <v>12119</v>
      </c>
      <c r="G29" s="2909">
        <f t="shared" si="2"/>
        <v>49759</v>
      </c>
      <c r="H29" s="2909">
        <v>7878</v>
      </c>
      <c r="I29" s="2903"/>
      <c r="J29" s="2910"/>
    </row>
    <row r="30" spans="1:15" s="2911" customFormat="1" ht="27.75" customHeight="1">
      <c r="A30" s="2907"/>
      <c r="B30" s="2908" t="s">
        <v>3983</v>
      </c>
      <c r="C30" s="2909">
        <v>219</v>
      </c>
      <c r="D30" s="2909">
        <v>471</v>
      </c>
      <c r="E30" s="2909">
        <v>1139</v>
      </c>
      <c r="F30" s="2909">
        <v>1483</v>
      </c>
      <c r="G30" s="2909">
        <f t="shared" si="2"/>
        <v>3312</v>
      </c>
      <c r="H30" s="2909">
        <v>971</v>
      </c>
      <c r="I30" s="2903"/>
    </row>
    <row r="31" spans="1:15" s="2896" customFormat="1" ht="27.75" customHeight="1">
      <c r="A31" s="2891"/>
      <c r="B31" s="2901" t="s">
        <v>3984</v>
      </c>
      <c r="C31" s="2902">
        <f t="shared" ref="C31:H31" si="10">C32+C36+C39</f>
        <v>-20020</v>
      </c>
      <c r="D31" s="2902">
        <f t="shared" si="10"/>
        <v>-21177</v>
      </c>
      <c r="E31" s="2902">
        <f t="shared" si="10"/>
        <v>-20448</v>
      </c>
      <c r="F31" s="2902">
        <f t="shared" si="10"/>
        <v>-21508</v>
      </c>
      <c r="G31" s="2902">
        <f t="shared" si="2"/>
        <v>-83153</v>
      </c>
      <c r="H31" s="2902">
        <f t="shared" si="10"/>
        <v>-18769</v>
      </c>
    </row>
    <row r="32" spans="1:15" s="2896" customFormat="1" ht="27.75" customHeight="1">
      <c r="A32" s="2891"/>
      <c r="B32" s="2901" t="s">
        <v>3974</v>
      </c>
      <c r="C32" s="2902">
        <f t="shared" ref="C32:F32" si="11">C33+C34+C35</f>
        <v>-4375</v>
      </c>
      <c r="D32" s="2902">
        <f t="shared" si="11"/>
        <v>-4178</v>
      </c>
      <c r="E32" s="2902">
        <f t="shared" si="11"/>
        <v>-4517</v>
      </c>
      <c r="F32" s="2902">
        <f t="shared" si="11"/>
        <v>-5003</v>
      </c>
      <c r="G32" s="2902">
        <f t="shared" si="2"/>
        <v>-18073</v>
      </c>
      <c r="H32" s="2902">
        <f>H33+H34+H35</f>
        <v>-4460</v>
      </c>
    </row>
    <row r="33" spans="1:10" s="2911" customFormat="1" ht="27.75" customHeight="1">
      <c r="A33" s="2907"/>
      <c r="B33" s="2908" t="s">
        <v>3975</v>
      </c>
      <c r="C33" s="2909">
        <v>-140</v>
      </c>
      <c r="D33" s="2909">
        <v>-113</v>
      </c>
      <c r="E33" s="2909">
        <v>-171</v>
      </c>
      <c r="F33" s="2909">
        <v>-179</v>
      </c>
      <c r="G33" s="2909">
        <f t="shared" si="2"/>
        <v>-603</v>
      </c>
      <c r="H33" s="2909">
        <v>-148</v>
      </c>
      <c r="J33" s="2910"/>
    </row>
    <row r="34" spans="1:10" s="2911" customFormat="1" ht="27.75" customHeight="1">
      <c r="A34" s="2907"/>
      <c r="B34" s="2908" t="s">
        <v>3976</v>
      </c>
      <c r="C34" s="2912">
        <v>-2189</v>
      </c>
      <c r="D34" s="2912">
        <v>-2389</v>
      </c>
      <c r="E34" s="2912">
        <v>-2604</v>
      </c>
      <c r="F34" s="2912">
        <v>-2695</v>
      </c>
      <c r="G34" s="2912">
        <f t="shared" si="2"/>
        <v>-9877</v>
      </c>
      <c r="H34" s="2912">
        <v>-2109</v>
      </c>
    </row>
    <row r="35" spans="1:10" s="2911" customFormat="1" ht="27.75" customHeight="1">
      <c r="A35" s="2907"/>
      <c r="B35" s="2908" t="s">
        <v>3977</v>
      </c>
      <c r="C35" s="2912">
        <v>-2046</v>
      </c>
      <c r="D35" s="2912">
        <v>-1676</v>
      </c>
      <c r="E35" s="2912">
        <v>-1742</v>
      </c>
      <c r="F35" s="2912">
        <v>-2129</v>
      </c>
      <c r="G35" s="2912">
        <f t="shared" si="2"/>
        <v>-7593</v>
      </c>
      <c r="H35" s="2912">
        <v>-2203</v>
      </c>
      <c r="I35" s="2910"/>
    </row>
    <row r="36" spans="1:10" s="2896" customFormat="1" ht="27.75" customHeight="1">
      <c r="A36" s="2905"/>
      <c r="B36" s="2901" t="s">
        <v>3978</v>
      </c>
      <c r="C36" s="2904">
        <f t="shared" ref="C36:H36" si="12">C37+C38</f>
        <v>-3212</v>
      </c>
      <c r="D36" s="2904">
        <f t="shared" si="12"/>
        <v>-3081</v>
      </c>
      <c r="E36" s="2904">
        <f t="shared" si="12"/>
        <v>-3679</v>
      </c>
      <c r="F36" s="2904">
        <f t="shared" si="12"/>
        <v>-3416</v>
      </c>
      <c r="G36" s="2904">
        <f t="shared" si="2"/>
        <v>-13388</v>
      </c>
      <c r="H36" s="2904">
        <f t="shared" si="12"/>
        <v>-3602</v>
      </c>
    </row>
    <row r="37" spans="1:10" s="2911" customFormat="1" ht="27.75" customHeight="1">
      <c r="A37" s="2907"/>
      <c r="B37" s="2908" t="s">
        <v>3979</v>
      </c>
      <c r="C37" s="2909">
        <v>-219</v>
      </c>
      <c r="D37" s="2909">
        <v>-201</v>
      </c>
      <c r="E37" s="2909">
        <v>-300</v>
      </c>
      <c r="F37" s="2909">
        <v>-356</v>
      </c>
      <c r="G37" s="2909">
        <f t="shared" si="2"/>
        <v>-1076</v>
      </c>
      <c r="H37" s="2909">
        <v>-302</v>
      </c>
    </row>
    <row r="38" spans="1:10" s="2911" customFormat="1" ht="27.75" customHeight="1">
      <c r="A38" s="2913"/>
      <c r="B38" s="2908" t="s">
        <v>3980</v>
      </c>
      <c r="C38" s="2912">
        <v>-2993</v>
      </c>
      <c r="D38" s="2912">
        <v>-2880</v>
      </c>
      <c r="E38" s="2912">
        <v>-3379</v>
      </c>
      <c r="F38" s="2912">
        <v>-3060</v>
      </c>
      <c r="G38" s="2912">
        <f t="shared" si="2"/>
        <v>-12312</v>
      </c>
      <c r="H38" s="2912">
        <v>-3300</v>
      </c>
    </row>
    <row r="39" spans="1:10" s="2896" customFormat="1" ht="27.75" customHeight="1">
      <c r="A39" s="2891"/>
      <c r="B39" s="2901" t="s">
        <v>3981</v>
      </c>
      <c r="C39" s="2914">
        <f t="shared" ref="C39:H39" si="13">C40+C41</f>
        <v>-12433</v>
      </c>
      <c r="D39" s="2914">
        <f t="shared" si="13"/>
        <v>-13918</v>
      </c>
      <c r="E39" s="2914">
        <f t="shared" si="13"/>
        <v>-12252</v>
      </c>
      <c r="F39" s="2914">
        <f t="shared" si="13"/>
        <v>-13089</v>
      </c>
      <c r="G39" s="2914">
        <f t="shared" si="2"/>
        <v>-51692</v>
      </c>
      <c r="H39" s="2914">
        <f t="shared" si="13"/>
        <v>-10707</v>
      </c>
      <c r="I39" s="2903"/>
    </row>
    <row r="40" spans="1:10" s="2911" customFormat="1" ht="27.75" customHeight="1">
      <c r="A40" s="2913"/>
      <c r="B40" s="2908" t="s">
        <v>3982</v>
      </c>
      <c r="C40" s="2912">
        <v>-12072</v>
      </c>
      <c r="D40" s="2912">
        <v>-13565</v>
      </c>
      <c r="E40" s="2912">
        <v>-11674</v>
      </c>
      <c r="F40" s="2912">
        <v>-12110</v>
      </c>
      <c r="G40" s="2912">
        <f t="shared" si="2"/>
        <v>-49421</v>
      </c>
      <c r="H40" s="2912">
        <v>-10241</v>
      </c>
    </row>
    <row r="41" spans="1:10" s="2911" customFormat="1" ht="27.75" customHeight="1">
      <c r="A41" s="2913"/>
      <c r="B41" s="2908" t="s">
        <v>3983</v>
      </c>
      <c r="C41" s="2912">
        <v>-361</v>
      </c>
      <c r="D41" s="2912">
        <v>-353</v>
      </c>
      <c r="E41" s="2912">
        <v>-578</v>
      </c>
      <c r="F41" s="2912">
        <v>-979</v>
      </c>
      <c r="G41" s="2912">
        <f t="shared" si="2"/>
        <v>-2271</v>
      </c>
      <c r="H41" s="2912">
        <v>-466</v>
      </c>
    </row>
    <row r="42" spans="1:10" s="2917" customFormat="1" ht="27.75" customHeight="1">
      <c r="A42" s="2891" t="s">
        <v>3985</v>
      </c>
      <c r="B42" s="2897" t="s">
        <v>3986</v>
      </c>
      <c r="C42" s="2915">
        <f t="shared" ref="C42:F42" si="14">C43+C60</f>
        <v>2114.9170000000013</v>
      </c>
      <c r="D42" s="2915">
        <f t="shared" si="14"/>
        <v>182</v>
      </c>
      <c r="E42" s="2915">
        <f t="shared" si="14"/>
        <v>3197</v>
      </c>
      <c r="F42" s="2915">
        <f t="shared" si="14"/>
        <v>3640</v>
      </c>
      <c r="G42" s="2915">
        <f t="shared" si="2"/>
        <v>9133.9170000000013</v>
      </c>
      <c r="H42" s="2915">
        <f>H43+H60</f>
        <v>2217</v>
      </c>
      <c r="I42" s="2916"/>
    </row>
    <row r="43" spans="1:10" s="2917" customFormat="1" ht="27.75" customHeight="1">
      <c r="A43" s="2891"/>
      <c r="B43" s="2901" t="s">
        <v>3987</v>
      </c>
      <c r="C43" s="2902">
        <f t="shared" ref="C43:F43" si="15">C44+C45+C47+C49</f>
        <v>13506</v>
      </c>
      <c r="D43" s="2902">
        <f t="shared" si="15"/>
        <v>13513</v>
      </c>
      <c r="E43" s="2902">
        <f t="shared" si="15"/>
        <v>14273</v>
      </c>
      <c r="F43" s="2902">
        <f t="shared" si="15"/>
        <v>14059</v>
      </c>
      <c r="G43" s="2902">
        <f t="shared" si="2"/>
        <v>55351</v>
      </c>
      <c r="H43" s="2902">
        <f>H44+H45+H47+H49</f>
        <v>13230</v>
      </c>
      <c r="I43" s="2916"/>
    </row>
    <row r="44" spans="1:10" s="2917" customFormat="1" ht="27.75" customHeight="1">
      <c r="A44" s="2891"/>
      <c r="B44" s="2901" t="s">
        <v>3988</v>
      </c>
      <c r="C44" s="2902">
        <v>4</v>
      </c>
      <c r="D44" s="2902">
        <v>6</v>
      </c>
      <c r="E44" s="2902">
        <v>5</v>
      </c>
      <c r="F44" s="2902">
        <v>3</v>
      </c>
      <c r="G44" s="2902">
        <f t="shared" si="2"/>
        <v>18</v>
      </c>
      <c r="H44" s="2902">
        <v>4</v>
      </c>
      <c r="I44" s="2916"/>
    </row>
    <row r="45" spans="1:10" s="2917" customFormat="1" ht="27.75" customHeight="1">
      <c r="A45" s="2891"/>
      <c r="B45" s="2901" t="s">
        <v>3989</v>
      </c>
      <c r="C45" s="2902">
        <v>5143</v>
      </c>
      <c r="D45" s="2902">
        <v>5518</v>
      </c>
      <c r="E45" s="2902">
        <v>5575</v>
      </c>
      <c r="F45" s="2902">
        <v>5661</v>
      </c>
      <c r="G45" s="2902">
        <f t="shared" si="2"/>
        <v>21897</v>
      </c>
      <c r="H45" s="2902">
        <f>52+H46</f>
        <v>5264</v>
      </c>
      <c r="I45" s="2916"/>
    </row>
    <row r="46" spans="1:10" s="2918" customFormat="1" ht="27.75" customHeight="1">
      <c r="A46" s="2913"/>
      <c r="B46" s="2908" t="s">
        <v>3990</v>
      </c>
      <c r="C46" s="2912">
        <v>5100</v>
      </c>
      <c r="D46" s="2912">
        <v>5325</v>
      </c>
      <c r="E46" s="2912">
        <v>5426</v>
      </c>
      <c r="F46" s="2912">
        <v>5612</v>
      </c>
      <c r="G46" s="2912">
        <f t="shared" si="2"/>
        <v>21463</v>
      </c>
      <c r="H46" s="2912">
        <v>5212</v>
      </c>
      <c r="I46" s="2916"/>
    </row>
    <row r="47" spans="1:10" s="2917" customFormat="1" ht="27.75" customHeight="1">
      <c r="A47" s="2891"/>
      <c r="B47" s="2901" t="s">
        <v>3991</v>
      </c>
      <c r="C47" s="2902">
        <v>3510</v>
      </c>
      <c r="D47" s="2902">
        <v>3092</v>
      </c>
      <c r="E47" s="2902">
        <v>3162</v>
      </c>
      <c r="F47" s="2902">
        <v>3189</v>
      </c>
      <c r="G47" s="2902">
        <f t="shared" si="2"/>
        <v>12953</v>
      </c>
      <c r="H47" s="2902">
        <f>191+H48</f>
        <v>3065</v>
      </c>
      <c r="I47" s="2916"/>
    </row>
    <row r="48" spans="1:10" s="2918" customFormat="1" ht="27.75" customHeight="1">
      <c r="A48" s="2913"/>
      <c r="B48" s="2908" t="s">
        <v>3990</v>
      </c>
      <c r="C48" s="2912">
        <v>2899</v>
      </c>
      <c r="D48" s="2912">
        <v>2925</v>
      </c>
      <c r="E48" s="2912">
        <v>2970</v>
      </c>
      <c r="F48" s="2912">
        <v>2998</v>
      </c>
      <c r="G48" s="2912">
        <f t="shared" si="2"/>
        <v>11792</v>
      </c>
      <c r="H48" s="2912">
        <v>2874</v>
      </c>
      <c r="I48" s="2916"/>
    </row>
    <row r="49" spans="1:21" s="2917" customFormat="1" ht="27.75" customHeight="1">
      <c r="A49" s="2905"/>
      <c r="B49" s="2901" t="s">
        <v>3992</v>
      </c>
      <c r="C49" s="2904">
        <f t="shared" ref="C49:F49" si="16">SUM(C50:C53)</f>
        <v>4849</v>
      </c>
      <c r="D49" s="2904">
        <f t="shared" si="16"/>
        <v>4897</v>
      </c>
      <c r="E49" s="2904">
        <f t="shared" si="16"/>
        <v>5531</v>
      </c>
      <c r="F49" s="2904">
        <f t="shared" si="16"/>
        <v>5206</v>
      </c>
      <c r="G49" s="2904">
        <f t="shared" si="2"/>
        <v>20483</v>
      </c>
      <c r="H49" s="2904">
        <f>SUM(H50:H53)</f>
        <v>4897</v>
      </c>
      <c r="I49" s="2916"/>
    </row>
    <row r="50" spans="1:21" s="2918" customFormat="1" ht="27.75" customHeight="1">
      <c r="A50" s="2913"/>
      <c r="B50" s="2908" t="s">
        <v>3993</v>
      </c>
      <c r="C50" s="2912">
        <v>0</v>
      </c>
      <c r="D50" s="2912">
        <v>0</v>
      </c>
      <c r="E50" s="2912">
        <v>0</v>
      </c>
      <c r="F50" s="2912">
        <v>0</v>
      </c>
      <c r="G50" s="2912">
        <f t="shared" si="2"/>
        <v>0</v>
      </c>
      <c r="H50" s="2912">
        <v>0</v>
      </c>
      <c r="I50" s="2916"/>
    </row>
    <row r="51" spans="1:21" s="2918" customFormat="1" ht="27.75" customHeight="1">
      <c r="A51" s="2913"/>
      <c r="B51" s="2908" t="s">
        <v>3994</v>
      </c>
      <c r="C51" s="2912">
        <v>187</v>
      </c>
      <c r="D51" s="2912">
        <v>176</v>
      </c>
      <c r="E51" s="2912">
        <v>163</v>
      </c>
      <c r="F51" s="2912">
        <v>164</v>
      </c>
      <c r="G51" s="2912">
        <f t="shared" si="2"/>
        <v>690</v>
      </c>
      <c r="H51" s="2912">
        <v>166</v>
      </c>
      <c r="I51" s="2916"/>
    </row>
    <row r="52" spans="1:21" s="2918" customFormat="1" ht="27.75" customHeight="1">
      <c r="A52" s="2913"/>
      <c r="B52" s="2908" t="s">
        <v>3995</v>
      </c>
      <c r="C52" s="2912">
        <v>3685</v>
      </c>
      <c r="D52" s="2912">
        <v>3660</v>
      </c>
      <c r="E52" s="2912">
        <v>3859</v>
      </c>
      <c r="F52" s="2912">
        <v>3387</v>
      </c>
      <c r="G52" s="2912">
        <f t="shared" si="2"/>
        <v>14591</v>
      </c>
      <c r="H52" s="2912">
        <v>3493</v>
      </c>
      <c r="I52" s="2916"/>
    </row>
    <row r="53" spans="1:21" s="2918" customFormat="1" ht="27.75" customHeight="1">
      <c r="A53" s="2913"/>
      <c r="B53" s="2908" t="s">
        <v>3996</v>
      </c>
      <c r="C53" s="2912">
        <v>977</v>
      </c>
      <c r="D53" s="2912">
        <v>1061</v>
      </c>
      <c r="E53" s="2912">
        <v>1509</v>
      </c>
      <c r="F53" s="2912">
        <v>1655</v>
      </c>
      <c r="G53" s="2912">
        <f t="shared" si="2"/>
        <v>5202</v>
      </c>
      <c r="H53" s="2912">
        <f>268+H54</f>
        <v>1238</v>
      </c>
      <c r="I53" s="2916"/>
    </row>
    <row r="54" spans="1:21" s="2918" customFormat="1" ht="27.75" customHeight="1" thickBot="1">
      <c r="A54" s="2919"/>
      <c r="B54" s="2920" t="s">
        <v>3990</v>
      </c>
      <c r="C54" s="2921">
        <v>964</v>
      </c>
      <c r="D54" s="2921">
        <v>1024</v>
      </c>
      <c r="E54" s="2921">
        <v>1090</v>
      </c>
      <c r="F54" s="2921">
        <v>1106</v>
      </c>
      <c r="G54" s="2921">
        <f t="shared" si="2"/>
        <v>4184</v>
      </c>
      <c r="H54" s="2921">
        <v>970</v>
      </c>
      <c r="I54" s="2916"/>
    </row>
    <row r="55" spans="1:21" ht="43.5" customHeight="1">
      <c r="A55" s="2922" t="s">
        <v>324</v>
      </c>
      <c r="B55" s="2911"/>
      <c r="C55" s="2923"/>
      <c r="D55" s="2924"/>
      <c r="E55" s="2923"/>
      <c r="F55" s="2923"/>
      <c r="G55" s="2925"/>
    </row>
    <row r="56" spans="1:21" ht="28.5" customHeight="1" thickBot="1">
      <c r="A56" s="2926"/>
      <c r="C56" s="2886"/>
      <c r="D56" s="2886"/>
      <c r="E56" s="2886"/>
      <c r="F56" s="2886"/>
      <c r="G56" s="2886"/>
      <c r="H56" s="2886"/>
    </row>
    <row r="57" spans="1:21" s="2896" customFormat="1" ht="41.25" customHeight="1">
      <c r="A57" s="3495"/>
      <c r="B57" s="3497"/>
      <c r="C57" s="3499" t="s">
        <v>3954</v>
      </c>
      <c r="D57" s="3499"/>
      <c r="E57" s="3499"/>
      <c r="F57" s="2887"/>
      <c r="G57" s="3500" t="s">
        <v>3954</v>
      </c>
      <c r="H57" s="2887" t="s">
        <v>3955</v>
      </c>
    </row>
    <row r="58" spans="1:21" s="2896" customFormat="1" ht="54.75" customHeight="1">
      <c r="A58" s="3496"/>
      <c r="B58" s="3498"/>
      <c r="C58" s="2927" t="s">
        <v>3997</v>
      </c>
      <c r="D58" s="2928" t="s">
        <v>3998</v>
      </c>
      <c r="E58" s="2928" t="s">
        <v>3958</v>
      </c>
      <c r="F58" s="2889" t="s">
        <v>3959</v>
      </c>
      <c r="G58" s="3501"/>
      <c r="H58" s="2889" t="s">
        <v>3997</v>
      </c>
    </row>
    <row r="59" spans="1:21" s="2896" customFormat="1" ht="21" customHeight="1">
      <c r="A59" s="2891"/>
      <c r="B59" s="2929"/>
      <c r="C59" s="2930"/>
      <c r="D59" s="2894"/>
      <c r="E59" s="2930"/>
      <c r="F59" s="2930"/>
      <c r="G59" s="2931"/>
      <c r="H59" s="2904"/>
    </row>
    <row r="60" spans="1:21" s="2917" customFormat="1" ht="24.75" customHeight="1">
      <c r="A60" s="2932"/>
      <c r="B60" s="2901" t="s">
        <v>3984</v>
      </c>
      <c r="C60" s="2904">
        <v>-11391.082999999999</v>
      </c>
      <c r="D60" s="2904">
        <v>-13331</v>
      </c>
      <c r="E60" s="2904">
        <v>-11076</v>
      </c>
      <c r="F60" s="2904">
        <f>F61+F62+F64+F66</f>
        <v>-10419</v>
      </c>
      <c r="G60" s="2904">
        <f>C60+D60+E60+F60</f>
        <v>-46217.082999999999</v>
      </c>
      <c r="H60" s="2933">
        <f t="shared" ref="H60" si="17">H61+H62+H64+H66</f>
        <v>-11013</v>
      </c>
    </row>
    <row r="61" spans="1:21" s="2917" customFormat="1" ht="24.75" customHeight="1">
      <c r="A61" s="2932"/>
      <c r="B61" s="2901" t="s">
        <v>3999</v>
      </c>
      <c r="C61" s="2933">
        <v>-62</v>
      </c>
      <c r="D61" s="2933">
        <v>-64</v>
      </c>
      <c r="E61" s="2933">
        <v>-58</v>
      </c>
      <c r="F61" s="2933">
        <v>-72</v>
      </c>
      <c r="G61" s="2933">
        <f t="shared" ref="G61:G121" si="18">C61+D61+E61+F61</f>
        <v>-256</v>
      </c>
      <c r="H61" s="2902">
        <v>-59</v>
      </c>
    </row>
    <row r="62" spans="1:21" s="2917" customFormat="1" ht="24.75" customHeight="1">
      <c r="A62" s="2932"/>
      <c r="B62" s="2901" t="s">
        <v>3989</v>
      </c>
      <c r="C62" s="2902">
        <v>-5288</v>
      </c>
      <c r="D62" s="2902">
        <v>-7952</v>
      </c>
      <c r="E62" s="2902">
        <v>-5343</v>
      </c>
      <c r="F62" s="2902">
        <v>-5159</v>
      </c>
      <c r="G62" s="2902">
        <f t="shared" si="18"/>
        <v>-23742</v>
      </c>
      <c r="H62" s="2912">
        <f>-555+H63</f>
        <v>-5380</v>
      </c>
      <c r="I62" s="2916"/>
    </row>
    <row r="63" spans="1:21" s="2918" customFormat="1" ht="24.75" customHeight="1">
      <c r="A63" s="2934"/>
      <c r="B63" s="2908" t="s">
        <v>3990</v>
      </c>
      <c r="C63" s="2912">
        <v>-4400</v>
      </c>
      <c r="D63" s="2912">
        <v>-4526</v>
      </c>
      <c r="E63" s="2912">
        <v>-4645</v>
      </c>
      <c r="F63" s="2912">
        <v>-4698</v>
      </c>
      <c r="G63" s="2912">
        <f t="shared" si="18"/>
        <v>-18269</v>
      </c>
      <c r="H63" s="2902">
        <v>-4825</v>
      </c>
      <c r="I63" s="2916"/>
      <c r="J63" s="2917"/>
      <c r="K63" s="2917"/>
      <c r="L63" s="2917"/>
      <c r="M63" s="2917"/>
      <c r="N63" s="2917"/>
      <c r="O63" s="2917"/>
      <c r="P63" s="2917"/>
      <c r="Q63" s="2917"/>
      <c r="R63" s="2917"/>
      <c r="S63" s="2917"/>
      <c r="T63" s="2917"/>
      <c r="U63" s="2917"/>
    </row>
    <row r="64" spans="1:21" s="2917" customFormat="1" ht="24.75" customHeight="1">
      <c r="A64" s="2932"/>
      <c r="B64" s="2901" t="s">
        <v>3991</v>
      </c>
      <c r="C64" s="2902">
        <v>-2940</v>
      </c>
      <c r="D64" s="2902">
        <v>-2436</v>
      </c>
      <c r="E64" s="2902">
        <v>-2508</v>
      </c>
      <c r="F64" s="2902">
        <v>-2414</v>
      </c>
      <c r="G64" s="2902">
        <f t="shared" si="18"/>
        <v>-10298</v>
      </c>
      <c r="H64" s="2912">
        <f>-137+H65</f>
        <v>-2362</v>
      </c>
      <c r="I64" s="2916"/>
    </row>
    <row r="65" spans="1:9" s="2918" customFormat="1" ht="24.75" customHeight="1">
      <c r="A65" s="2934"/>
      <c r="B65" s="2908" t="s">
        <v>3990</v>
      </c>
      <c r="C65" s="2912">
        <v>-2329</v>
      </c>
      <c r="D65" s="2912">
        <v>-2150</v>
      </c>
      <c r="E65" s="2912">
        <v>-1995</v>
      </c>
      <c r="F65" s="2912">
        <v>-1875</v>
      </c>
      <c r="G65" s="2912">
        <f t="shared" si="18"/>
        <v>-8349</v>
      </c>
      <c r="H65" s="2904">
        <v>-2225</v>
      </c>
    </row>
    <row r="66" spans="1:9" s="2917" customFormat="1" ht="24.75" customHeight="1">
      <c r="A66" s="2932"/>
      <c r="B66" s="2901" t="s">
        <v>3992</v>
      </c>
      <c r="C66" s="2904">
        <f t="shared" ref="C66:H66" si="19">C67+C68+C69+C70</f>
        <v>-3101.0829999999996</v>
      </c>
      <c r="D66" s="2904">
        <f t="shared" si="19"/>
        <v>-2879</v>
      </c>
      <c r="E66" s="2904">
        <f t="shared" si="19"/>
        <v>-3167</v>
      </c>
      <c r="F66" s="2904">
        <f t="shared" si="19"/>
        <v>-2774</v>
      </c>
      <c r="G66" s="2904">
        <f t="shared" si="18"/>
        <v>-11921.082999999999</v>
      </c>
      <c r="H66" s="2912">
        <f t="shared" si="19"/>
        <v>-3212</v>
      </c>
    </row>
    <row r="67" spans="1:9" s="2918" customFormat="1" ht="24.75" customHeight="1">
      <c r="A67" s="2934"/>
      <c r="B67" s="2908" t="s">
        <v>3993</v>
      </c>
      <c r="C67" s="2912">
        <v>-205</v>
      </c>
      <c r="D67" s="2912">
        <v>-43</v>
      </c>
      <c r="E67" s="2912">
        <v>-233</v>
      </c>
      <c r="F67" s="2912">
        <v>-47</v>
      </c>
      <c r="G67" s="2912">
        <f t="shared" si="18"/>
        <v>-528</v>
      </c>
      <c r="H67" s="2935">
        <v>-245</v>
      </c>
    </row>
    <row r="68" spans="1:9" s="2918" customFormat="1" ht="24.75" customHeight="1">
      <c r="A68" s="2934"/>
      <c r="B68" s="2908" t="s">
        <v>3994</v>
      </c>
      <c r="C68" s="2935">
        <v>0.217</v>
      </c>
      <c r="D68" s="2935">
        <v>0</v>
      </c>
      <c r="E68" s="2935">
        <v>0</v>
      </c>
      <c r="F68" s="2935">
        <v>0</v>
      </c>
      <c r="G68" s="2935">
        <f t="shared" si="18"/>
        <v>0.217</v>
      </c>
      <c r="H68" s="2912">
        <v>0</v>
      </c>
    </row>
    <row r="69" spans="1:9" s="2918" customFormat="1" ht="24.75" customHeight="1">
      <c r="A69" s="2934"/>
      <c r="B69" s="2908" t="s">
        <v>3995</v>
      </c>
      <c r="C69" s="2912">
        <v>-1511</v>
      </c>
      <c r="D69" s="2912">
        <v>-1475</v>
      </c>
      <c r="E69" s="2912">
        <v>-1409</v>
      </c>
      <c r="F69" s="2912">
        <v>-1242</v>
      </c>
      <c r="G69" s="2912">
        <f t="shared" si="18"/>
        <v>-5637</v>
      </c>
      <c r="H69" s="2912">
        <v>-1241</v>
      </c>
    </row>
    <row r="70" spans="1:9" s="2918" customFormat="1" ht="24.75" customHeight="1">
      <c r="A70" s="2934"/>
      <c r="B70" s="2908" t="s">
        <v>3996</v>
      </c>
      <c r="C70" s="2912">
        <v>-1385.3</v>
      </c>
      <c r="D70" s="2912">
        <v>-1361</v>
      </c>
      <c r="E70" s="2912">
        <v>-1525</v>
      </c>
      <c r="F70" s="2912">
        <v>-1485</v>
      </c>
      <c r="G70" s="2912">
        <f t="shared" si="18"/>
        <v>-5756.3</v>
      </c>
      <c r="H70" s="2912">
        <f>-98+H71</f>
        <v>-1726</v>
      </c>
      <c r="I70" s="2936"/>
    </row>
    <row r="71" spans="1:9" s="2918" customFormat="1" ht="24.75" customHeight="1">
      <c r="A71" s="2934"/>
      <c r="B71" s="2901" t="s">
        <v>3990</v>
      </c>
      <c r="C71" s="2912">
        <v>-1287.3</v>
      </c>
      <c r="D71" s="2912">
        <v>-1350</v>
      </c>
      <c r="E71" s="2912">
        <v>-1427</v>
      </c>
      <c r="F71" s="2912">
        <v>-1475</v>
      </c>
      <c r="G71" s="2912">
        <f t="shared" si="18"/>
        <v>-5539.3</v>
      </c>
      <c r="H71" s="2912">
        <v>-1628</v>
      </c>
    </row>
    <row r="72" spans="1:9" s="2917" customFormat="1" ht="24.75" customHeight="1">
      <c r="A72" s="2932" t="s">
        <v>4000</v>
      </c>
      <c r="B72" s="2897" t="s">
        <v>4001</v>
      </c>
      <c r="C72" s="2915">
        <f t="shared" ref="C72:F72" si="20">C73+C76</f>
        <v>93</v>
      </c>
      <c r="D72" s="2915">
        <f t="shared" si="20"/>
        <v>607</v>
      </c>
      <c r="E72" s="2915">
        <f t="shared" si="20"/>
        <v>389</v>
      </c>
      <c r="F72" s="2915">
        <f t="shared" si="20"/>
        <v>1687</v>
      </c>
      <c r="G72" s="2915">
        <f t="shared" si="18"/>
        <v>2776</v>
      </c>
      <c r="H72" s="2898">
        <f>H73+H76</f>
        <v>470</v>
      </c>
    </row>
    <row r="73" spans="1:9" s="2917" customFormat="1" ht="24.75" customHeight="1">
      <c r="A73" s="2932"/>
      <c r="B73" s="2901" t="s">
        <v>3973</v>
      </c>
      <c r="C73" s="2933">
        <f t="shared" ref="C73:D73" si="21">C74+C75</f>
        <v>1521</v>
      </c>
      <c r="D73" s="2933">
        <f t="shared" si="21"/>
        <v>2096</v>
      </c>
      <c r="E73" s="2933">
        <f>E74+E75</f>
        <v>1979</v>
      </c>
      <c r="F73" s="2933">
        <f>F74+F75</f>
        <v>3140</v>
      </c>
      <c r="G73" s="2933">
        <f t="shared" si="18"/>
        <v>8736</v>
      </c>
      <c r="H73" s="2904">
        <f>H74+H75</f>
        <v>2072</v>
      </c>
    </row>
    <row r="74" spans="1:9" s="2917" customFormat="1" ht="24.75" customHeight="1">
      <c r="A74" s="2932"/>
      <c r="B74" s="2901" t="s">
        <v>4002</v>
      </c>
      <c r="C74" s="2904">
        <v>1439</v>
      </c>
      <c r="D74" s="2904">
        <v>2005</v>
      </c>
      <c r="E74" s="2904">
        <v>1737</v>
      </c>
      <c r="F74" s="2904">
        <v>1891</v>
      </c>
      <c r="G74" s="2904">
        <f t="shared" si="18"/>
        <v>7072</v>
      </c>
      <c r="H74" s="2933">
        <v>1948</v>
      </c>
      <c r="I74" s="2916"/>
    </row>
    <row r="75" spans="1:9" s="2917" customFormat="1" ht="24.75" customHeight="1">
      <c r="A75" s="2932"/>
      <c r="B75" s="2901" t="s">
        <v>4003</v>
      </c>
      <c r="C75" s="2933">
        <v>82</v>
      </c>
      <c r="D75" s="2933">
        <v>91</v>
      </c>
      <c r="E75" s="2933">
        <v>242</v>
      </c>
      <c r="F75" s="2933">
        <v>1249</v>
      </c>
      <c r="G75" s="2933">
        <f t="shared" si="18"/>
        <v>1664</v>
      </c>
      <c r="H75" s="2933">
        <v>124</v>
      </c>
    </row>
    <row r="76" spans="1:9" s="2917" customFormat="1" ht="24.75" customHeight="1">
      <c r="A76" s="2932"/>
      <c r="B76" s="2901" t="s">
        <v>3984</v>
      </c>
      <c r="C76" s="2933">
        <f t="shared" ref="C76:E76" si="22">C77+C78</f>
        <v>-1428</v>
      </c>
      <c r="D76" s="2933">
        <f t="shared" si="22"/>
        <v>-1489</v>
      </c>
      <c r="E76" s="2933">
        <f t="shared" si="22"/>
        <v>-1590</v>
      </c>
      <c r="F76" s="2933">
        <f>F77+F78</f>
        <v>-1453</v>
      </c>
      <c r="G76" s="2933">
        <f t="shared" si="18"/>
        <v>-5960</v>
      </c>
      <c r="H76" s="2904">
        <f>H77+H78</f>
        <v>-1602</v>
      </c>
    </row>
    <row r="77" spans="1:9" s="2917" customFormat="1" ht="24.75" customHeight="1">
      <c r="A77" s="2932"/>
      <c r="B77" s="2901" t="s">
        <v>4002</v>
      </c>
      <c r="C77" s="2904">
        <v>-1295</v>
      </c>
      <c r="D77" s="2904">
        <v>-1391</v>
      </c>
      <c r="E77" s="2904">
        <v>-1498</v>
      </c>
      <c r="F77" s="2904">
        <v>-1367</v>
      </c>
      <c r="G77" s="2904">
        <f t="shared" si="18"/>
        <v>-5551</v>
      </c>
      <c r="H77" s="2933">
        <v>-1511</v>
      </c>
      <c r="I77" s="2916"/>
    </row>
    <row r="78" spans="1:9" s="2917" customFormat="1" ht="24.75" customHeight="1">
      <c r="A78" s="2932"/>
      <c r="B78" s="2901" t="s">
        <v>4003</v>
      </c>
      <c r="C78" s="2933">
        <v>-133</v>
      </c>
      <c r="D78" s="2933">
        <v>-98</v>
      </c>
      <c r="E78" s="2933">
        <v>-92</v>
      </c>
      <c r="F78" s="2933">
        <v>-86</v>
      </c>
      <c r="G78" s="2933">
        <f t="shared" si="18"/>
        <v>-409</v>
      </c>
      <c r="H78" s="2937">
        <f>-36+H79</f>
        <v>-91</v>
      </c>
    </row>
    <row r="79" spans="1:9" s="2917" customFormat="1" ht="24.75" customHeight="1">
      <c r="A79" s="2932"/>
      <c r="B79" s="2908" t="s">
        <v>3990</v>
      </c>
      <c r="C79" s="2938">
        <v>-83</v>
      </c>
      <c r="D79" s="2938">
        <v>-75</v>
      </c>
      <c r="E79" s="2938">
        <v>-68</v>
      </c>
      <c r="F79" s="2937">
        <v>-57</v>
      </c>
      <c r="G79" s="2937">
        <f t="shared" si="18"/>
        <v>-283</v>
      </c>
      <c r="H79" s="2937">
        <v>-55</v>
      </c>
      <c r="I79" s="2916"/>
    </row>
    <row r="80" spans="1:9" s="2917" customFormat="1" ht="24.75" customHeight="1">
      <c r="A80" s="2932" t="s">
        <v>4004</v>
      </c>
      <c r="B80" s="2897" t="s">
        <v>4005</v>
      </c>
      <c r="C80" s="2939">
        <f t="shared" ref="C80:H80" si="23">C81+C83</f>
        <v>8232.5</v>
      </c>
      <c r="D80" s="2939">
        <f t="shared" si="23"/>
        <v>6116</v>
      </c>
      <c r="E80" s="2939">
        <f t="shared" si="23"/>
        <v>12470</v>
      </c>
      <c r="F80" s="2939">
        <f t="shared" si="23"/>
        <v>6365</v>
      </c>
      <c r="G80" s="2939">
        <f t="shared" si="18"/>
        <v>33183.5</v>
      </c>
      <c r="H80" s="2939">
        <f t="shared" si="23"/>
        <v>7646</v>
      </c>
    </row>
    <row r="81" spans="1:21" s="2917" customFormat="1" ht="24.75" customHeight="1">
      <c r="A81" s="2932" t="s">
        <v>4006</v>
      </c>
      <c r="B81" s="2897" t="s">
        <v>4007</v>
      </c>
      <c r="C81" s="2939">
        <f t="shared" ref="C81:H81" si="24">C82</f>
        <v>-7</v>
      </c>
      <c r="D81" s="2939">
        <f t="shared" si="24"/>
        <v>-48</v>
      </c>
      <c r="E81" s="2939">
        <f t="shared" si="24"/>
        <v>-31</v>
      </c>
      <c r="F81" s="2939">
        <f t="shared" si="24"/>
        <v>-37</v>
      </c>
      <c r="G81" s="2939">
        <f t="shared" si="18"/>
        <v>-123</v>
      </c>
      <c r="H81" s="2898">
        <f t="shared" si="24"/>
        <v>-20</v>
      </c>
    </row>
    <row r="82" spans="1:21" s="2918" customFormat="1" ht="24.75" customHeight="1">
      <c r="A82" s="2934"/>
      <c r="B82" s="2908" t="s">
        <v>4008</v>
      </c>
      <c r="C82" s="2935">
        <v>-7</v>
      </c>
      <c r="D82" s="2935">
        <v>-48</v>
      </c>
      <c r="E82" s="2935">
        <v>-31</v>
      </c>
      <c r="F82" s="2935">
        <v>-37</v>
      </c>
      <c r="G82" s="2935">
        <f t="shared" si="18"/>
        <v>-123</v>
      </c>
      <c r="H82" s="2909">
        <v>-20</v>
      </c>
    </row>
    <row r="83" spans="1:21" s="2917" customFormat="1" ht="24.75" customHeight="1">
      <c r="A83" s="2932" t="s">
        <v>4009</v>
      </c>
      <c r="B83" s="2897" t="s">
        <v>4010</v>
      </c>
      <c r="C83" s="2915">
        <f>C84+C89+C100+C115-1</f>
        <v>8239.5</v>
      </c>
      <c r="D83" s="2915">
        <f t="shared" ref="D83:H83" si="25">D84+D89+D100+D115</f>
        <v>6164</v>
      </c>
      <c r="E83" s="2915">
        <f t="shared" si="25"/>
        <v>12501</v>
      </c>
      <c r="F83" s="2915">
        <f t="shared" si="25"/>
        <v>6402</v>
      </c>
      <c r="G83" s="2915">
        <f t="shared" si="18"/>
        <v>33306.5</v>
      </c>
      <c r="H83" s="2939">
        <f t="shared" si="25"/>
        <v>7666</v>
      </c>
    </row>
    <row r="84" spans="1:21" s="2940" customFormat="1" ht="24.75" customHeight="1">
      <c r="A84" s="2932"/>
      <c r="B84" s="2897" t="s">
        <v>4011</v>
      </c>
      <c r="C84" s="2939">
        <f t="shared" ref="C84:H84" si="26">C85+C87</f>
        <v>15194</v>
      </c>
      <c r="D84" s="2939">
        <f t="shared" si="26"/>
        <v>15447</v>
      </c>
      <c r="E84" s="2939">
        <f t="shared" si="26"/>
        <v>20168</v>
      </c>
      <c r="F84" s="2939">
        <f t="shared" si="26"/>
        <v>16404</v>
      </c>
      <c r="G84" s="2939">
        <f t="shared" si="18"/>
        <v>67213</v>
      </c>
      <c r="H84" s="2906">
        <f t="shared" si="26"/>
        <v>6508</v>
      </c>
    </row>
    <row r="85" spans="1:21" s="2917" customFormat="1" ht="24.75" customHeight="1">
      <c r="A85" s="2932"/>
      <c r="B85" s="2901" t="s">
        <v>4012</v>
      </c>
      <c r="C85" s="2902">
        <v>-207908</v>
      </c>
      <c r="D85" s="2902">
        <v>-196589</v>
      </c>
      <c r="E85" s="2902">
        <v>-173785</v>
      </c>
      <c r="F85" s="2902">
        <v>-191309</v>
      </c>
      <c r="G85" s="2902">
        <f t="shared" si="18"/>
        <v>-769591</v>
      </c>
      <c r="H85" s="2912">
        <f>-75+H86</f>
        <v>-206575</v>
      </c>
    </row>
    <row r="86" spans="1:21" s="2918" customFormat="1" ht="24.75" customHeight="1">
      <c r="A86" s="2934"/>
      <c r="B86" s="2908" t="s">
        <v>3990</v>
      </c>
      <c r="C86" s="2912">
        <v>-207296</v>
      </c>
      <c r="D86" s="2912">
        <v>-195523</v>
      </c>
      <c r="E86" s="2912">
        <v>-172640</v>
      </c>
      <c r="F86" s="2912">
        <v>-190000</v>
      </c>
      <c r="G86" s="2912">
        <f t="shared" si="18"/>
        <v>-765459</v>
      </c>
      <c r="H86" s="2909">
        <v>-206500</v>
      </c>
    </row>
    <row r="87" spans="1:21" s="2917" customFormat="1" ht="24.75" customHeight="1">
      <c r="A87" s="2932"/>
      <c r="B87" s="2901" t="s">
        <v>4013</v>
      </c>
      <c r="C87" s="2904">
        <v>223102</v>
      </c>
      <c r="D87" s="2904">
        <v>212036</v>
      </c>
      <c r="E87" s="2904">
        <v>193953</v>
      </c>
      <c r="F87" s="2904">
        <v>207713</v>
      </c>
      <c r="G87" s="2904">
        <f t="shared" si="18"/>
        <v>836804</v>
      </c>
      <c r="H87" s="2909">
        <f>1583+H88</f>
        <v>213083</v>
      </c>
    </row>
    <row r="88" spans="1:21" s="2918" customFormat="1" ht="24.75" customHeight="1">
      <c r="A88" s="2934"/>
      <c r="B88" s="2908" t="s">
        <v>3990</v>
      </c>
      <c r="C88" s="2909">
        <v>220904</v>
      </c>
      <c r="D88" s="2909">
        <v>210300</v>
      </c>
      <c r="E88" s="2909">
        <v>192661</v>
      </c>
      <c r="F88" s="2909">
        <v>205000</v>
      </c>
      <c r="G88" s="2909">
        <f t="shared" si="18"/>
        <v>828865</v>
      </c>
      <c r="H88" s="2909">
        <v>211500</v>
      </c>
    </row>
    <row r="89" spans="1:21" s="2917" customFormat="1" ht="24.75" customHeight="1">
      <c r="A89" s="2932"/>
      <c r="B89" s="2897" t="s">
        <v>4014</v>
      </c>
      <c r="C89" s="2939">
        <f t="shared" ref="C89:H89" si="27">C90+C95</f>
        <v>18573</v>
      </c>
      <c r="D89" s="2939">
        <f t="shared" si="27"/>
        <v>22003</v>
      </c>
      <c r="E89" s="2939">
        <f t="shared" si="27"/>
        <v>9587</v>
      </c>
      <c r="F89" s="2939">
        <f>F90+F95</f>
        <v>9597</v>
      </c>
      <c r="G89" s="2939">
        <f t="shared" si="18"/>
        <v>59760</v>
      </c>
      <c r="H89" s="2939">
        <f t="shared" si="27"/>
        <v>10561</v>
      </c>
    </row>
    <row r="90" spans="1:21" s="2917" customFormat="1" ht="24.75" customHeight="1">
      <c r="A90" s="2932"/>
      <c r="B90" s="2897" t="s">
        <v>4015</v>
      </c>
      <c r="C90" s="2939">
        <f t="shared" ref="C90:H90" si="28">C91+C93</f>
        <v>212</v>
      </c>
      <c r="D90" s="2939">
        <f t="shared" si="28"/>
        <v>-526</v>
      </c>
      <c r="E90" s="2939">
        <f t="shared" si="28"/>
        <v>-3547</v>
      </c>
      <c r="F90" s="2939">
        <v>-7911</v>
      </c>
      <c r="G90" s="2939">
        <f t="shared" si="18"/>
        <v>-11772</v>
      </c>
      <c r="H90" s="2906">
        <f t="shared" si="28"/>
        <v>-11564</v>
      </c>
      <c r="I90" s="2916"/>
    </row>
    <row r="91" spans="1:21" s="2917" customFormat="1" ht="24.75" customHeight="1">
      <c r="A91" s="2932"/>
      <c r="B91" s="2901" t="s">
        <v>4016</v>
      </c>
      <c r="C91" s="2902">
        <v>13665</v>
      </c>
      <c r="D91" s="2902">
        <v>13749</v>
      </c>
      <c r="E91" s="2902">
        <v>10549</v>
      </c>
      <c r="F91" s="2902">
        <v>10089</v>
      </c>
      <c r="G91" s="2902">
        <f t="shared" si="18"/>
        <v>48052</v>
      </c>
      <c r="H91" s="2902">
        <f>-1964+H92</f>
        <v>8236</v>
      </c>
    </row>
    <row r="92" spans="1:21" s="2918" customFormat="1" ht="24.75" customHeight="1">
      <c r="A92" s="2934"/>
      <c r="B92" s="2908" t="s">
        <v>3990</v>
      </c>
      <c r="C92" s="2912">
        <v>11678</v>
      </c>
      <c r="D92" s="2912">
        <v>13250</v>
      </c>
      <c r="E92" s="2912">
        <v>9776</v>
      </c>
      <c r="F92" s="2912">
        <v>10500</v>
      </c>
      <c r="G92" s="2912">
        <f t="shared" si="18"/>
        <v>45204</v>
      </c>
      <c r="H92" s="2912">
        <v>10200</v>
      </c>
      <c r="I92" s="2936"/>
    </row>
    <row r="93" spans="1:21" s="2917" customFormat="1" ht="24.75" customHeight="1">
      <c r="A93" s="2932"/>
      <c r="B93" s="2901" t="s">
        <v>4017</v>
      </c>
      <c r="C93" s="2902">
        <v>-13453</v>
      </c>
      <c r="D93" s="2902">
        <v>-14275</v>
      </c>
      <c r="E93" s="2902">
        <v>-14096</v>
      </c>
      <c r="F93" s="2902">
        <v>-18000</v>
      </c>
      <c r="G93" s="2902">
        <f t="shared" si="18"/>
        <v>-59824</v>
      </c>
      <c r="H93" s="2902">
        <f>H94</f>
        <v>-19800</v>
      </c>
      <c r="J93" s="2916"/>
      <c r="K93" s="2916"/>
    </row>
    <row r="94" spans="1:21" s="2918" customFormat="1" ht="24.75" customHeight="1">
      <c r="A94" s="2934"/>
      <c r="B94" s="2908" t="s">
        <v>3990</v>
      </c>
      <c r="C94" s="2912">
        <v>-13453</v>
      </c>
      <c r="D94" s="2912">
        <v>-14275</v>
      </c>
      <c r="E94" s="2912">
        <v>-14096</v>
      </c>
      <c r="F94" s="2912">
        <v>-18000</v>
      </c>
      <c r="G94" s="2912">
        <f t="shared" si="18"/>
        <v>-59824</v>
      </c>
      <c r="H94" s="2912">
        <v>-19800</v>
      </c>
    </row>
    <row r="95" spans="1:21" s="2917" customFormat="1" ht="24.75" customHeight="1">
      <c r="A95" s="2932"/>
      <c r="B95" s="2897" t="s">
        <v>4018</v>
      </c>
      <c r="C95" s="2939">
        <f t="shared" ref="C95:H95" si="29">C96+C98</f>
        <v>18361</v>
      </c>
      <c r="D95" s="2939">
        <f t="shared" si="29"/>
        <v>22529</v>
      </c>
      <c r="E95" s="2939">
        <f t="shared" si="29"/>
        <v>13134</v>
      </c>
      <c r="F95" s="2939">
        <f>F96+F98</f>
        <v>17508</v>
      </c>
      <c r="G95" s="2939">
        <f t="shared" si="18"/>
        <v>71532</v>
      </c>
      <c r="H95" s="2906">
        <f t="shared" si="29"/>
        <v>22125</v>
      </c>
    </row>
    <row r="96" spans="1:21" s="2917" customFormat="1" ht="24.75" customHeight="1">
      <c r="A96" s="2932"/>
      <c r="B96" s="2901" t="s">
        <v>4016</v>
      </c>
      <c r="C96" s="2902">
        <v>5419</v>
      </c>
      <c r="D96" s="2902">
        <v>8286</v>
      </c>
      <c r="E96" s="2902">
        <v>2695</v>
      </c>
      <c r="F96" s="2902">
        <f>1493+F97</f>
        <v>5293</v>
      </c>
      <c r="G96" s="2902">
        <f t="shared" si="18"/>
        <v>21693</v>
      </c>
      <c r="H96" s="2912">
        <f>2846+H97</f>
        <v>8446</v>
      </c>
      <c r="I96" s="2916"/>
      <c r="J96" s="2916"/>
      <c r="K96" s="2916"/>
      <c r="L96" s="2916"/>
      <c r="M96" s="2916"/>
      <c r="N96" s="2916"/>
      <c r="O96" s="2916"/>
      <c r="P96" s="2916"/>
      <c r="Q96" s="2916"/>
      <c r="R96" s="2916"/>
      <c r="S96" s="2916"/>
      <c r="T96" s="2916"/>
      <c r="U96" s="2916"/>
    </row>
    <row r="97" spans="1:21" s="2918" customFormat="1" ht="24.75" customHeight="1">
      <c r="A97" s="2934"/>
      <c r="B97" s="2908" t="s">
        <v>3990</v>
      </c>
      <c r="C97" s="2912">
        <v>5417</v>
      </c>
      <c r="D97" s="2912">
        <v>6528</v>
      </c>
      <c r="E97" s="2912">
        <v>2777</v>
      </c>
      <c r="F97" s="2912">
        <v>3800</v>
      </c>
      <c r="G97" s="2912">
        <f t="shared" si="18"/>
        <v>18522</v>
      </c>
      <c r="H97" s="2912">
        <v>5600</v>
      </c>
    </row>
    <row r="98" spans="1:21" s="2917" customFormat="1" ht="24.75" customHeight="1">
      <c r="A98" s="2932"/>
      <c r="B98" s="2901" t="s">
        <v>4017</v>
      </c>
      <c r="C98" s="2902">
        <v>12942</v>
      </c>
      <c r="D98" s="2902">
        <v>14243</v>
      </c>
      <c r="E98" s="2902">
        <v>10439</v>
      </c>
      <c r="F98" s="2902">
        <v>12215</v>
      </c>
      <c r="G98" s="2902">
        <f t="shared" si="18"/>
        <v>49839</v>
      </c>
      <c r="H98" s="2902">
        <f>H99+179</f>
        <v>13679</v>
      </c>
      <c r="I98" s="2916"/>
      <c r="J98" s="2916"/>
      <c r="K98" s="2916"/>
      <c r="L98" s="2916"/>
      <c r="M98" s="2916"/>
      <c r="N98" s="2916"/>
      <c r="O98" s="2916"/>
      <c r="P98" s="2916"/>
      <c r="Q98" s="2916"/>
      <c r="R98" s="2916"/>
      <c r="S98" s="2916"/>
      <c r="T98" s="2916"/>
      <c r="U98" s="2916"/>
    </row>
    <row r="99" spans="1:21" s="2918" customFormat="1" ht="24.75" customHeight="1">
      <c r="A99" s="2934"/>
      <c r="B99" s="2908" t="s">
        <v>3990</v>
      </c>
      <c r="C99" s="2912">
        <v>13117</v>
      </c>
      <c r="D99" s="2912">
        <v>14358</v>
      </c>
      <c r="E99" s="2912">
        <v>10387</v>
      </c>
      <c r="F99" s="2912">
        <v>12000</v>
      </c>
      <c r="G99" s="2912">
        <f t="shared" si="18"/>
        <v>49862</v>
      </c>
      <c r="H99" s="2937">
        <v>13500</v>
      </c>
    </row>
    <row r="100" spans="1:21" s="2896" customFormat="1" ht="24.75" customHeight="1">
      <c r="A100" s="2932"/>
      <c r="B100" s="2897" t="s">
        <v>4019</v>
      </c>
      <c r="C100" s="2939">
        <f t="shared" ref="C100:H100" si="30">C101+C108</f>
        <v>-20522.5</v>
      </c>
      <c r="D100" s="2939">
        <f t="shared" si="30"/>
        <v>-20640</v>
      </c>
      <c r="E100" s="2939">
        <f t="shared" si="30"/>
        <v>-20685</v>
      </c>
      <c r="F100" s="2939">
        <f t="shared" si="30"/>
        <v>-15238</v>
      </c>
      <c r="G100" s="2939">
        <f t="shared" si="18"/>
        <v>-77085.5</v>
      </c>
      <c r="H100" s="2939">
        <f t="shared" si="30"/>
        <v>-3313</v>
      </c>
    </row>
    <row r="101" spans="1:21" s="2896" customFormat="1" ht="24.75" customHeight="1">
      <c r="A101" s="2932"/>
      <c r="B101" s="2897" t="s">
        <v>4020</v>
      </c>
      <c r="C101" s="2939">
        <f t="shared" ref="C101:H101" si="31">C102+C103+C104+C105+C107</f>
        <v>-55520.5</v>
      </c>
      <c r="D101" s="2939">
        <f t="shared" si="31"/>
        <v>-24924</v>
      </c>
      <c r="E101" s="2939">
        <f t="shared" si="31"/>
        <v>-55837</v>
      </c>
      <c r="F101" s="2939">
        <f t="shared" si="31"/>
        <v>96001</v>
      </c>
      <c r="G101" s="2939">
        <f t="shared" si="18"/>
        <v>-40280.5</v>
      </c>
      <c r="H101" s="2898">
        <f t="shared" si="31"/>
        <v>-7922</v>
      </c>
      <c r="I101" s="2903"/>
    </row>
    <row r="102" spans="1:21" s="2896" customFormat="1" ht="24.75" customHeight="1">
      <c r="A102" s="2932"/>
      <c r="B102" s="2901" t="s">
        <v>4021</v>
      </c>
      <c r="C102" s="2933">
        <v>0</v>
      </c>
      <c r="D102" s="2933">
        <v>0</v>
      </c>
      <c r="E102" s="2933">
        <v>0</v>
      </c>
      <c r="F102" s="2933">
        <v>0</v>
      </c>
      <c r="G102" s="2933">
        <f t="shared" si="18"/>
        <v>0</v>
      </c>
      <c r="H102" s="2933">
        <v>0</v>
      </c>
    </row>
    <row r="103" spans="1:21" s="2896" customFormat="1" ht="24.75" customHeight="1">
      <c r="A103" s="2932"/>
      <c r="B103" s="2901" t="s">
        <v>4022</v>
      </c>
      <c r="C103" s="2933">
        <v>0</v>
      </c>
      <c r="D103" s="2933">
        <v>0</v>
      </c>
      <c r="E103" s="2933">
        <v>0</v>
      </c>
      <c r="F103" s="2933">
        <v>0</v>
      </c>
      <c r="G103" s="2933">
        <f t="shared" si="18"/>
        <v>0</v>
      </c>
      <c r="H103" s="2914">
        <v>0</v>
      </c>
    </row>
    <row r="104" spans="1:21" s="2896" customFormat="1" ht="24.75" customHeight="1">
      <c r="A104" s="2932"/>
      <c r="B104" s="2901" t="s">
        <v>23</v>
      </c>
      <c r="C104" s="2914">
        <v>-28696.3</v>
      </c>
      <c r="D104" s="2914">
        <v>-4949</v>
      </c>
      <c r="E104" s="2914">
        <v>-29621</v>
      </c>
      <c r="F104" s="2914">
        <v>124462</v>
      </c>
      <c r="G104" s="2914">
        <f t="shared" si="18"/>
        <v>61195.7</v>
      </c>
      <c r="H104" s="2902">
        <v>21780</v>
      </c>
    </row>
    <row r="105" spans="1:21" s="2896" customFormat="1" ht="24.75" customHeight="1">
      <c r="A105" s="2932"/>
      <c r="B105" s="2901" t="s">
        <v>4023</v>
      </c>
      <c r="C105" s="2902">
        <v>-26626</v>
      </c>
      <c r="D105" s="2902">
        <v>-20220</v>
      </c>
      <c r="E105" s="2902">
        <v>-26623</v>
      </c>
      <c r="F105" s="2902">
        <v>-28000</v>
      </c>
      <c r="G105" s="2902">
        <f t="shared" si="18"/>
        <v>-101469</v>
      </c>
      <c r="H105" s="2912">
        <f>H106</f>
        <v>-29500</v>
      </c>
    </row>
    <row r="106" spans="1:21" s="2911" customFormat="1" ht="24.75" customHeight="1">
      <c r="A106" s="2934"/>
      <c r="B106" s="2908" t="s">
        <v>3990</v>
      </c>
      <c r="C106" s="2912">
        <v>-26626</v>
      </c>
      <c r="D106" s="2912">
        <v>-20220</v>
      </c>
      <c r="E106" s="2912">
        <v>-26623</v>
      </c>
      <c r="F106" s="2912">
        <v>-28000</v>
      </c>
      <c r="G106" s="2912">
        <f t="shared" si="18"/>
        <v>-101469</v>
      </c>
      <c r="H106" s="2935">
        <v>-29500</v>
      </c>
    </row>
    <row r="107" spans="1:21" s="2896" customFormat="1" ht="24.75" customHeight="1">
      <c r="A107" s="2932"/>
      <c r="B107" s="2901" t="s">
        <v>4024</v>
      </c>
      <c r="C107" s="2933">
        <v>-198.2</v>
      </c>
      <c r="D107" s="2933">
        <v>245</v>
      </c>
      <c r="E107" s="2933">
        <v>407</v>
      </c>
      <c r="F107" s="2933">
        <v>-461</v>
      </c>
      <c r="G107" s="2933">
        <f t="shared" si="18"/>
        <v>-7.1999999999999886</v>
      </c>
      <c r="H107" s="2933">
        <v>-202</v>
      </c>
    </row>
    <row r="108" spans="1:21" s="2896" customFormat="1" ht="24.75" customHeight="1">
      <c r="A108" s="2932"/>
      <c r="B108" s="2897" t="s">
        <v>4018</v>
      </c>
      <c r="C108" s="2939">
        <f t="shared" ref="C108:H108" si="32">C109+C110+C111+C112+C114</f>
        <v>34998</v>
      </c>
      <c r="D108" s="2939">
        <f t="shared" si="32"/>
        <v>4284</v>
      </c>
      <c r="E108" s="2939">
        <f t="shared" si="32"/>
        <v>35152</v>
      </c>
      <c r="F108" s="2939">
        <f t="shared" si="32"/>
        <v>-111239</v>
      </c>
      <c r="G108" s="2939">
        <f t="shared" si="18"/>
        <v>-36805</v>
      </c>
      <c r="H108" s="2898">
        <f t="shared" si="32"/>
        <v>4609</v>
      </c>
    </row>
    <row r="109" spans="1:21" s="2896" customFormat="1" ht="24.75" customHeight="1">
      <c r="A109" s="2932"/>
      <c r="B109" s="2901" t="s">
        <v>4021</v>
      </c>
      <c r="C109" s="2933">
        <v>922</v>
      </c>
      <c r="D109" s="2933">
        <v>4515</v>
      </c>
      <c r="E109" s="2933">
        <v>2903</v>
      </c>
      <c r="F109" s="2933">
        <v>1443</v>
      </c>
      <c r="G109" s="2933">
        <f t="shared" si="18"/>
        <v>9783</v>
      </c>
      <c r="H109" s="2902">
        <v>1767</v>
      </c>
    </row>
    <row r="110" spans="1:21" s="2896" customFormat="1" ht="24.75" customHeight="1">
      <c r="A110" s="2932"/>
      <c r="B110" s="2901" t="s">
        <v>4022</v>
      </c>
      <c r="C110" s="2933">
        <v>0</v>
      </c>
      <c r="D110" s="2933">
        <v>0</v>
      </c>
      <c r="E110" s="2933">
        <v>0</v>
      </c>
      <c r="F110" s="2933">
        <v>0</v>
      </c>
      <c r="G110" s="2933">
        <f t="shared" si="18"/>
        <v>0</v>
      </c>
      <c r="H110" s="2902">
        <v>0</v>
      </c>
    </row>
    <row r="111" spans="1:21" s="2896" customFormat="1" ht="24.75" customHeight="1">
      <c r="A111" s="2932"/>
      <c r="B111" s="2901" t="s">
        <v>23</v>
      </c>
      <c r="C111" s="2902">
        <v>40217</v>
      </c>
      <c r="D111" s="2902">
        <v>13867</v>
      </c>
      <c r="E111" s="2902">
        <v>38160</v>
      </c>
      <c r="F111" s="2902">
        <v>-106548</v>
      </c>
      <c r="G111" s="2902">
        <f t="shared" si="18"/>
        <v>-14304</v>
      </c>
      <c r="H111" s="2902">
        <v>9153</v>
      </c>
    </row>
    <row r="112" spans="1:21" s="2896" customFormat="1" ht="24.75" customHeight="1">
      <c r="A112" s="2932"/>
      <c r="B112" s="2901" t="s">
        <v>4023</v>
      </c>
      <c r="C112" s="2902">
        <v>-8531</v>
      </c>
      <c r="D112" s="2902">
        <v>-14483</v>
      </c>
      <c r="E112" s="2902">
        <v>-8589</v>
      </c>
      <c r="F112" s="2902">
        <v>-9305</v>
      </c>
      <c r="G112" s="2902">
        <f t="shared" si="18"/>
        <v>-40908</v>
      </c>
      <c r="H112" s="2912">
        <f>-732+H113</f>
        <v>-9432</v>
      </c>
      <c r="I112" s="2903"/>
    </row>
    <row r="113" spans="1:8" s="2911" customFormat="1" ht="24.75" customHeight="1">
      <c r="A113" s="2934"/>
      <c r="B113" s="2908" t="s">
        <v>3990</v>
      </c>
      <c r="C113" s="2912">
        <v>-7918</v>
      </c>
      <c r="D113" s="2912">
        <v>-13540</v>
      </c>
      <c r="E113" s="2912">
        <v>-7906</v>
      </c>
      <c r="F113" s="2912">
        <v>-9000</v>
      </c>
      <c r="G113" s="2912">
        <f t="shared" si="18"/>
        <v>-38364</v>
      </c>
      <c r="H113" s="2935">
        <v>-8700</v>
      </c>
    </row>
    <row r="114" spans="1:8" s="2896" customFormat="1" ht="24.75" customHeight="1">
      <c r="A114" s="2932"/>
      <c r="B114" s="2901" t="s">
        <v>4024</v>
      </c>
      <c r="C114" s="2933">
        <v>2390</v>
      </c>
      <c r="D114" s="2933">
        <v>385</v>
      </c>
      <c r="E114" s="2933">
        <v>2678</v>
      </c>
      <c r="F114" s="2933">
        <v>3171</v>
      </c>
      <c r="G114" s="2933">
        <f t="shared" si="18"/>
        <v>8624</v>
      </c>
      <c r="H114" s="2933">
        <v>3121</v>
      </c>
    </row>
    <row r="115" spans="1:8" s="2896" customFormat="1" ht="24.75" customHeight="1">
      <c r="A115" s="2932"/>
      <c r="B115" s="2897" t="s">
        <v>4025</v>
      </c>
      <c r="C115" s="2939">
        <f t="shared" ref="C115:H115" si="33">SUM(C116:C120)</f>
        <v>-5004</v>
      </c>
      <c r="D115" s="2939">
        <f t="shared" si="33"/>
        <v>-10646</v>
      </c>
      <c r="E115" s="2939">
        <f t="shared" si="33"/>
        <v>3431</v>
      </c>
      <c r="F115" s="2939">
        <f t="shared" si="33"/>
        <v>-4361</v>
      </c>
      <c r="G115" s="2939">
        <f t="shared" si="18"/>
        <v>-16580</v>
      </c>
      <c r="H115" s="2939">
        <f t="shared" si="33"/>
        <v>-6090</v>
      </c>
    </row>
    <row r="116" spans="1:8" s="2896" customFormat="1" ht="24.75" customHeight="1">
      <c r="A116" s="2932"/>
      <c r="B116" s="2901" t="s">
        <v>4026</v>
      </c>
      <c r="C116" s="2933">
        <v>0</v>
      </c>
      <c r="D116" s="2933">
        <v>0</v>
      </c>
      <c r="E116" s="2933">
        <v>0</v>
      </c>
      <c r="F116" s="2933">
        <v>0</v>
      </c>
      <c r="G116" s="2933">
        <f t="shared" si="18"/>
        <v>0</v>
      </c>
      <c r="H116" s="2933">
        <v>0</v>
      </c>
    </row>
    <row r="117" spans="1:8" s="2896" customFormat="1" ht="24.75" customHeight="1">
      <c r="A117" s="2932"/>
      <c r="B117" s="2901" t="s">
        <v>4027</v>
      </c>
      <c r="C117" s="2933">
        <v>19</v>
      </c>
      <c r="D117" s="2933">
        <v>1</v>
      </c>
      <c r="E117" s="2933">
        <v>-3</v>
      </c>
      <c r="F117" s="2933">
        <v>30</v>
      </c>
      <c r="G117" s="2933">
        <f t="shared" si="18"/>
        <v>47</v>
      </c>
      <c r="H117" s="2933">
        <v>-14</v>
      </c>
    </row>
    <row r="118" spans="1:8" s="2896" customFormat="1" ht="24.75" customHeight="1">
      <c r="A118" s="2932"/>
      <c r="B118" s="2901" t="s">
        <v>4028</v>
      </c>
      <c r="C118" s="2933">
        <v>0</v>
      </c>
      <c r="D118" s="2933">
        <v>-47</v>
      </c>
      <c r="E118" s="2933">
        <v>-98</v>
      </c>
      <c r="F118" s="2933">
        <v>-47</v>
      </c>
      <c r="G118" s="2933">
        <f t="shared" si="18"/>
        <v>-192</v>
      </c>
      <c r="H118" s="2933">
        <v>-4</v>
      </c>
    </row>
    <row r="119" spans="1:8" s="2896" customFormat="1" ht="24.75" customHeight="1">
      <c r="A119" s="2932"/>
      <c r="B119" s="2901" t="s">
        <v>4029</v>
      </c>
      <c r="C119" s="2933">
        <v>-5023</v>
      </c>
      <c r="D119" s="2933">
        <v>-10600</v>
      </c>
      <c r="E119" s="2933">
        <v>3532</v>
      </c>
      <c r="F119" s="2933">
        <v>-4344</v>
      </c>
      <c r="G119" s="2933">
        <f t="shared" si="18"/>
        <v>-16435</v>
      </c>
      <c r="H119" s="2933">
        <v>-6072</v>
      </c>
    </row>
    <row r="120" spans="1:8" s="2896" customFormat="1" ht="24.75" customHeight="1">
      <c r="A120" s="2932"/>
      <c r="B120" s="2901" t="s">
        <v>4030</v>
      </c>
      <c r="C120" s="2941">
        <v>0</v>
      </c>
      <c r="D120" s="2941">
        <v>0</v>
      </c>
      <c r="E120" s="2941">
        <v>0</v>
      </c>
      <c r="F120" s="2941">
        <v>0</v>
      </c>
      <c r="G120" s="2941">
        <f t="shared" si="18"/>
        <v>0</v>
      </c>
      <c r="H120" s="2938">
        <v>0</v>
      </c>
    </row>
    <row r="121" spans="1:8" s="2896" customFormat="1" ht="24.75" customHeight="1">
      <c r="A121" s="2932" t="s">
        <v>4031</v>
      </c>
      <c r="B121" s="2897" t="s">
        <v>4032</v>
      </c>
      <c r="C121" s="2939">
        <f>-(C80+C7)-1</f>
        <v>-932.41700000000128</v>
      </c>
      <c r="D121" s="2939">
        <f t="shared" ref="D121:H121" si="34">-(D80+D7)</f>
        <v>1365</v>
      </c>
      <c r="E121" s="2939">
        <f t="shared" si="34"/>
        <v>-483</v>
      </c>
      <c r="F121" s="2939">
        <f t="shared" si="34"/>
        <v>3053</v>
      </c>
      <c r="G121" s="2939">
        <f t="shared" si="18"/>
        <v>3002.5829999999987</v>
      </c>
      <c r="H121" s="2939">
        <f t="shared" si="34"/>
        <v>-2267</v>
      </c>
    </row>
    <row r="122" spans="1:8" s="2896" customFormat="1" ht="7.5" customHeight="1" thickBot="1">
      <c r="A122" s="2942"/>
      <c r="B122" s="2943"/>
      <c r="C122" s="2944"/>
      <c r="D122" s="2945"/>
      <c r="E122" s="2945"/>
      <c r="F122" s="2946"/>
      <c r="G122" s="2947"/>
      <c r="H122" s="2946"/>
    </row>
    <row r="123" spans="1:8" s="2888" customFormat="1" ht="24.75" customHeight="1">
      <c r="A123" s="2948" t="s">
        <v>4033</v>
      </c>
      <c r="B123" s="2949"/>
      <c r="C123" s="2948" t="s">
        <v>4034</v>
      </c>
      <c r="D123" s="2950"/>
    </row>
    <row r="124" spans="1:8" s="2888" customFormat="1" ht="20.25">
      <c r="A124" s="2951" t="s">
        <v>240</v>
      </c>
      <c r="D124" s="2950"/>
    </row>
    <row r="125" spans="1:8" ht="20.25">
      <c r="A125" s="2951" t="s">
        <v>4035</v>
      </c>
      <c r="C125" s="2952"/>
      <c r="D125" s="2952"/>
      <c r="E125" s="2952"/>
      <c r="F125" s="2952"/>
      <c r="G125" s="2952"/>
      <c r="H125" s="2952"/>
    </row>
    <row r="126" spans="1:8" ht="23.25">
      <c r="C126" s="2954"/>
      <c r="D126" s="2954"/>
      <c r="E126" s="2954"/>
      <c r="F126" s="2954"/>
    </row>
    <row r="128" spans="1:8">
      <c r="C128" s="2952"/>
      <c r="D128" s="2952"/>
      <c r="E128" s="2952"/>
      <c r="F128" s="2952"/>
      <c r="G128" s="2952"/>
      <c r="H128" s="2952"/>
    </row>
    <row r="129" spans="3:8">
      <c r="C129" s="2952"/>
      <c r="D129" s="2952"/>
      <c r="E129" s="2952"/>
      <c r="F129" s="2952"/>
      <c r="G129" s="2952"/>
      <c r="H129" s="2952"/>
    </row>
    <row r="132" spans="3:8">
      <c r="C132" s="2952"/>
      <c r="D132" s="2952"/>
      <c r="E132" s="2952"/>
      <c r="F132" s="2952"/>
      <c r="G132" s="2952"/>
      <c r="H132" s="2952"/>
    </row>
    <row r="135" spans="3:8">
      <c r="C135" s="2952"/>
      <c r="D135" s="2952"/>
      <c r="E135" s="2952"/>
      <c r="F135" s="2952"/>
      <c r="G135" s="2952"/>
      <c r="H135" s="2952"/>
    </row>
    <row r="137" spans="3:8">
      <c r="C137" s="2952"/>
      <c r="D137" s="2952"/>
      <c r="E137" s="2952"/>
      <c r="F137" s="2952"/>
      <c r="G137" s="2952"/>
      <c r="H137" s="2952"/>
    </row>
    <row r="139" spans="3:8">
      <c r="C139" s="2952"/>
      <c r="D139" s="2952"/>
      <c r="E139" s="2952"/>
      <c r="F139" s="2952"/>
      <c r="G139" s="2952"/>
      <c r="H139" s="2952"/>
    </row>
  </sheetData>
  <mergeCells count="9">
    <mergeCell ref="A57:A58"/>
    <mergeCell ref="B57:B58"/>
    <mergeCell ref="C57:E57"/>
    <mergeCell ref="G57:G58"/>
    <mergeCell ref="A1:H2"/>
    <mergeCell ref="A4:A5"/>
    <mergeCell ref="B4:B5"/>
    <mergeCell ref="C4:F4"/>
    <mergeCell ref="G4:G5"/>
  </mergeCells>
  <pageMargins left="0" right="0" top="0" bottom="0" header="0" footer="0"/>
  <pageSetup paperSize="9" scale="44" orientation="portrait" r:id="rId1"/>
  <headerFooter scaleWithDoc="0" alignWithMargins="0"/>
  <rowBreaks count="1" manualBreakCount="1">
    <brk id="5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9"/>
  <sheetViews>
    <sheetView zoomScaleNormal="100" workbookViewId="0">
      <pane xSplit="17" ySplit="2" topLeftCell="R3" activePane="bottomRight" state="frozen"/>
      <selection pane="topRight" activeCell="R1" sqref="R1"/>
      <selection pane="bottomLeft" activeCell="A3" sqref="A3"/>
      <selection pane="bottomRight" activeCell="AE4" sqref="AE4"/>
    </sheetView>
  </sheetViews>
  <sheetFormatPr defaultColWidth="30.42578125" defaultRowHeight="12.75"/>
  <cols>
    <col min="1" max="1" width="35.140625" style="2958" customWidth="1"/>
    <col min="2" max="10" width="10.85546875" style="2959" hidden="1" customWidth="1"/>
    <col min="11" max="15" width="11.7109375" style="2959" hidden="1" customWidth="1"/>
    <col min="16" max="17" width="11.85546875" style="2959" hidden="1" customWidth="1"/>
    <col min="18" max="30" width="11.85546875" style="2959" bestFit="1" customWidth="1"/>
    <col min="31" max="256" width="30.42578125" style="2959"/>
    <col min="257" max="257" width="34.85546875" style="2959" customWidth="1"/>
    <col min="258" max="266" width="10.85546875" style="2959" customWidth="1"/>
    <col min="267" max="278" width="11.7109375" style="2959" customWidth="1"/>
    <col min="279" max="279" width="30.42578125" style="2959"/>
    <col min="280" max="280" width="37" style="2959" customWidth="1"/>
    <col min="281" max="512" width="30.42578125" style="2959"/>
    <col min="513" max="513" width="34.85546875" style="2959" customWidth="1"/>
    <col min="514" max="522" width="10.85546875" style="2959" customWidth="1"/>
    <col min="523" max="534" width="11.7109375" style="2959" customWidth="1"/>
    <col min="535" max="535" width="30.42578125" style="2959"/>
    <col min="536" max="536" width="37" style="2959" customWidth="1"/>
    <col min="537" max="768" width="30.42578125" style="2959"/>
    <col min="769" max="769" width="34.85546875" style="2959" customWidth="1"/>
    <col min="770" max="778" width="10.85546875" style="2959" customWidth="1"/>
    <col min="779" max="790" width="11.7109375" style="2959" customWidth="1"/>
    <col min="791" max="791" width="30.42578125" style="2959"/>
    <col min="792" max="792" width="37" style="2959" customWidth="1"/>
    <col min="793" max="1024" width="30.42578125" style="2959"/>
    <col min="1025" max="1025" width="34.85546875" style="2959" customWidth="1"/>
    <col min="1026" max="1034" width="10.85546875" style="2959" customWidth="1"/>
    <col min="1035" max="1046" width="11.7109375" style="2959" customWidth="1"/>
    <col min="1047" max="1047" width="30.42578125" style="2959"/>
    <col min="1048" max="1048" width="37" style="2959" customWidth="1"/>
    <col min="1049" max="1280" width="30.42578125" style="2959"/>
    <col min="1281" max="1281" width="34.85546875" style="2959" customWidth="1"/>
    <col min="1282" max="1290" width="10.85546875" style="2959" customWidth="1"/>
    <col min="1291" max="1302" width="11.7109375" style="2959" customWidth="1"/>
    <col min="1303" max="1303" width="30.42578125" style="2959"/>
    <col min="1304" max="1304" width="37" style="2959" customWidth="1"/>
    <col min="1305" max="1536" width="30.42578125" style="2959"/>
    <col min="1537" max="1537" width="34.85546875" style="2959" customWidth="1"/>
    <col min="1538" max="1546" width="10.85546875" style="2959" customWidth="1"/>
    <col min="1547" max="1558" width="11.7109375" style="2959" customWidth="1"/>
    <col min="1559" max="1559" width="30.42578125" style="2959"/>
    <col min="1560" max="1560" width="37" style="2959" customWidth="1"/>
    <col min="1561" max="1792" width="30.42578125" style="2959"/>
    <col min="1793" max="1793" width="34.85546875" style="2959" customWidth="1"/>
    <col min="1794" max="1802" width="10.85546875" style="2959" customWidth="1"/>
    <col min="1803" max="1814" width="11.7109375" style="2959" customWidth="1"/>
    <col min="1815" max="1815" width="30.42578125" style="2959"/>
    <col min="1816" max="1816" width="37" style="2959" customWidth="1"/>
    <col min="1817" max="2048" width="30.42578125" style="2959"/>
    <col min="2049" max="2049" width="34.85546875" style="2959" customWidth="1"/>
    <col min="2050" max="2058" width="10.85546875" style="2959" customWidth="1"/>
    <col min="2059" max="2070" width="11.7109375" style="2959" customWidth="1"/>
    <col min="2071" max="2071" width="30.42578125" style="2959"/>
    <col min="2072" max="2072" width="37" style="2959" customWidth="1"/>
    <col min="2073" max="2304" width="30.42578125" style="2959"/>
    <col min="2305" max="2305" width="34.85546875" style="2959" customWidth="1"/>
    <col min="2306" max="2314" width="10.85546875" style="2959" customWidth="1"/>
    <col min="2315" max="2326" width="11.7109375" style="2959" customWidth="1"/>
    <col min="2327" max="2327" width="30.42578125" style="2959"/>
    <col min="2328" max="2328" width="37" style="2959" customWidth="1"/>
    <col min="2329" max="2560" width="30.42578125" style="2959"/>
    <col min="2561" max="2561" width="34.85546875" style="2959" customWidth="1"/>
    <col min="2562" max="2570" width="10.85546875" style="2959" customWidth="1"/>
    <col min="2571" max="2582" width="11.7109375" style="2959" customWidth="1"/>
    <col min="2583" max="2583" width="30.42578125" style="2959"/>
    <col min="2584" max="2584" width="37" style="2959" customWidth="1"/>
    <col min="2585" max="2816" width="30.42578125" style="2959"/>
    <col min="2817" max="2817" width="34.85546875" style="2959" customWidth="1"/>
    <col min="2818" max="2826" width="10.85546875" style="2959" customWidth="1"/>
    <col min="2827" max="2838" width="11.7109375" style="2959" customWidth="1"/>
    <col min="2839" max="2839" width="30.42578125" style="2959"/>
    <col min="2840" max="2840" width="37" style="2959" customWidth="1"/>
    <col min="2841" max="3072" width="30.42578125" style="2959"/>
    <col min="3073" max="3073" width="34.85546875" style="2959" customWidth="1"/>
    <col min="3074" max="3082" width="10.85546875" style="2959" customWidth="1"/>
    <col min="3083" max="3094" width="11.7109375" style="2959" customWidth="1"/>
    <col min="3095" max="3095" width="30.42578125" style="2959"/>
    <col min="3096" max="3096" width="37" style="2959" customWidth="1"/>
    <col min="3097" max="3328" width="30.42578125" style="2959"/>
    <col min="3329" max="3329" width="34.85546875" style="2959" customWidth="1"/>
    <col min="3330" max="3338" width="10.85546875" style="2959" customWidth="1"/>
    <col min="3339" max="3350" width="11.7109375" style="2959" customWidth="1"/>
    <col min="3351" max="3351" width="30.42578125" style="2959"/>
    <col min="3352" max="3352" width="37" style="2959" customWidth="1"/>
    <col min="3353" max="3584" width="30.42578125" style="2959"/>
    <col min="3585" max="3585" width="34.85546875" style="2959" customWidth="1"/>
    <col min="3586" max="3594" width="10.85546875" style="2959" customWidth="1"/>
    <col min="3595" max="3606" width="11.7109375" style="2959" customWidth="1"/>
    <col min="3607" max="3607" width="30.42578125" style="2959"/>
    <col min="3608" max="3608" width="37" style="2959" customWidth="1"/>
    <col min="3609" max="3840" width="30.42578125" style="2959"/>
    <col min="3841" max="3841" width="34.85546875" style="2959" customWidth="1"/>
    <col min="3842" max="3850" width="10.85546875" style="2959" customWidth="1"/>
    <col min="3851" max="3862" width="11.7109375" style="2959" customWidth="1"/>
    <col min="3863" max="3863" width="30.42578125" style="2959"/>
    <col min="3864" max="3864" width="37" style="2959" customWidth="1"/>
    <col min="3865" max="4096" width="30.42578125" style="2959"/>
    <col min="4097" max="4097" width="34.85546875" style="2959" customWidth="1"/>
    <col min="4098" max="4106" width="10.85546875" style="2959" customWidth="1"/>
    <col min="4107" max="4118" width="11.7109375" style="2959" customWidth="1"/>
    <col min="4119" max="4119" width="30.42578125" style="2959"/>
    <col min="4120" max="4120" width="37" style="2959" customWidth="1"/>
    <col min="4121" max="4352" width="30.42578125" style="2959"/>
    <col min="4353" max="4353" width="34.85546875" style="2959" customWidth="1"/>
    <col min="4354" max="4362" width="10.85546875" style="2959" customWidth="1"/>
    <col min="4363" max="4374" width="11.7109375" style="2959" customWidth="1"/>
    <col min="4375" max="4375" width="30.42578125" style="2959"/>
    <col min="4376" max="4376" width="37" style="2959" customWidth="1"/>
    <col min="4377" max="4608" width="30.42578125" style="2959"/>
    <col min="4609" max="4609" width="34.85546875" style="2959" customWidth="1"/>
    <col min="4610" max="4618" width="10.85546875" style="2959" customWidth="1"/>
    <col min="4619" max="4630" width="11.7109375" style="2959" customWidth="1"/>
    <col min="4631" max="4631" width="30.42578125" style="2959"/>
    <col min="4632" max="4632" width="37" style="2959" customWidth="1"/>
    <col min="4633" max="4864" width="30.42578125" style="2959"/>
    <col min="4865" max="4865" width="34.85546875" style="2959" customWidth="1"/>
    <col min="4866" max="4874" width="10.85546875" style="2959" customWidth="1"/>
    <col min="4875" max="4886" width="11.7109375" style="2959" customWidth="1"/>
    <col min="4887" max="4887" width="30.42578125" style="2959"/>
    <col min="4888" max="4888" width="37" style="2959" customWidth="1"/>
    <col min="4889" max="5120" width="30.42578125" style="2959"/>
    <col min="5121" max="5121" width="34.85546875" style="2959" customWidth="1"/>
    <col min="5122" max="5130" width="10.85546875" style="2959" customWidth="1"/>
    <col min="5131" max="5142" width="11.7109375" style="2959" customWidth="1"/>
    <col min="5143" max="5143" width="30.42578125" style="2959"/>
    <col min="5144" max="5144" width="37" style="2959" customWidth="1"/>
    <col min="5145" max="5376" width="30.42578125" style="2959"/>
    <col min="5377" max="5377" width="34.85546875" style="2959" customWidth="1"/>
    <col min="5378" max="5386" width="10.85546875" style="2959" customWidth="1"/>
    <col min="5387" max="5398" width="11.7109375" style="2959" customWidth="1"/>
    <col min="5399" max="5399" width="30.42578125" style="2959"/>
    <col min="5400" max="5400" width="37" style="2959" customWidth="1"/>
    <col min="5401" max="5632" width="30.42578125" style="2959"/>
    <col min="5633" max="5633" width="34.85546875" style="2959" customWidth="1"/>
    <col min="5634" max="5642" width="10.85546875" style="2959" customWidth="1"/>
    <col min="5643" max="5654" width="11.7109375" style="2959" customWidth="1"/>
    <col min="5655" max="5655" width="30.42578125" style="2959"/>
    <col min="5656" max="5656" width="37" style="2959" customWidth="1"/>
    <col min="5657" max="5888" width="30.42578125" style="2959"/>
    <col min="5889" max="5889" width="34.85546875" style="2959" customWidth="1"/>
    <col min="5890" max="5898" width="10.85546875" style="2959" customWidth="1"/>
    <col min="5899" max="5910" width="11.7109375" style="2959" customWidth="1"/>
    <col min="5911" max="5911" width="30.42578125" style="2959"/>
    <col min="5912" max="5912" width="37" style="2959" customWidth="1"/>
    <col min="5913" max="6144" width="30.42578125" style="2959"/>
    <col min="6145" max="6145" width="34.85546875" style="2959" customWidth="1"/>
    <col min="6146" max="6154" width="10.85546875" style="2959" customWidth="1"/>
    <col min="6155" max="6166" width="11.7109375" style="2959" customWidth="1"/>
    <col min="6167" max="6167" width="30.42578125" style="2959"/>
    <col min="6168" max="6168" width="37" style="2959" customWidth="1"/>
    <col min="6169" max="6400" width="30.42578125" style="2959"/>
    <col min="6401" max="6401" width="34.85546875" style="2959" customWidth="1"/>
    <col min="6402" max="6410" width="10.85546875" style="2959" customWidth="1"/>
    <col min="6411" max="6422" width="11.7109375" style="2959" customWidth="1"/>
    <col min="6423" max="6423" width="30.42578125" style="2959"/>
    <col min="6424" max="6424" width="37" style="2959" customWidth="1"/>
    <col min="6425" max="6656" width="30.42578125" style="2959"/>
    <col min="6657" max="6657" width="34.85546875" style="2959" customWidth="1"/>
    <col min="6658" max="6666" width="10.85546875" style="2959" customWidth="1"/>
    <col min="6667" max="6678" width="11.7109375" style="2959" customWidth="1"/>
    <col min="6679" max="6679" width="30.42578125" style="2959"/>
    <col min="6680" max="6680" width="37" style="2959" customWidth="1"/>
    <col min="6681" max="6912" width="30.42578125" style="2959"/>
    <col min="6913" max="6913" width="34.85546875" style="2959" customWidth="1"/>
    <col min="6914" max="6922" width="10.85546875" style="2959" customWidth="1"/>
    <col min="6923" max="6934" width="11.7109375" style="2959" customWidth="1"/>
    <col min="6935" max="6935" width="30.42578125" style="2959"/>
    <col min="6936" max="6936" width="37" style="2959" customWidth="1"/>
    <col min="6937" max="7168" width="30.42578125" style="2959"/>
    <col min="7169" max="7169" width="34.85546875" style="2959" customWidth="1"/>
    <col min="7170" max="7178" width="10.85546875" style="2959" customWidth="1"/>
    <col min="7179" max="7190" width="11.7109375" style="2959" customWidth="1"/>
    <col min="7191" max="7191" width="30.42578125" style="2959"/>
    <col min="7192" max="7192" width="37" style="2959" customWidth="1"/>
    <col min="7193" max="7424" width="30.42578125" style="2959"/>
    <col min="7425" max="7425" width="34.85546875" style="2959" customWidth="1"/>
    <col min="7426" max="7434" width="10.85546875" style="2959" customWidth="1"/>
    <col min="7435" max="7446" width="11.7109375" style="2959" customWidth="1"/>
    <col min="7447" max="7447" width="30.42578125" style="2959"/>
    <col min="7448" max="7448" width="37" style="2959" customWidth="1"/>
    <col min="7449" max="7680" width="30.42578125" style="2959"/>
    <col min="7681" max="7681" width="34.85546875" style="2959" customWidth="1"/>
    <col min="7682" max="7690" width="10.85546875" style="2959" customWidth="1"/>
    <col min="7691" max="7702" width="11.7109375" style="2959" customWidth="1"/>
    <col min="7703" max="7703" width="30.42578125" style="2959"/>
    <col min="7704" max="7704" width="37" style="2959" customWidth="1"/>
    <col min="7705" max="7936" width="30.42578125" style="2959"/>
    <col min="7937" max="7937" width="34.85546875" style="2959" customWidth="1"/>
    <col min="7938" max="7946" width="10.85546875" style="2959" customWidth="1"/>
    <col min="7947" max="7958" width="11.7109375" style="2959" customWidth="1"/>
    <col min="7959" max="7959" width="30.42578125" style="2959"/>
    <col min="7960" max="7960" width="37" style="2959" customWidth="1"/>
    <col min="7961" max="8192" width="30.42578125" style="2959"/>
    <col min="8193" max="8193" width="34.85546875" style="2959" customWidth="1"/>
    <col min="8194" max="8202" width="10.85546875" style="2959" customWidth="1"/>
    <col min="8203" max="8214" width="11.7109375" style="2959" customWidth="1"/>
    <col min="8215" max="8215" width="30.42578125" style="2959"/>
    <col min="8216" max="8216" width="37" style="2959" customWidth="1"/>
    <col min="8217" max="8448" width="30.42578125" style="2959"/>
    <col min="8449" max="8449" width="34.85546875" style="2959" customWidth="1"/>
    <col min="8450" max="8458" width="10.85546875" style="2959" customWidth="1"/>
    <col min="8459" max="8470" width="11.7109375" style="2959" customWidth="1"/>
    <col min="8471" max="8471" width="30.42578125" style="2959"/>
    <col min="8472" max="8472" width="37" style="2959" customWidth="1"/>
    <col min="8473" max="8704" width="30.42578125" style="2959"/>
    <col min="8705" max="8705" width="34.85546875" style="2959" customWidth="1"/>
    <col min="8706" max="8714" width="10.85546875" style="2959" customWidth="1"/>
    <col min="8715" max="8726" width="11.7109375" style="2959" customWidth="1"/>
    <col min="8727" max="8727" width="30.42578125" style="2959"/>
    <col min="8728" max="8728" width="37" style="2959" customWidth="1"/>
    <col min="8729" max="8960" width="30.42578125" style="2959"/>
    <col min="8961" max="8961" width="34.85546875" style="2959" customWidth="1"/>
    <col min="8962" max="8970" width="10.85546875" style="2959" customWidth="1"/>
    <col min="8971" max="8982" width="11.7109375" style="2959" customWidth="1"/>
    <col min="8983" max="8983" width="30.42578125" style="2959"/>
    <col min="8984" max="8984" width="37" style="2959" customWidth="1"/>
    <col min="8985" max="9216" width="30.42578125" style="2959"/>
    <col min="9217" max="9217" width="34.85546875" style="2959" customWidth="1"/>
    <col min="9218" max="9226" width="10.85546875" style="2959" customWidth="1"/>
    <col min="9227" max="9238" width="11.7109375" style="2959" customWidth="1"/>
    <col min="9239" max="9239" width="30.42578125" style="2959"/>
    <col min="9240" max="9240" width="37" style="2959" customWidth="1"/>
    <col min="9241" max="9472" width="30.42578125" style="2959"/>
    <col min="9473" max="9473" width="34.85546875" style="2959" customWidth="1"/>
    <col min="9474" max="9482" width="10.85546875" style="2959" customWidth="1"/>
    <col min="9483" max="9494" width="11.7109375" style="2959" customWidth="1"/>
    <col min="9495" max="9495" width="30.42578125" style="2959"/>
    <col min="9496" max="9496" width="37" style="2959" customWidth="1"/>
    <col min="9497" max="9728" width="30.42578125" style="2959"/>
    <col min="9729" max="9729" width="34.85546875" style="2959" customWidth="1"/>
    <col min="9730" max="9738" width="10.85546875" style="2959" customWidth="1"/>
    <col min="9739" max="9750" width="11.7109375" style="2959" customWidth="1"/>
    <col min="9751" max="9751" width="30.42578125" style="2959"/>
    <col min="9752" max="9752" width="37" style="2959" customWidth="1"/>
    <col min="9753" max="9984" width="30.42578125" style="2959"/>
    <col min="9985" max="9985" width="34.85546875" style="2959" customWidth="1"/>
    <col min="9986" max="9994" width="10.85546875" style="2959" customWidth="1"/>
    <col min="9995" max="10006" width="11.7109375" style="2959" customWidth="1"/>
    <col min="10007" max="10007" width="30.42578125" style="2959"/>
    <col min="10008" max="10008" width="37" style="2959" customWidth="1"/>
    <col min="10009" max="10240" width="30.42578125" style="2959"/>
    <col min="10241" max="10241" width="34.85546875" style="2959" customWidth="1"/>
    <col min="10242" max="10250" width="10.85546875" style="2959" customWidth="1"/>
    <col min="10251" max="10262" width="11.7109375" style="2959" customWidth="1"/>
    <col min="10263" max="10263" width="30.42578125" style="2959"/>
    <col min="10264" max="10264" width="37" style="2959" customWidth="1"/>
    <col min="10265" max="10496" width="30.42578125" style="2959"/>
    <col min="10497" max="10497" width="34.85546875" style="2959" customWidth="1"/>
    <col min="10498" max="10506" width="10.85546875" style="2959" customWidth="1"/>
    <col min="10507" max="10518" width="11.7109375" style="2959" customWidth="1"/>
    <col min="10519" max="10519" width="30.42578125" style="2959"/>
    <col min="10520" max="10520" width="37" style="2959" customWidth="1"/>
    <col min="10521" max="10752" width="30.42578125" style="2959"/>
    <col min="10753" max="10753" width="34.85546875" style="2959" customWidth="1"/>
    <col min="10754" max="10762" width="10.85546875" style="2959" customWidth="1"/>
    <col min="10763" max="10774" width="11.7109375" style="2959" customWidth="1"/>
    <col min="10775" max="10775" width="30.42578125" style="2959"/>
    <col min="10776" max="10776" width="37" style="2959" customWidth="1"/>
    <col min="10777" max="11008" width="30.42578125" style="2959"/>
    <col min="11009" max="11009" width="34.85546875" style="2959" customWidth="1"/>
    <col min="11010" max="11018" width="10.85546875" style="2959" customWidth="1"/>
    <col min="11019" max="11030" width="11.7109375" style="2959" customWidth="1"/>
    <col min="11031" max="11031" width="30.42578125" style="2959"/>
    <col min="11032" max="11032" width="37" style="2959" customWidth="1"/>
    <col min="11033" max="11264" width="30.42578125" style="2959"/>
    <col min="11265" max="11265" width="34.85546875" style="2959" customWidth="1"/>
    <col min="11266" max="11274" width="10.85546875" style="2959" customWidth="1"/>
    <col min="11275" max="11286" width="11.7109375" style="2959" customWidth="1"/>
    <col min="11287" max="11287" width="30.42578125" style="2959"/>
    <col min="11288" max="11288" width="37" style="2959" customWidth="1"/>
    <col min="11289" max="11520" width="30.42578125" style="2959"/>
    <col min="11521" max="11521" width="34.85546875" style="2959" customWidth="1"/>
    <col min="11522" max="11530" width="10.85546875" style="2959" customWidth="1"/>
    <col min="11531" max="11542" width="11.7109375" style="2959" customWidth="1"/>
    <col min="11543" max="11543" width="30.42578125" style="2959"/>
    <col min="11544" max="11544" width="37" style="2959" customWidth="1"/>
    <col min="11545" max="11776" width="30.42578125" style="2959"/>
    <col min="11777" max="11777" width="34.85546875" style="2959" customWidth="1"/>
    <col min="11778" max="11786" width="10.85546875" style="2959" customWidth="1"/>
    <col min="11787" max="11798" width="11.7109375" style="2959" customWidth="1"/>
    <col min="11799" max="11799" width="30.42578125" style="2959"/>
    <col min="11800" max="11800" width="37" style="2959" customWidth="1"/>
    <col min="11801" max="12032" width="30.42578125" style="2959"/>
    <col min="12033" max="12033" width="34.85546875" style="2959" customWidth="1"/>
    <col min="12034" max="12042" width="10.85546875" style="2959" customWidth="1"/>
    <col min="12043" max="12054" width="11.7109375" style="2959" customWidth="1"/>
    <col min="12055" max="12055" width="30.42578125" style="2959"/>
    <col min="12056" max="12056" width="37" style="2959" customWidth="1"/>
    <col min="12057" max="12288" width="30.42578125" style="2959"/>
    <col min="12289" max="12289" width="34.85546875" style="2959" customWidth="1"/>
    <col min="12290" max="12298" width="10.85546875" style="2959" customWidth="1"/>
    <col min="12299" max="12310" width="11.7109375" style="2959" customWidth="1"/>
    <col min="12311" max="12311" width="30.42578125" style="2959"/>
    <col min="12312" max="12312" width="37" style="2959" customWidth="1"/>
    <col min="12313" max="12544" width="30.42578125" style="2959"/>
    <col min="12545" max="12545" width="34.85546875" style="2959" customWidth="1"/>
    <col min="12546" max="12554" width="10.85546875" style="2959" customWidth="1"/>
    <col min="12555" max="12566" width="11.7109375" style="2959" customWidth="1"/>
    <col min="12567" max="12567" width="30.42578125" style="2959"/>
    <col min="12568" max="12568" width="37" style="2959" customWidth="1"/>
    <col min="12569" max="12800" width="30.42578125" style="2959"/>
    <col min="12801" max="12801" width="34.85546875" style="2959" customWidth="1"/>
    <col min="12802" max="12810" width="10.85546875" style="2959" customWidth="1"/>
    <col min="12811" max="12822" width="11.7109375" style="2959" customWidth="1"/>
    <col min="12823" max="12823" width="30.42578125" style="2959"/>
    <col min="12824" max="12824" width="37" style="2959" customWidth="1"/>
    <col min="12825" max="13056" width="30.42578125" style="2959"/>
    <col min="13057" max="13057" width="34.85546875" style="2959" customWidth="1"/>
    <col min="13058" max="13066" width="10.85546875" style="2959" customWidth="1"/>
    <col min="13067" max="13078" width="11.7109375" style="2959" customWidth="1"/>
    <col min="13079" max="13079" width="30.42578125" style="2959"/>
    <col min="13080" max="13080" width="37" style="2959" customWidth="1"/>
    <col min="13081" max="13312" width="30.42578125" style="2959"/>
    <col min="13313" max="13313" width="34.85546875" style="2959" customWidth="1"/>
    <col min="13314" max="13322" width="10.85546875" style="2959" customWidth="1"/>
    <col min="13323" max="13334" width="11.7109375" style="2959" customWidth="1"/>
    <col min="13335" max="13335" width="30.42578125" style="2959"/>
    <col min="13336" max="13336" width="37" style="2959" customWidth="1"/>
    <col min="13337" max="13568" width="30.42578125" style="2959"/>
    <col min="13569" max="13569" width="34.85546875" style="2959" customWidth="1"/>
    <col min="13570" max="13578" width="10.85546875" style="2959" customWidth="1"/>
    <col min="13579" max="13590" width="11.7109375" style="2959" customWidth="1"/>
    <col min="13591" max="13591" width="30.42578125" style="2959"/>
    <col min="13592" max="13592" width="37" style="2959" customWidth="1"/>
    <col min="13593" max="13824" width="30.42578125" style="2959"/>
    <col min="13825" max="13825" width="34.85546875" style="2959" customWidth="1"/>
    <col min="13826" max="13834" width="10.85546875" style="2959" customWidth="1"/>
    <col min="13835" max="13846" width="11.7109375" style="2959" customWidth="1"/>
    <col min="13847" max="13847" width="30.42578125" style="2959"/>
    <col min="13848" max="13848" width="37" style="2959" customWidth="1"/>
    <col min="13849" max="14080" width="30.42578125" style="2959"/>
    <col min="14081" max="14081" width="34.85546875" style="2959" customWidth="1"/>
    <col min="14082" max="14090" width="10.85546875" style="2959" customWidth="1"/>
    <col min="14091" max="14102" width="11.7109375" style="2959" customWidth="1"/>
    <col min="14103" max="14103" width="30.42578125" style="2959"/>
    <col min="14104" max="14104" width="37" style="2959" customWidth="1"/>
    <col min="14105" max="14336" width="30.42578125" style="2959"/>
    <col min="14337" max="14337" width="34.85546875" style="2959" customWidth="1"/>
    <col min="14338" max="14346" width="10.85546875" style="2959" customWidth="1"/>
    <col min="14347" max="14358" width="11.7109375" style="2959" customWidth="1"/>
    <col min="14359" max="14359" width="30.42578125" style="2959"/>
    <col min="14360" max="14360" width="37" style="2959" customWidth="1"/>
    <col min="14361" max="14592" width="30.42578125" style="2959"/>
    <col min="14593" max="14593" width="34.85546875" style="2959" customWidth="1"/>
    <col min="14594" max="14602" width="10.85546875" style="2959" customWidth="1"/>
    <col min="14603" max="14614" width="11.7109375" style="2959" customWidth="1"/>
    <col min="14615" max="14615" width="30.42578125" style="2959"/>
    <col min="14616" max="14616" width="37" style="2959" customWidth="1"/>
    <col min="14617" max="14848" width="30.42578125" style="2959"/>
    <col min="14849" max="14849" width="34.85546875" style="2959" customWidth="1"/>
    <col min="14850" max="14858" width="10.85546875" style="2959" customWidth="1"/>
    <col min="14859" max="14870" width="11.7109375" style="2959" customWidth="1"/>
    <col min="14871" max="14871" width="30.42578125" style="2959"/>
    <col min="14872" max="14872" width="37" style="2959" customWidth="1"/>
    <col min="14873" max="15104" width="30.42578125" style="2959"/>
    <col min="15105" max="15105" width="34.85546875" style="2959" customWidth="1"/>
    <col min="15106" max="15114" width="10.85546875" style="2959" customWidth="1"/>
    <col min="15115" max="15126" width="11.7109375" style="2959" customWidth="1"/>
    <col min="15127" max="15127" width="30.42578125" style="2959"/>
    <col min="15128" max="15128" width="37" style="2959" customWidth="1"/>
    <col min="15129" max="15360" width="30.42578125" style="2959"/>
    <col min="15361" max="15361" width="34.85546875" style="2959" customWidth="1"/>
    <col min="15362" max="15370" width="10.85546875" style="2959" customWidth="1"/>
    <col min="15371" max="15382" width="11.7109375" style="2959" customWidth="1"/>
    <col min="15383" max="15383" width="30.42578125" style="2959"/>
    <col min="15384" max="15384" width="37" style="2959" customWidth="1"/>
    <col min="15385" max="15616" width="30.42578125" style="2959"/>
    <col min="15617" max="15617" width="34.85546875" style="2959" customWidth="1"/>
    <col min="15618" max="15626" width="10.85546875" style="2959" customWidth="1"/>
    <col min="15627" max="15638" width="11.7109375" style="2959" customWidth="1"/>
    <col min="15639" max="15639" width="30.42578125" style="2959"/>
    <col min="15640" max="15640" width="37" style="2959" customWidth="1"/>
    <col min="15641" max="15872" width="30.42578125" style="2959"/>
    <col min="15873" max="15873" width="34.85546875" style="2959" customWidth="1"/>
    <col min="15874" max="15882" width="10.85546875" style="2959" customWidth="1"/>
    <col min="15883" max="15894" width="11.7109375" style="2959" customWidth="1"/>
    <col min="15895" max="15895" width="30.42578125" style="2959"/>
    <col min="15896" max="15896" width="37" style="2959" customWidth="1"/>
    <col min="15897" max="16128" width="30.42578125" style="2959"/>
    <col min="16129" max="16129" width="34.85546875" style="2959" customWidth="1"/>
    <col min="16130" max="16138" width="10.85546875" style="2959" customWidth="1"/>
    <col min="16139" max="16150" width="11.7109375" style="2959" customWidth="1"/>
    <col min="16151" max="16151" width="30.42578125" style="2959"/>
    <col min="16152" max="16152" width="37" style="2959" customWidth="1"/>
    <col min="16153" max="16384" width="30.42578125" style="2959"/>
  </cols>
  <sheetData>
    <row r="1" spans="1:30" s="2957" customFormat="1" ht="23.25">
      <c r="A1" s="2956" t="s">
        <v>4036</v>
      </c>
    </row>
    <row r="2" spans="1:30" ht="13.5" thickBot="1"/>
    <row r="3" spans="1:30" s="2964" customFormat="1" ht="26.25" customHeight="1">
      <c r="A3" s="2960"/>
      <c r="B3" s="2961">
        <v>40910</v>
      </c>
      <c r="C3" s="2962">
        <v>40941</v>
      </c>
      <c r="D3" s="2962">
        <v>40971</v>
      </c>
      <c r="E3" s="2962">
        <v>41003</v>
      </c>
      <c r="F3" s="2962">
        <v>41034</v>
      </c>
      <c r="G3" s="2962">
        <v>41066</v>
      </c>
      <c r="H3" s="2962">
        <v>41097</v>
      </c>
      <c r="I3" s="2962">
        <v>41129</v>
      </c>
      <c r="J3" s="2962">
        <v>41161</v>
      </c>
      <c r="K3" s="2962">
        <v>41192</v>
      </c>
      <c r="L3" s="2962">
        <v>41224</v>
      </c>
      <c r="M3" s="2962">
        <v>41255</v>
      </c>
      <c r="N3" s="2962">
        <v>41275</v>
      </c>
      <c r="O3" s="2962">
        <v>41307</v>
      </c>
      <c r="P3" s="2963">
        <v>41336</v>
      </c>
      <c r="Q3" s="2963">
        <v>41399</v>
      </c>
      <c r="R3" s="2963">
        <v>41431</v>
      </c>
      <c r="S3" s="2963">
        <v>41462</v>
      </c>
      <c r="T3" s="2963">
        <v>41494</v>
      </c>
      <c r="U3" s="2963">
        <v>41526</v>
      </c>
      <c r="V3" s="2963">
        <v>41557</v>
      </c>
      <c r="W3" s="2963">
        <v>41588</v>
      </c>
      <c r="X3" s="2963">
        <v>41619</v>
      </c>
      <c r="Y3" s="2963">
        <v>41640</v>
      </c>
      <c r="Z3" s="2963">
        <v>41671</v>
      </c>
      <c r="AA3" s="2963">
        <v>41700</v>
      </c>
      <c r="AB3" s="2963">
        <v>41732</v>
      </c>
      <c r="AC3" s="2963">
        <v>41762</v>
      </c>
      <c r="AD3" s="2963">
        <v>41794</v>
      </c>
    </row>
    <row r="4" spans="1:30" ht="26.25" customHeight="1">
      <c r="A4" s="2965" t="s">
        <v>4037</v>
      </c>
      <c r="B4" s="2966">
        <v>430</v>
      </c>
      <c r="C4" s="2967">
        <v>430</v>
      </c>
      <c r="D4" s="2967">
        <v>432</v>
      </c>
      <c r="E4" s="2967">
        <v>431</v>
      </c>
      <c r="F4" s="2967">
        <v>431</v>
      </c>
      <c r="G4" s="2967">
        <v>430</v>
      </c>
      <c r="H4" s="2967">
        <v>432</v>
      </c>
      <c r="I4" s="2967">
        <v>433</v>
      </c>
      <c r="J4" s="2967">
        <v>436</v>
      </c>
      <c r="K4" s="2967">
        <v>437</v>
      </c>
      <c r="L4" s="2967">
        <v>438</v>
      </c>
      <c r="M4" s="2967">
        <v>441</v>
      </c>
      <c r="N4" s="2967">
        <v>442</v>
      </c>
      <c r="O4" s="2967">
        <v>443</v>
      </c>
      <c r="P4" s="2968">
        <v>446</v>
      </c>
      <c r="Q4" s="2968">
        <v>447</v>
      </c>
      <c r="R4" s="2968">
        <v>450</v>
      </c>
      <c r="S4" s="2968">
        <v>448</v>
      </c>
      <c r="T4" s="2968">
        <v>448</v>
      </c>
      <c r="U4" s="2968">
        <v>449</v>
      </c>
      <c r="V4" s="2968">
        <v>448</v>
      </c>
      <c r="W4" s="2968">
        <v>449</v>
      </c>
      <c r="X4" s="2968">
        <v>450</v>
      </c>
      <c r="Y4" s="2968">
        <v>450</v>
      </c>
      <c r="Z4" s="2968">
        <v>449</v>
      </c>
      <c r="AA4" s="2968">
        <v>451</v>
      </c>
      <c r="AB4" s="2968">
        <v>451</v>
      </c>
      <c r="AC4" s="2968">
        <v>452</v>
      </c>
      <c r="AD4" s="2968">
        <v>454</v>
      </c>
    </row>
    <row r="5" spans="1:30" ht="6.75" customHeight="1" thickBot="1">
      <c r="A5" s="2969"/>
      <c r="B5" s="2967"/>
      <c r="C5" s="2967"/>
      <c r="D5" s="2967"/>
      <c r="E5" s="2967"/>
      <c r="F5" s="2967"/>
      <c r="G5" s="2967"/>
      <c r="H5" s="2967"/>
      <c r="I5" s="2967"/>
      <c r="J5" s="2967"/>
      <c r="K5" s="2967"/>
      <c r="L5" s="2967"/>
      <c r="M5" s="2967"/>
      <c r="N5" s="2967"/>
      <c r="O5" s="2967"/>
      <c r="P5" s="2968"/>
      <c r="Q5" s="2968"/>
      <c r="R5" s="2968"/>
      <c r="S5" s="2968"/>
      <c r="T5" s="2968"/>
      <c r="U5" s="2968"/>
      <c r="V5" s="2968"/>
      <c r="W5" s="2968"/>
      <c r="X5" s="2968"/>
      <c r="Y5" s="2968"/>
      <c r="Z5" s="2968"/>
      <c r="AA5" s="2968"/>
      <c r="AB5" s="2968"/>
      <c r="AC5" s="2968"/>
      <c r="AD5" s="2968"/>
    </row>
    <row r="6" spans="1:30" ht="12.75" customHeight="1" thickBot="1">
      <c r="A6" s="2970"/>
      <c r="B6" s="2971"/>
      <c r="C6" s="2972"/>
      <c r="D6" s="2972"/>
      <c r="E6" s="2972"/>
      <c r="F6" s="2972"/>
      <c r="G6" s="2972"/>
      <c r="H6" s="2972"/>
      <c r="I6" s="2972"/>
      <c r="J6" s="2972"/>
      <c r="K6" s="2972"/>
      <c r="L6" s="2972"/>
      <c r="M6" s="2972"/>
      <c r="N6" s="2972"/>
      <c r="O6" s="2972"/>
      <c r="P6" s="2973"/>
      <c r="Q6" s="2973"/>
      <c r="R6" s="2973"/>
      <c r="S6" s="2973"/>
      <c r="T6" s="2973"/>
      <c r="U6" s="2973"/>
      <c r="V6" s="2973"/>
      <c r="W6" s="2973"/>
      <c r="X6" s="2973"/>
      <c r="Y6" s="2973"/>
      <c r="Z6" s="2973"/>
      <c r="AA6" s="2973"/>
      <c r="AB6" s="2973"/>
      <c r="AC6" s="2973"/>
      <c r="AD6" s="2973"/>
    </row>
    <row r="7" spans="1:30" s="2976" customFormat="1" ht="27" customHeight="1">
      <c r="A7" s="2965" t="s">
        <v>4038</v>
      </c>
      <c r="B7" s="2974">
        <v>4736872</v>
      </c>
      <c r="C7" s="2974">
        <v>4319467</v>
      </c>
      <c r="D7" s="2974">
        <v>4841422</v>
      </c>
      <c r="E7" s="2974">
        <v>4758541</v>
      </c>
      <c r="F7" s="2974">
        <v>4845776</v>
      </c>
      <c r="G7" s="2974">
        <v>4496701</v>
      </c>
      <c r="H7" s="2974">
        <v>4733299</v>
      </c>
      <c r="I7" s="2974">
        <v>4753864</v>
      </c>
      <c r="J7" s="2974">
        <v>4589854</v>
      </c>
      <c r="K7" s="2974">
        <v>5016549</v>
      </c>
      <c r="L7" s="2974">
        <v>4831238</v>
      </c>
      <c r="M7" s="2974">
        <v>6407067</v>
      </c>
      <c r="N7" s="2974">
        <v>4875444</v>
      </c>
      <c r="O7" s="2974">
        <v>4576070</v>
      </c>
      <c r="P7" s="2975">
        <v>5159362</v>
      </c>
      <c r="Q7" s="2975">
        <v>5247975</v>
      </c>
      <c r="R7" s="2975">
        <v>4677566</v>
      </c>
      <c r="S7" s="2975">
        <v>5215652</v>
      </c>
      <c r="T7" s="2975">
        <v>5146740</v>
      </c>
      <c r="U7" s="2975">
        <v>4946438</v>
      </c>
      <c r="V7" s="2975">
        <v>5139787</v>
      </c>
      <c r="W7" s="2975">
        <v>5093468</v>
      </c>
      <c r="X7" s="2975">
        <v>6796552</v>
      </c>
      <c r="Y7" s="2975">
        <v>5089885</v>
      </c>
      <c r="Z7" s="2975">
        <v>4795824</v>
      </c>
      <c r="AA7" s="2975">
        <v>5439117</v>
      </c>
      <c r="AB7" s="2975">
        <v>5556138</v>
      </c>
      <c r="AC7" s="2975">
        <v>5635041</v>
      </c>
      <c r="AD7" s="2975">
        <v>5320280</v>
      </c>
    </row>
    <row r="8" spans="1:30" s="2979" customFormat="1" ht="26.25" customHeight="1" thickBot="1">
      <c r="A8" s="2965" t="s">
        <v>4039</v>
      </c>
      <c r="B8" s="2977">
        <v>9717.9310000000005</v>
      </c>
      <c r="C8" s="2977">
        <v>8695.5310000000009</v>
      </c>
      <c r="D8" s="2977">
        <v>9537</v>
      </c>
      <c r="E8" s="2977">
        <v>9328.3799999999992</v>
      </c>
      <c r="F8" s="2977">
        <v>9365.3790000000008</v>
      </c>
      <c r="G8" s="2977">
        <v>8566.6859999999997</v>
      </c>
      <c r="H8" s="2977">
        <v>9187.1509999999998</v>
      </c>
      <c r="I8" s="2977">
        <v>9327.4629999999997</v>
      </c>
      <c r="J8" s="2977">
        <v>8899.0619999999999</v>
      </c>
      <c r="K8" s="2977">
        <v>10019.85</v>
      </c>
      <c r="L8" s="2977">
        <v>9953.0740000000005</v>
      </c>
      <c r="M8" s="2977">
        <v>14412.458000000001</v>
      </c>
      <c r="N8" s="2977">
        <v>10301.35</v>
      </c>
      <c r="O8" s="2977">
        <v>9300.4850000000006</v>
      </c>
      <c r="P8" s="2978">
        <v>10679.24</v>
      </c>
      <c r="Q8" s="2978">
        <v>11267.702789999999</v>
      </c>
      <c r="R8" s="2978">
        <v>9276.9660000000003</v>
      </c>
      <c r="S8" s="2978">
        <v>10612.598168220002</v>
      </c>
      <c r="T8" s="2978">
        <v>10549.572</v>
      </c>
      <c r="U8" s="2978">
        <v>9942</v>
      </c>
      <c r="V8" s="2978">
        <v>10729.645</v>
      </c>
      <c r="W8" s="2978">
        <v>10840.106</v>
      </c>
      <c r="X8" s="2978">
        <v>15747.023999999999</v>
      </c>
      <c r="Y8" s="2978">
        <v>11116.937</v>
      </c>
      <c r="Z8" s="2978">
        <v>12597.385472538999</v>
      </c>
      <c r="AA8" s="2978">
        <v>11425</v>
      </c>
      <c r="AB8" s="2978">
        <v>11616.532999999999</v>
      </c>
      <c r="AC8" s="2978">
        <v>11411.8463010512</v>
      </c>
      <c r="AD8" s="2978">
        <v>10729.509122245256</v>
      </c>
    </row>
    <row r="9" spans="1:30" ht="12.75" customHeight="1" thickBot="1">
      <c r="A9" s="2970"/>
      <c r="B9" s="2971"/>
      <c r="C9" s="2972"/>
      <c r="D9" s="2972"/>
      <c r="E9" s="2972"/>
      <c r="F9" s="2972"/>
      <c r="G9" s="2972"/>
      <c r="H9" s="2972"/>
      <c r="I9" s="2972"/>
      <c r="J9" s="2972"/>
      <c r="K9" s="2972"/>
      <c r="L9" s="2972"/>
      <c r="M9" s="2972"/>
      <c r="N9" s="2972"/>
      <c r="O9" s="2972"/>
      <c r="P9" s="2973"/>
      <c r="Q9" s="2973"/>
      <c r="R9" s="2973"/>
      <c r="S9" s="2973"/>
      <c r="T9" s="2973"/>
      <c r="U9" s="2973"/>
      <c r="V9" s="2973"/>
      <c r="W9" s="2973"/>
      <c r="X9" s="2973"/>
      <c r="Y9" s="2973"/>
      <c r="Z9" s="2973"/>
      <c r="AA9" s="2973"/>
      <c r="AB9" s="2973"/>
      <c r="AC9" s="2973"/>
      <c r="AD9" s="2973"/>
    </row>
    <row r="10" spans="1:30" s="2976" customFormat="1" ht="21" customHeight="1">
      <c r="A10" s="2980" t="s">
        <v>4040</v>
      </c>
      <c r="B10" s="2974"/>
      <c r="C10" s="2974"/>
      <c r="D10" s="2974"/>
      <c r="E10" s="2974"/>
      <c r="F10" s="2974"/>
      <c r="G10" s="2974"/>
      <c r="H10" s="2974"/>
      <c r="I10" s="2974"/>
      <c r="J10" s="2974"/>
      <c r="K10" s="2974"/>
      <c r="L10" s="2974"/>
      <c r="M10" s="2974"/>
      <c r="N10" s="2974"/>
      <c r="O10" s="2974"/>
      <c r="P10" s="2975"/>
      <c r="Q10" s="2975"/>
      <c r="R10" s="2975"/>
      <c r="S10" s="2975"/>
      <c r="T10" s="2975"/>
      <c r="U10" s="2975"/>
      <c r="V10" s="2975"/>
      <c r="W10" s="2975"/>
      <c r="X10" s="2975"/>
      <c r="Y10" s="2975"/>
      <c r="Z10" s="2975"/>
      <c r="AA10" s="2975"/>
      <c r="AB10" s="2975"/>
      <c r="AC10" s="2975"/>
      <c r="AD10" s="2975"/>
    </row>
    <row r="11" spans="1:30" s="2976" customFormat="1" ht="21" customHeight="1">
      <c r="A11" s="2980" t="s">
        <v>4041</v>
      </c>
      <c r="B11" s="2974">
        <v>217833</v>
      </c>
      <c r="C11" s="2974">
        <v>218440</v>
      </c>
      <c r="D11" s="2974">
        <v>220363</v>
      </c>
      <c r="E11" s="2974">
        <v>222289</v>
      </c>
      <c r="F11" s="2974">
        <v>223633</v>
      </c>
      <c r="G11" s="2974">
        <v>226293</v>
      </c>
      <c r="H11" s="2974">
        <v>228062</v>
      </c>
      <c r="I11" s="2974">
        <v>230520</v>
      </c>
      <c r="J11" s="2974">
        <v>232313</v>
      </c>
      <c r="K11" s="2974">
        <v>234282</v>
      </c>
      <c r="L11" s="2974">
        <v>236503</v>
      </c>
      <c r="M11" s="2974">
        <v>237812</v>
      </c>
      <c r="N11" s="2974">
        <v>239431</v>
      </c>
      <c r="O11" s="2974">
        <v>240890</v>
      </c>
      <c r="P11" s="2975">
        <v>243148</v>
      </c>
      <c r="Q11" s="2975">
        <v>247861</v>
      </c>
      <c r="R11" s="2975">
        <v>249000</v>
      </c>
      <c r="S11" s="2975">
        <v>248770</v>
      </c>
      <c r="T11" s="2975">
        <v>249862</v>
      </c>
      <c r="U11" s="2975">
        <v>249642</v>
      </c>
      <c r="V11" s="2975">
        <v>250272</v>
      </c>
      <c r="W11" s="2975">
        <v>257682</v>
      </c>
      <c r="X11" s="2975">
        <v>252165</v>
      </c>
      <c r="Y11" s="2975">
        <v>252070</v>
      </c>
      <c r="Z11" s="2975">
        <v>252161</v>
      </c>
      <c r="AA11" s="2975">
        <v>252895</v>
      </c>
      <c r="AB11" s="2975">
        <v>252541</v>
      </c>
      <c r="AC11" s="2975">
        <v>252930</v>
      </c>
      <c r="AD11" s="2975">
        <v>253033</v>
      </c>
    </row>
    <row r="12" spans="1:30" s="2976" customFormat="1" ht="21" customHeight="1">
      <c r="A12" s="2980" t="s">
        <v>4042</v>
      </c>
      <c r="B12" s="2974">
        <v>1125462</v>
      </c>
      <c r="C12" s="2974">
        <v>1123191</v>
      </c>
      <c r="D12" s="2974">
        <v>1131773</v>
      </c>
      <c r="E12" s="2974">
        <v>1137796</v>
      </c>
      <c r="F12" s="2974">
        <v>1145652</v>
      </c>
      <c r="G12" s="2974">
        <v>1152561</v>
      </c>
      <c r="H12" s="2974">
        <v>1158333</v>
      </c>
      <c r="I12" s="2974">
        <v>1156033</v>
      </c>
      <c r="J12" s="2974">
        <v>1160146</v>
      </c>
      <c r="K12" s="2974">
        <v>1166886</v>
      </c>
      <c r="L12" s="2974">
        <v>1173671</v>
      </c>
      <c r="M12" s="2974">
        <v>1172152</v>
      </c>
      <c r="N12" s="2974">
        <v>1179490</v>
      </c>
      <c r="O12" s="2974">
        <v>1183780</v>
      </c>
      <c r="P12" s="2975">
        <v>1182678</v>
      </c>
      <c r="Q12" s="2975">
        <v>1183040</v>
      </c>
      <c r="R12" s="2975">
        <v>1190074</v>
      </c>
      <c r="S12" s="2975">
        <v>1195802</v>
      </c>
      <c r="T12" s="2975">
        <v>1180108</v>
      </c>
      <c r="U12" s="2975">
        <v>1187521</v>
      </c>
      <c r="V12" s="2975">
        <v>1191561</v>
      </c>
      <c r="W12" s="2975">
        <v>1201494</v>
      </c>
      <c r="X12" s="2975">
        <f>1175622+37972</f>
        <v>1213594</v>
      </c>
      <c r="Y12" s="2975">
        <f>1184810+38424</f>
        <v>1223234</v>
      </c>
      <c r="Z12" s="2975">
        <v>1226926</v>
      </c>
      <c r="AA12" s="2975">
        <v>1236622</v>
      </c>
      <c r="AB12" s="2975">
        <v>1248579</v>
      </c>
      <c r="AC12" s="2975">
        <v>1259241</v>
      </c>
      <c r="AD12" s="2975">
        <v>1271746</v>
      </c>
    </row>
    <row r="13" spans="1:30" s="2976" customFormat="1" ht="21" customHeight="1">
      <c r="A13" s="2980" t="s">
        <v>4043</v>
      </c>
      <c r="B13" s="2974">
        <v>1343295</v>
      </c>
      <c r="C13" s="2974">
        <v>1341631</v>
      </c>
      <c r="D13" s="2974">
        <v>1352136</v>
      </c>
      <c r="E13" s="2974">
        <v>1360085</v>
      </c>
      <c r="F13" s="2974">
        <v>1369285</v>
      </c>
      <c r="G13" s="2974">
        <v>1378854</v>
      </c>
      <c r="H13" s="2974">
        <v>1386395</v>
      </c>
      <c r="I13" s="2974">
        <v>1386553</v>
      </c>
      <c r="J13" s="2974">
        <v>1392459</v>
      </c>
      <c r="K13" s="2974">
        <v>1401168</v>
      </c>
      <c r="L13" s="2974">
        <v>1410174</v>
      </c>
      <c r="M13" s="2974">
        <v>1409964</v>
      </c>
      <c r="N13" s="2974">
        <v>1418921</v>
      </c>
      <c r="O13" s="2974">
        <v>1424670</v>
      </c>
      <c r="P13" s="2975">
        <v>1425826</v>
      </c>
      <c r="Q13" s="2975">
        <v>1430901</v>
      </c>
      <c r="R13" s="2975">
        <v>1439074</v>
      </c>
      <c r="S13" s="2975">
        <v>1444572</v>
      </c>
      <c r="T13" s="2975">
        <v>1429970</v>
      </c>
      <c r="U13" s="2975">
        <v>1437163</v>
      </c>
      <c r="V13" s="2975">
        <v>1441833</v>
      </c>
      <c r="W13" s="2975">
        <v>1459176</v>
      </c>
      <c r="X13" s="2975">
        <f>X11+X12</f>
        <v>1465759</v>
      </c>
      <c r="Y13" s="2975">
        <f>Y11+Y12</f>
        <v>1475304</v>
      </c>
      <c r="Z13" s="2975">
        <v>1479087</v>
      </c>
      <c r="AA13" s="2975">
        <v>1489517</v>
      </c>
      <c r="AB13" s="2975">
        <v>1501120</v>
      </c>
      <c r="AC13" s="2975">
        <v>1512171</v>
      </c>
      <c r="AD13" s="2975">
        <v>1524779</v>
      </c>
    </row>
    <row r="14" spans="1:30" s="2976" customFormat="1" ht="10.5" customHeight="1">
      <c r="A14" s="2981"/>
      <c r="B14" s="2974"/>
      <c r="C14" s="2974"/>
      <c r="D14" s="2974"/>
      <c r="E14" s="2974"/>
      <c r="F14" s="2974"/>
      <c r="G14" s="2974"/>
      <c r="H14" s="2974"/>
      <c r="I14" s="2974"/>
      <c r="J14" s="2974"/>
      <c r="K14" s="2974"/>
      <c r="L14" s="2974"/>
      <c r="M14" s="2974"/>
      <c r="N14" s="2974"/>
      <c r="O14" s="2974"/>
      <c r="P14" s="2975"/>
      <c r="Q14" s="2975"/>
      <c r="R14" s="2975"/>
      <c r="S14" s="2975"/>
      <c r="T14" s="2975"/>
      <c r="U14" s="2975"/>
      <c r="V14" s="2975"/>
      <c r="W14" s="2975"/>
      <c r="X14" s="2975"/>
      <c r="Y14" s="2975"/>
      <c r="Z14" s="2975"/>
      <c r="AA14" s="2975"/>
      <c r="AB14" s="2975"/>
      <c r="AC14" s="2975"/>
      <c r="AD14" s="2975"/>
    </row>
    <row r="15" spans="1:30" ht="21" customHeight="1">
      <c r="A15" s="2965" t="s">
        <v>4044</v>
      </c>
      <c r="B15" s="2967"/>
      <c r="C15" s="2967"/>
      <c r="D15" s="2967"/>
      <c r="E15" s="2967"/>
      <c r="F15" s="2967"/>
      <c r="G15" s="2967"/>
      <c r="H15" s="2967"/>
      <c r="I15" s="2967"/>
      <c r="J15" s="2967"/>
      <c r="K15" s="2967"/>
      <c r="L15" s="2967"/>
      <c r="M15" s="2967"/>
      <c r="N15" s="2967"/>
      <c r="O15" s="2967"/>
      <c r="P15" s="2968"/>
      <c r="Q15" s="2968"/>
      <c r="R15" s="2968"/>
      <c r="S15" s="2968"/>
      <c r="T15" s="2968"/>
      <c r="U15" s="2968"/>
      <c r="V15" s="2968"/>
      <c r="W15" s="2968"/>
      <c r="X15" s="2968"/>
      <c r="Y15" s="2968"/>
      <c r="Z15" s="2968"/>
      <c r="AA15" s="2968"/>
      <c r="AB15" s="2968"/>
      <c r="AC15" s="2968"/>
      <c r="AD15" s="2968"/>
    </row>
    <row r="16" spans="1:30" ht="21" customHeight="1">
      <c r="A16" s="2965" t="s">
        <v>4045</v>
      </c>
      <c r="B16" s="2982">
        <v>1777.4069999999999</v>
      </c>
      <c r="C16" s="2982">
        <v>1936.1579999999999</v>
      </c>
      <c r="D16" s="2982">
        <v>1783.1</v>
      </c>
      <c r="E16" s="2982">
        <v>1826.7139999999999</v>
      </c>
      <c r="F16" s="2982">
        <v>1802.921</v>
      </c>
      <c r="G16" s="2982">
        <v>2058.0140000000001</v>
      </c>
      <c r="H16" s="2982">
        <v>1840.4</v>
      </c>
      <c r="I16" s="2982">
        <v>1876.7748510900001</v>
      </c>
      <c r="J16" s="2982">
        <v>2145.3510000000001</v>
      </c>
      <c r="K16" s="2982">
        <v>1888.6757088499999</v>
      </c>
      <c r="L16" s="2982">
        <v>1936.9884865000001</v>
      </c>
      <c r="M16" s="2982">
        <v>2030.9</v>
      </c>
      <c r="N16" s="2982">
        <v>1944.5847732499999</v>
      </c>
      <c r="O16" s="2982">
        <v>2204.8490000000002</v>
      </c>
      <c r="P16" s="2983">
        <v>2184</v>
      </c>
      <c r="Q16" s="2983">
        <v>1998.104</v>
      </c>
      <c r="R16" s="2983">
        <v>2287.8440000000001</v>
      </c>
      <c r="S16" s="2983">
        <v>2010.63382864</v>
      </c>
      <c r="T16" s="2983">
        <v>2051.136</v>
      </c>
      <c r="U16" s="2983">
        <v>2096.4110000000001</v>
      </c>
      <c r="V16" s="2983">
        <v>2069.3939999999998</v>
      </c>
      <c r="W16" s="2983">
        <v>2360.2869999999998</v>
      </c>
      <c r="X16" s="2983">
        <v>2150.1</v>
      </c>
      <c r="Y16" s="2983">
        <v>2083.1619999999998</v>
      </c>
      <c r="Z16" s="2983">
        <v>2375.2124715299997</v>
      </c>
      <c r="AA16" s="2983">
        <v>2762.3</v>
      </c>
      <c r="AB16" s="2983">
        <v>2128.5</v>
      </c>
      <c r="AC16" s="2983">
        <v>2127.5531944978407</v>
      </c>
      <c r="AD16" s="2983">
        <v>2183.9802014154002</v>
      </c>
    </row>
    <row r="17" spans="1:30" ht="17.25" customHeight="1">
      <c r="A17" s="2984" t="s">
        <v>4046</v>
      </c>
      <c r="B17" s="2967"/>
      <c r="C17" s="2967"/>
      <c r="D17" s="2967"/>
      <c r="E17" s="2967"/>
      <c r="F17" s="2967"/>
      <c r="G17" s="2967"/>
      <c r="H17" s="2967"/>
      <c r="I17" s="2967"/>
      <c r="J17" s="2967"/>
      <c r="K17" s="2967"/>
      <c r="L17" s="2967"/>
      <c r="M17" s="2967"/>
      <c r="N17" s="2967"/>
      <c r="O17" s="2967"/>
      <c r="P17" s="2968"/>
      <c r="Q17" s="2968"/>
      <c r="R17" s="2968"/>
      <c r="S17" s="2968"/>
      <c r="T17" s="2968"/>
      <c r="U17" s="2968"/>
      <c r="V17" s="2968"/>
      <c r="W17" s="2968"/>
      <c r="X17" s="2968"/>
      <c r="Y17" s="2968"/>
      <c r="Z17" s="2968"/>
      <c r="AA17" s="2968"/>
      <c r="AB17" s="2968"/>
      <c r="AC17" s="2968"/>
      <c r="AD17" s="2968"/>
    </row>
    <row r="18" spans="1:30" ht="3" hidden="1" customHeight="1">
      <c r="A18" s="2984"/>
      <c r="B18" s="2967"/>
      <c r="C18" s="2967"/>
      <c r="D18" s="2967"/>
      <c r="E18" s="2967"/>
      <c r="F18" s="2967"/>
      <c r="G18" s="2967"/>
      <c r="H18" s="2967"/>
      <c r="I18" s="2967"/>
      <c r="J18" s="2967"/>
      <c r="K18" s="2967"/>
      <c r="L18" s="2967"/>
      <c r="M18" s="2967"/>
      <c r="N18" s="2967"/>
      <c r="O18" s="2967"/>
      <c r="P18" s="2968"/>
      <c r="Q18" s="2968"/>
      <c r="R18" s="2968"/>
      <c r="S18" s="2968"/>
      <c r="T18" s="2968"/>
      <c r="U18" s="2968"/>
      <c r="V18" s="2968"/>
      <c r="W18" s="2968"/>
      <c r="X18" s="2968"/>
      <c r="Y18" s="2968"/>
      <c r="Z18" s="2968"/>
      <c r="AA18" s="2968"/>
      <c r="AB18" s="2968"/>
      <c r="AC18" s="2968"/>
      <c r="AD18" s="2968"/>
    </row>
    <row r="19" spans="1:30" ht="45" customHeight="1">
      <c r="A19" s="2985" t="s">
        <v>4047</v>
      </c>
      <c r="B19" s="2986">
        <v>1653.548</v>
      </c>
      <c r="C19" s="2986">
        <v>1868</v>
      </c>
      <c r="D19" s="2986">
        <v>1644.9</v>
      </c>
      <c r="E19" s="2986">
        <v>1705.598</v>
      </c>
      <c r="F19" s="2986">
        <v>1670.386</v>
      </c>
      <c r="G19" s="2986">
        <v>1975.72</v>
      </c>
      <c r="H19" s="2986">
        <v>1696.6</v>
      </c>
      <c r="I19" s="2986">
        <v>1733</v>
      </c>
      <c r="J19" s="2986">
        <v>2010.8</v>
      </c>
      <c r="K19" s="2986">
        <v>1699.6338372499999</v>
      </c>
      <c r="L19" s="2986">
        <v>1785</v>
      </c>
      <c r="M19" s="2986">
        <v>1875.2</v>
      </c>
      <c r="N19" s="2986">
        <v>1785.2</v>
      </c>
      <c r="O19" s="2986">
        <v>2059.2438339999999</v>
      </c>
      <c r="P19" s="2987">
        <v>2034.5</v>
      </c>
      <c r="Q19" s="2987">
        <v>1694.6310000000001</v>
      </c>
      <c r="R19" s="2987">
        <v>2111.96</v>
      </c>
      <c r="S19" s="2987">
        <v>1828.7</v>
      </c>
      <c r="T19" s="2987">
        <v>1871.5685989999999</v>
      </c>
      <c r="U19" s="2987">
        <v>1931.6114359999999</v>
      </c>
      <c r="V19" s="2987">
        <v>1890.0830000000001</v>
      </c>
      <c r="W19" s="2987">
        <v>2159.6999999999998</v>
      </c>
      <c r="X19" s="2987">
        <v>1886.122957</v>
      </c>
      <c r="Y19" s="2987">
        <v>1878.82953</v>
      </c>
      <c r="Z19" s="2987">
        <f>2161.864417</f>
        <v>2161.8644169999998</v>
      </c>
      <c r="AA19" s="2987">
        <v>2096.4</v>
      </c>
      <c r="AB19" s="2987">
        <v>1900.873</v>
      </c>
      <c r="AC19" s="2987">
        <v>1888.9531746600001</v>
      </c>
      <c r="AD19" s="2987">
        <v>1933.0822313799999</v>
      </c>
    </row>
    <row r="20" spans="1:30" ht="12" customHeight="1">
      <c r="A20" s="2985"/>
      <c r="B20" s="2967"/>
      <c r="C20" s="2967"/>
      <c r="D20" s="2967"/>
      <c r="E20" s="2967"/>
      <c r="F20" s="2967"/>
      <c r="G20" s="2967"/>
      <c r="H20" s="2967"/>
      <c r="I20" s="2967"/>
      <c r="J20" s="2967"/>
      <c r="K20" s="2967"/>
      <c r="L20" s="2967"/>
      <c r="M20" s="2967"/>
      <c r="N20" s="2967"/>
      <c r="O20" s="2967"/>
      <c r="P20" s="2968"/>
      <c r="Q20" s="2968"/>
      <c r="R20" s="2968"/>
      <c r="S20" s="2968"/>
      <c r="T20" s="2968"/>
      <c r="U20" s="2968"/>
      <c r="V20" s="2968"/>
      <c r="W20" s="2968"/>
      <c r="X20" s="2968"/>
      <c r="Y20" s="2968"/>
      <c r="Z20" s="2968"/>
      <c r="AA20" s="2968"/>
      <c r="AB20" s="2968"/>
      <c r="AC20" s="2968"/>
      <c r="AD20" s="2968"/>
    </row>
    <row r="21" spans="1:30" ht="27.75" customHeight="1">
      <c r="A21" s="2985" t="s">
        <v>4048</v>
      </c>
      <c r="B21" s="2967"/>
      <c r="C21" s="2967"/>
      <c r="D21" s="2988">
        <v>95</v>
      </c>
      <c r="E21" s="2967"/>
      <c r="F21" s="2967"/>
      <c r="G21" s="2988">
        <v>78.242999999999995</v>
      </c>
      <c r="H21" s="2967"/>
      <c r="I21" s="2967"/>
      <c r="J21" s="2988">
        <v>83.507603654000008</v>
      </c>
      <c r="K21" s="2967"/>
      <c r="L21" s="2967"/>
      <c r="M21" s="2988">
        <v>87.3</v>
      </c>
      <c r="N21" s="2967"/>
      <c r="O21" s="2967"/>
      <c r="P21" s="2989">
        <v>89.837412358800009</v>
      </c>
      <c r="Q21" s="2968"/>
      <c r="R21" s="2968">
        <v>115.1</v>
      </c>
      <c r="S21" s="2968"/>
      <c r="T21" s="2968"/>
      <c r="U21" s="2968">
        <v>117.9</v>
      </c>
      <c r="V21" s="2968"/>
      <c r="W21" s="2968"/>
      <c r="X21" s="2990">
        <v>124.21299999999999</v>
      </c>
      <c r="Y21" s="2990"/>
      <c r="Z21" s="2990"/>
      <c r="AA21" s="2990">
        <v>139.63999999999999</v>
      </c>
      <c r="AB21" s="2990"/>
      <c r="AC21" s="2990"/>
      <c r="AD21" s="2990"/>
    </row>
    <row r="22" spans="1:30" ht="15.75" thickBot="1">
      <c r="A22" s="2991"/>
      <c r="B22" s="2992"/>
      <c r="C22" s="2992"/>
      <c r="D22" s="2992"/>
      <c r="E22" s="2992"/>
      <c r="F22" s="2992"/>
      <c r="G22" s="2992"/>
      <c r="H22" s="2992"/>
      <c r="I22" s="2992"/>
      <c r="J22" s="2992"/>
      <c r="K22" s="2992"/>
      <c r="L22" s="2992"/>
      <c r="M22" s="2992"/>
      <c r="N22" s="2992"/>
      <c r="O22" s="2992"/>
      <c r="P22" s="2992"/>
      <c r="Q22" s="2992"/>
      <c r="R22" s="2992"/>
      <c r="S22" s="2992"/>
      <c r="T22" s="2992"/>
      <c r="U22" s="2992"/>
      <c r="V22" s="2992"/>
      <c r="W22" s="2992"/>
      <c r="X22" s="2992"/>
      <c r="Y22" s="2992"/>
      <c r="Z22" s="2992"/>
      <c r="AA22" s="2993"/>
      <c r="AB22" s="2993"/>
      <c r="AC22" s="2993"/>
      <c r="AD22" s="2993"/>
    </row>
    <row r="23" spans="1:30" ht="15">
      <c r="A23" s="2994" t="s">
        <v>4049</v>
      </c>
      <c r="B23" s="2994"/>
      <c r="C23" s="2994"/>
      <c r="D23" s="2994"/>
      <c r="E23" s="2994"/>
      <c r="F23" s="2994"/>
      <c r="G23" s="2994"/>
      <c r="H23" s="2994"/>
      <c r="I23" s="2994"/>
      <c r="J23" s="2994"/>
      <c r="K23" s="2994"/>
      <c r="L23" s="2994"/>
      <c r="M23" s="2994"/>
      <c r="N23" s="2994"/>
      <c r="O23" s="2994"/>
      <c r="P23" s="2994"/>
      <c r="Q23" s="2994"/>
      <c r="R23" s="2994"/>
    </row>
    <row r="24" spans="1:30" ht="15">
      <c r="A24" s="2994" t="s">
        <v>4050</v>
      </c>
      <c r="B24" s="2994"/>
      <c r="C24" s="2994"/>
      <c r="D24" s="2994"/>
      <c r="E24" s="2994"/>
      <c r="F24" s="2994"/>
      <c r="G24" s="2994"/>
      <c r="H24" s="2994"/>
      <c r="I24" s="2994"/>
      <c r="J24" s="2994"/>
      <c r="K24" s="2994"/>
      <c r="L24" s="2994"/>
      <c r="M24" s="2994"/>
      <c r="N24" s="2994"/>
      <c r="O24" s="2994"/>
      <c r="P24" s="2994"/>
      <c r="Q24" s="2994"/>
      <c r="R24" s="2994"/>
    </row>
    <row r="25" spans="1:30" ht="15">
      <c r="A25" s="2994" t="s">
        <v>4051</v>
      </c>
      <c r="B25" s="2994"/>
      <c r="C25" s="2994"/>
      <c r="D25" s="2994"/>
      <c r="E25" s="2994"/>
      <c r="F25" s="2994"/>
      <c r="G25" s="2994"/>
      <c r="H25" s="2994"/>
      <c r="I25" s="2994"/>
      <c r="J25" s="2994"/>
      <c r="K25" s="2994"/>
      <c r="L25" s="2994"/>
      <c r="M25" s="2994"/>
      <c r="N25" s="2994"/>
      <c r="O25" s="2994"/>
      <c r="P25" s="2994"/>
      <c r="Q25" s="2994"/>
      <c r="R25" s="2994"/>
    </row>
    <row r="26" spans="1:30" ht="15">
      <c r="A26" s="2995" t="s">
        <v>554</v>
      </c>
      <c r="B26" s="2994"/>
      <c r="C26" s="2994"/>
      <c r="D26" s="2994"/>
      <c r="E26" s="2994"/>
      <c r="F26" s="2994"/>
      <c r="G26" s="2994"/>
      <c r="H26" s="2994"/>
      <c r="I26" s="2994"/>
      <c r="J26" s="2994"/>
      <c r="K26" s="2994"/>
      <c r="L26" s="2994"/>
      <c r="M26" s="2994"/>
      <c r="N26" s="2994"/>
      <c r="O26" s="2994"/>
      <c r="P26" s="2994"/>
      <c r="Q26" s="2994"/>
      <c r="R26" s="2994"/>
    </row>
    <row r="27" spans="1:30" ht="6" customHeight="1">
      <c r="A27" s="2995"/>
      <c r="B27" s="2994"/>
      <c r="C27" s="2994"/>
      <c r="D27" s="2994"/>
      <c r="E27" s="2994"/>
      <c r="F27" s="2994"/>
      <c r="G27" s="2994"/>
      <c r="H27" s="2994"/>
      <c r="I27" s="2994"/>
      <c r="J27" s="2994"/>
      <c r="K27" s="2994"/>
      <c r="L27" s="2994"/>
      <c r="M27" s="2994"/>
      <c r="N27" s="2994"/>
      <c r="O27" s="2994"/>
      <c r="P27" s="2994"/>
      <c r="Q27" s="2994"/>
      <c r="R27" s="2994"/>
    </row>
    <row r="28" spans="1:30" s="1685" customFormat="1" ht="18.75">
      <c r="A28" s="2996" t="s">
        <v>4052</v>
      </c>
      <c r="B28" s="2997"/>
      <c r="C28" s="2997"/>
      <c r="D28" s="2997"/>
      <c r="E28" s="2997"/>
      <c r="F28" s="2997"/>
      <c r="G28" s="2997"/>
      <c r="H28" s="2997"/>
      <c r="I28" s="2997"/>
      <c r="J28" s="2997"/>
      <c r="K28" s="2997"/>
      <c r="L28" s="2997"/>
      <c r="M28" s="2997"/>
      <c r="N28" s="2997"/>
      <c r="O28" s="2997"/>
      <c r="P28" s="2997"/>
      <c r="Q28" s="2997"/>
      <c r="R28" s="2997"/>
      <c r="S28" s="2997"/>
      <c r="T28" s="2997"/>
      <c r="U28" s="2997"/>
      <c r="V28" s="2997"/>
      <c r="W28" s="2997"/>
      <c r="X28" s="2997"/>
      <c r="Y28" s="2997"/>
      <c r="Z28" s="2997"/>
      <c r="AA28" s="2997"/>
      <c r="AB28" s="2997"/>
      <c r="AC28" s="2997"/>
      <c r="AD28" s="2997"/>
    </row>
    <row r="29" spans="1:30" s="1685" customFormat="1" ht="15.75" thickBot="1">
      <c r="B29" s="2997"/>
      <c r="C29" s="2997"/>
      <c r="D29" s="2997"/>
      <c r="E29" s="2997"/>
      <c r="F29" s="2997"/>
      <c r="G29" s="2997"/>
      <c r="H29" s="2997"/>
      <c r="I29" s="2997"/>
      <c r="J29" s="2997"/>
      <c r="K29" s="2997"/>
      <c r="L29" s="2997"/>
      <c r="M29" s="2997"/>
      <c r="N29" s="2997"/>
      <c r="O29" s="2997"/>
      <c r="P29" s="2997"/>
      <c r="Q29" s="2997"/>
      <c r="R29" s="2997"/>
      <c r="S29" s="2997"/>
      <c r="T29" s="2997"/>
      <c r="U29" s="2997"/>
      <c r="V29" s="2997"/>
      <c r="W29" s="2997"/>
      <c r="X29" s="2997"/>
      <c r="Y29" s="2997"/>
      <c r="Z29" s="2997"/>
      <c r="AA29" s="2997"/>
      <c r="AB29" s="2997"/>
      <c r="AC29" s="2997"/>
      <c r="AD29" s="2997"/>
    </row>
    <row r="30" spans="1:30" s="3003" customFormat="1" ht="27" customHeight="1">
      <c r="A30" s="2998"/>
      <c r="B30" s="2999">
        <v>40910</v>
      </c>
      <c r="C30" s="3000">
        <v>40941</v>
      </c>
      <c r="D30" s="3000">
        <v>40971</v>
      </c>
      <c r="E30" s="3000">
        <v>41003</v>
      </c>
      <c r="F30" s="3000">
        <v>41034</v>
      </c>
      <c r="G30" s="3000">
        <v>41066</v>
      </c>
      <c r="H30" s="3000">
        <v>41097</v>
      </c>
      <c r="I30" s="3000">
        <v>41129</v>
      </c>
      <c r="J30" s="3000">
        <v>41161</v>
      </c>
      <c r="K30" s="3000">
        <v>41192</v>
      </c>
      <c r="L30" s="3000">
        <v>41224</v>
      </c>
      <c r="M30" s="3000">
        <v>41255</v>
      </c>
      <c r="N30" s="3000">
        <v>41275</v>
      </c>
      <c r="O30" s="3000">
        <v>41307</v>
      </c>
      <c r="P30" s="3001">
        <v>41336</v>
      </c>
      <c r="Q30" s="3002">
        <f t="shared" ref="Q30:AD30" si="0">Q3</f>
        <v>41399</v>
      </c>
      <c r="R30" s="3002">
        <f t="shared" si="0"/>
        <v>41431</v>
      </c>
      <c r="S30" s="3002">
        <f t="shared" si="0"/>
        <v>41462</v>
      </c>
      <c r="T30" s="3002">
        <f t="shared" si="0"/>
        <v>41494</v>
      </c>
      <c r="U30" s="3002">
        <f t="shared" si="0"/>
        <v>41526</v>
      </c>
      <c r="V30" s="3002">
        <f t="shared" si="0"/>
        <v>41557</v>
      </c>
      <c r="W30" s="3002">
        <f t="shared" si="0"/>
        <v>41588</v>
      </c>
      <c r="X30" s="3002">
        <f t="shared" si="0"/>
        <v>41619</v>
      </c>
      <c r="Y30" s="3002">
        <f t="shared" si="0"/>
        <v>41640</v>
      </c>
      <c r="Z30" s="3002">
        <f t="shared" si="0"/>
        <v>41671</v>
      </c>
      <c r="AA30" s="3002">
        <f t="shared" si="0"/>
        <v>41700</v>
      </c>
      <c r="AB30" s="3002">
        <f t="shared" si="0"/>
        <v>41732</v>
      </c>
      <c r="AC30" s="3002">
        <f t="shared" si="0"/>
        <v>41762</v>
      </c>
      <c r="AD30" s="3002">
        <f t="shared" si="0"/>
        <v>41794</v>
      </c>
    </row>
    <row r="31" spans="1:30" s="3003" customFormat="1" ht="14.25" customHeight="1">
      <c r="A31" s="3004"/>
      <c r="B31" s="3005"/>
      <c r="C31" s="3005"/>
      <c r="D31" s="3005"/>
      <c r="E31" s="3005"/>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row>
    <row r="32" spans="1:30" s="3003" customFormat="1" ht="21" customHeight="1">
      <c r="A32" s="3006" t="s">
        <v>4053</v>
      </c>
      <c r="B32" s="3007">
        <v>218504</v>
      </c>
      <c r="C32" s="3007">
        <v>224119</v>
      </c>
      <c r="D32" s="3007">
        <v>228136</v>
      </c>
      <c r="E32" s="3007">
        <v>226594</v>
      </c>
      <c r="F32" s="3007">
        <v>231147</v>
      </c>
      <c r="G32" s="3007">
        <v>235129</v>
      </c>
      <c r="H32" s="3007">
        <v>239464</v>
      </c>
      <c r="I32" s="3007">
        <v>218381</v>
      </c>
      <c r="J32" s="3007">
        <v>220362</v>
      </c>
      <c r="K32" s="3007">
        <v>197884</v>
      </c>
      <c r="L32" s="3007">
        <v>196323</v>
      </c>
      <c r="M32" s="3007">
        <v>200345</v>
      </c>
      <c r="N32" s="3007">
        <v>204835</v>
      </c>
      <c r="O32" s="3007">
        <v>211679</v>
      </c>
      <c r="P32" s="3008">
        <v>216738</v>
      </c>
      <c r="Q32" s="3008">
        <v>225759</v>
      </c>
      <c r="R32" s="3008">
        <v>229500</v>
      </c>
      <c r="S32" s="3008">
        <v>234910</v>
      </c>
      <c r="T32" s="3008">
        <v>235346</v>
      </c>
      <c r="U32" s="3008">
        <v>234435</v>
      </c>
      <c r="V32" s="3008">
        <v>234949</v>
      </c>
      <c r="W32" s="3008">
        <v>237508</v>
      </c>
      <c r="X32" s="3008">
        <v>240808</v>
      </c>
      <c r="Y32" s="3008">
        <v>240601</v>
      </c>
      <c r="Z32" s="3008">
        <v>243965</v>
      </c>
      <c r="AA32" s="3008">
        <v>235627</v>
      </c>
      <c r="AB32" s="3008">
        <v>252507</v>
      </c>
      <c r="AC32" s="3008">
        <v>257288</v>
      </c>
      <c r="AD32" s="3008">
        <v>260171</v>
      </c>
    </row>
    <row r="33" spans="1:30" s="3003" customFormat="1" ht="6.75" customHeight="1" thickBot="1">
      <c r="A33" s="3006"/>
      <c r="B33" s="3009"/>
      <c r="C33" s="3009"/>
      <c r="D33" s="3009"/>
      <c r="E33" s="3009"/>
      <c r="F33" s="3009"/>
      <c r="G33" s="3009"/>
      <c r="H33" s="3009"/>
      <c r="I33" s="3009"/>
      <c r="J33" s="3009"/>
      <c r="K33" s="3009"/>
      <c r="L33" s="3009"/>
      <c r="M33" s="3009"/>
      <c r="N33" s="3009"/>
      <c r="O33" s="3009"/>
      <c r="P33" s="3009"/>
      <c r="Q33" s="3009"/>
      <c r="R33" s="3009"/>
      <c r="S33" s="3009"/>
      <c r="T33" s="3009"/>
      <c r="U33" s="3009"/>
      <c r="V33" s="3009"/>
      <c r="W33" s="3009"/>
      <c r="X33" s="3009"/>
      <c r="Y33" s="3009"/>
      <c r="Z33" s="3009"/>
      <c r="AA33" s="3009"/>
      <c r="AB33" s="3009"/>
      <c r="AC33" s="3009"/>
      <c r="AD33" s="3009"/>
    </row>
    <row r="34" spans="1:30" s="3003" customFormat="1" ht="17.25" customHeight="1" thickBot="1">
      <c r="A34" s="3004"/>
      <c r="B34" s="3010"/>
      <c r="C34" s="3010"/>
      <c r="D34" s="3010"/>
      <c r="E34" s="3010"/>
      <c r="F34" s="3010"/>
      <c r="G34" s="3010"/>
      <c r="H34" s="3010"/>
      <c r="I34" s="3010"/>
      <c r="J34" s="3010"/>
      <c r="K34" s="3010"/>
      <c r="L34" s="3010"/>
      <c r="M34" s="3010"/>
      <c r="N34" s="3010"/>
      <c r="O34" s="3010"/>
      <c r="P34" s="3010"/>
      <c r="Q34" s="3010"/>
      <c r="R34" s="3010"/>
      <c r="S34" s="3010"/>
      <c r="T34" s="3010"/>
      <c r="U34" s="3010"/>
      <c r="V34" s="3010"/>
      <c r="W34" s="3010"/>
      <c r="X34" s="3010"/>
      <c r="Y34" s="3010"/>
      <c r="Z34" s="3010"/>
      <c r="AA34" s="3010"/>
      <c r="AB34" s="3010"/>
      <c r="AC34" s="3010"/>
      <c r="AD34" s="3010"/>
    </row>
    <row r="35" spans="1:30" s="3003" customFormat="1" ht="15.75">
      <c r="A35" s="3006" t="s">
        <v>4054</v>
      </c>
      <c r="B35" s="3011">
        <v>238413</v>
      </c>
      <c r="C35" s="3011">
        <v>238093</v>
      </c>
      <c r="D35" s="3011">
        <v>261162</v>
      </c>
      <c r="E35" s="3011">
        <v>277292</v>
      </c>
      <c r="F35" s="3011">
        <v>283585</v>
      </c>
      <c r="G35" s="3011">
        <v>266059</v>
      </c>
      <c r="H35" s="3011">
        <v>290958</v>
      </c>
      <c r="I35" s="3011">
        <v>283367</v>
      </c>
      <c r="J35" s="3011">
        <v>264927</v>
      </c>
      <c r="K35" s="3011">
        <v>315412</v>
      </c>
      <c r="L35" s="3011">
        <v>295863</v>
      </c>
      <c r="M35" s="3011">
        <v>392058</v>
      </c>
      <c r="N35" s="3011">
        <v>351065</v>
      </c>
      <c r="O35" s="3011">
        <v>327122</v>
      </c>
      <c r="P35" s="3012">
        <v>380181</v>
      </c>
      <c r="Q35" s="3012">
        <v>385013</v>
      </c>
      <c r="R35" s="3012">
        <v>366954</v>
      </c>
      <c r="S35" s="3012">
        <v>406022</v>
      </c>
      <c r="T35" s="3012">
        <v>392209</v>
      </c>
      <c r="U35" s="3012">
        <v>375620</v>
      </c>
      <c r="V35" s="3012">
        <v>410190</v>
      </c>
      <c r="W35" s="3012">
        <v>398849</v>
      </c>
      <c r="X35" s="3012">
        <v>525624</v>
      </c>
      <c r="Y35" s="3012">
        <v>402112</v>
      </c>
      <c r="Z35" s="3012">
        <v>375413</v>
      </c>
      <c r="AA35" s="3012">
        <v>422037</v>
      </c>
      <c r="AB35" s="3012">
        <v>435923</v>
      </c>
      <c r="AC35" s="3012">
        <v>441066</v>
      </c>
      <c r="AD35" s="3012">
        <v>420177</v>
      </c>
    </row>
    <row r="36" spans="1:30" s="3003" customFormat="1" ht="15.75">
      <c r="A36" s="3006" t="s">
        <v>4055</v>
      </c>
      <c r="B36" s="3007">
        <v>43475.962768999998</v>
      </c>
      <c r="C36" s="3007">
        <v>53599.680598999999</v>
      </c>
      <c r="D36" s="3007">
        <v>50754</v>
      </c>
      <c r="E36" s="3007">
        <v>44273.632428999998</v>
      </c>
      <c r="F36" s="3007">
        <v>56415.093000000001</v>
      </c>
      <c r="G36" s="3007">
        <v>69886.773830000006</v>
      </c>
      <c r="H36" s="3007">
        <v>95686.427930000005</v>
      </c>
      <c r="I36" s="3007">
        <v>99053.420203000001</v>
      </c>
      <c r="J36" s="3007">
        <v>109788.97238200001</v>
      </c>
      <c r="K36" s="3007">
        <v>94589.501147999996</v>
      </c>
      <c r="L36" s="3007">
        <v>111014.214874</v>
      </c>
      <c r="M36" s="3007">
        <v>135896.03765000001</v>
      </c>
      <c r="N36" s="3007">
        <v>91072.939985999998</v>
      </c>
      <c r="O36" s="3007">
        <v>105733.91310200001</v>
      </c>
      <c r="P36" s="3008">
        <v>156737.17344799999</v>
      </c>
      <c r="Q36" s="3008">
        <v>88654.171180000005</v>
      </c>
      <c r="R36" s="3008">
        <v>123315.401</v>
      </c>
      <c r="S36" s="3008">
        <v>110439.07325723401</v>
      </c>
      <c r="T36" s="3008">
        <v>83870.612330999997</v>
      </c>
      <c r="U36" s="3008">
        <v>131569.13808400001</v>
      </c>
      <c r="V36" s="3008">
        <v>105040.50852712478</v>
      </c>
      <c r="W36" s="3008">
        <v>84908.775735624222</v>
      </c>
      <c r="X36" s="3008">
        <v>187514.1931471756</v>
      </c>
      <c r="Y36" s="3008">
        <v>117692.056832556</v>
      </c>
      <c r="Z36" s="3008">
        <v>82396.713636</v>
      </c>
      <c r="AA36" s="3008">
        <v>104323</v>
      </c>
      <c r="AB36" s="3008">
        <v>97269</v>
      </c>
      <c r="AC36" s="3008">
        <v>126271.62020400001</v>
      </c>
      <c r="AD36" s="3008">
        <v>179424.24770530299</v>
      </c>
    </row>
    <row r="37" spans="1:30" s="3003" customFormat="1" ht="16.5" thickBot="1">
      <c r="A37" s="3013" t="s">
        <v>4056</v>
      </c>
      <c r="B37" s="3014">
        <v>43475.962</v>
      </c>
      <c r="C37" s="3014">
        <v>48537.821684000002</v>
      </c>
      <c r="D37" s="3014">
        <v>49277</v>
      </c>
      <c r="E37" s="3014">
        <v>48025.854202000002</v>
      </c>
      <c r="F37" s="3014">
        <v>49703.701975999997</v>
      </c>
      <c r="G37" s="3014">
        <v>53067.547285000001</v>
      </c>
      <c r="H37" s="3014">
        <v>59155.958806000002</v>
      </c>
      <c r="I37" s="3014">
        <v>64143.141479999998</v>
      </c>
      <c r="J37" s="3014">
        <v>69214.900469</v>
      </c>
      <c r="K37" s="3014">
        <v>71752.360537</v>
      </c>
      <c r="L37" s="3014">
        <v>75321.620022000003</v>
      </c>
      <c r="M37" s="3014">
        <v>80369.488157999993</v>
      </c>
      <c r="N37" s="3014">
        <v>91072.939985999998</v>
      </c>
      <c r="O37" s="3014">
        <v>98403.426544000002</v>
      </c>
      <c r="P37" s="3015">
        <v>117848.008845</v>
      </c>
      <c r="Q37" s="3015">
        <v>115113.088988</v>
      </c>
      <c r="R37" s="3015">
        <v>116480.074398</v>
      </c>
      <c r="S37" s="3015">
        <v>115617.07399999999</v>
      </c>
      <c r="T37" s="3015">
        <v>111648.766497</v>
      </c>
      <c r="U37" s="3015">
        <v>113862.141118</v>
      </c>
      <c r="V37" s="3015">
        <v>112979.97785884212</v>
      </c>
      <c r="W37" s="3015">
        <v>110428.05039309504</v>
      </c>
      <c r="X37" s="3015">
        <v>116851.89562260175</v>
      </c>
      <c r="Y37" s="3015">
        <v>117692.05683255615</v>
      </c>
      <c r="Z37" s="3015">
        <v>100044.38523428794</v>
      </c>
      <c r="AA37" s="3015">
        <v>101471</v>
      </c>
      <c r="AB37" s="3015">
        <v>100420</v>
      </c>
      <c r="AC37" s="3015">
        <v>105590.64532</v>
      </c>
      <c r="AD37" s="3015">
        <v>117896.24571768557</v>
      </c>
    </row>
    <row r="38" spans="1:30" s="1685" customFormat="1" ht="15">
      <c r="A38" s="2995" t="s">
        <v>4057</v>
      </c>
      <c r="B38" s="3016"/>
      <c r="C38" s="3016"/>
      <c r="D38" s="3016"/>
      <c r="E38" s="3016"/>
      <c r="F38" s="3016"/>
      <c r="G38" s="3016"/>
      <c r="H38" s="3016"/>
      <c r="I38" s="3016"/>
      <c r="J38" s="3016"/>
      <c r="K38" s="3016"/>
      <c r="L38" s="3016"/>
      <c r="M38" s="3016"/>
      <c r="N38" s="3016"/>
      <c r="O38" s="3016"/>
      <c r="P38" s="3016"/>
      <c r="Q38" s="3016"/>
      <c r="R38" s="3016"/>
      <c r="S38" s="3016"/>
      <c r="T38" s="2997"/>
      <c r="U38" s="2997"/>
      <c r="V38" s="2997"/>
      <c r="W38" s="2997"/>
      <c r="X38" s="2997"/>
      <c r="Y38" s="2997"/>
      <c r="Z38" s="2997"/>
      <c r="AA38" s="2997"/>
      <c r="AB38" s="2997"/>
      <c r="AC38" s="2997"/>
      <c r="AD38" s="2997"/>
    </row>
    <row r="39" spans="1:30" ht="15">
      <c r="A39" s="2995" t="s">
        <v>3059</v>
      </c>
      <c r="B39" s="2994"/>
      <c r="C39" s="2994"/>
      <c r="D39" s="2994"/>
      <c r="E39" s="2994"/>
      <c r="F39" s="2994"/>
      <c r="G39" s="2994"/>
      <c r="H39" s="2994"/>
      <c r="I39" s="2994"/>
      <c r="J39" s="2994"/>
      <c r="K39" s="2994"/>
      <c r="L39" s="2994"/>
      <c r="M39" s="2994"/>
      <c r="N39" s="2994"/>
      <c r="O39" s="2994"/>
      <c r="P39" s="2994"/>
      <c r="Q39" s="2994"/>
      <c r="R39" s="2994"/>
      <c r="S39" s="3017"/>
    </row>
  </sheetData>
  <pageMargins left="0.20866141699999999" right="0.20866141699999999" top="0.49803149600000002" bottom="0.49803149600000002" header="6.4960630000000005E-2" footer="6.4960630000000005E-2"/>
  <pageSetup paperSize="9" scale="7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4"/>
  <sheetViews>
    <sheetView zoomScaleNormal="100" workbookViewId="0">
      <selection activeCell="H36" sqref="H36"/>
    </sheetView>
  </sheetViews>
  <sheetFormatPr defaultRowHeight="15"/>
  <cols>
    <col min="1" max="1" width="14.85546875" style="1685" customWidth="1"/>
    <col min="2" max="2" width="14.140625" style="1685" customWidth="1"/>
    <col min="3" max="3" width="13.7109375" style="1685" customWidth="1"/>
    <col min="4" max="5" width="13.85546875" style="1685" customWidth="1"/>
    <col min="6" max="6" width="13.42578125" style="1685" customWidth="1"/>
    <col min="7" max="16384" width="9.140625" style="1685"/>
  </cols>
  <sheetData>
    <row r="1" spans="1:7" s="3019" customFormat="1" ht="18.75">
      <c r="A1" s="1287" t="s">
        <v>4058</v>
      </c>
      <c r="B1" s="1287"/>
      <c r="C1" s="1287"/>
      <c r="D1" s="1287"/>
      <c r="E1" s="1287"/>
      <c r="F1" s="1287"/>
      <c r="G1" s="3018"/>
    </row>
    <row r="2" spans="1:7" ht="18.75">
      <c r="A2" s="1287" t="s">
        <v>4059</v>
      </c>
      <c r="B2" s="3020"/>
      <c r="C2" s="1287"/>
      <c r="D2" s="1287"/>
      <c r="E2" s="1287"/>
      <c r="F2" s="1287"/>
      <c r="G2" s="3021"/>
    </row>
    <row r="3" spans="1:7" ht="15.75" thickBot="1">
      <c r="A3" s="3021"/>
      <c r="B3" s="3021"/>
      <c r="C3" s="3021"/>
      <c r="D3" s="3021"/>
      <c r="E3" s="3021"/>
      <c r="F3" s="3021"/>
      <c r="G3" s="3021"/>
    </row>
    <row r="4" spans="1:7" ht="16.5" thickTop="1" thickBot="1">
      <c r="A4" s="3022"/>
      <c r="B4" s="3023"/>
      <c r="C4" s="3024"/>
      <c r="D4" s="3024"/>
      <c r="E4" s="3506" t="s">
        <v>1339</v>
      </c>
      <c r="F4" s="3507"/>
      <c r="G4" s="3025"/>
    </row>
    <row r="5" spans="1:7" ht="48" thickBot="1">
      <c r="A5" s="3026"/>
      <c r="B5" s="3027" t="s">
        <v>4054</v>
      </c>
      <c r="C5" s="3028" t="s">
        <v>4060</v>
      </c>
      <c r="D5" s="3028" t="s">
        <v>4061</v>
      </c>
      <c r="E5" s="3028" t="s">
        <v>4054</v>
      </c>
      <c r="F5" s="3029" t="s">
        <v>4060</v>
      </c>
      <c r="G5" s="3030"/>
    </row>
    <row r="6" spans="1:7" ht="16.5" hidden="1" customHeight="1" thickTop="1">
      <c r="A6" s="3031">
        <v>40179</v>
      </c>
      <c r="B6" s="3032">
        <v>23220</v>
      </c>
      <c r="C6" s="3033">
        <v>146156</v>
      </c>
      <c r="D6" s="3033">
        <v>20</v>
      </c>
      <c r="E6" s="3033">
        <v>1661</v>
      </c>
      <c r="F6" s="3034">
        <v>6643</v>
      </c>
    </row>
    <row r="7" spans="1:7" ht="16.5" hidden="1" customHeight="1" thickTop="1">
      <c r="A7" s="3031">
        <v>40210</v>
      </c>
      <c r="B7" s="3032">
        <v>23636</v>
      </c>
      <c r="C7" s="3033">
        <v>122529</v>
      </c>
      <c r="D7" s="3033">
        <v>18</v>
      </c>
      <c r="E7" s="3033">
        <v>1313</v>
      </c>
      <c r="F7" s="3034">
        <v>6807</v>
      </c>
    </row>
    <row r="8" spans="1:7" ht="16.5" hidden="1" customHeight="1" thickTop="1">
      <c r="A8" s="3031">
        <v>40238</v>
      </c>
      <c r="B8" s="3032">
        <v>31374</v>
      </c>
      <c r="C8" s="3033">
        <v>147960</v>
      </c>
      <c r="D8" s="3033">
        <v>21</v>
      </c>
      <c r="E8" s="3033">
        <v>1494</v>
      </c>
      <c r="F8" s="3034">
        <v>7046</v>
      </c>
    </row>
    <row r="9" spans="1:7" ht="16.5" hidden="1" customHeight="1" thickTop="1">
      <c r="A9" s="3031">
        <v>40269</v>
      </c>
      <c r="B9" s="3032">
        <v>28196</v>
      </c>
      <c r="C9" s="3033">
        <v>155766</v>
      </c>
      <c r="D9" s="3033">
        <v>22</v>
      </c>
      <c r="E9" s="3033">
        <v>1282</v>
      </c>
      <c r="F9" s="3034">
        <v>7080</v>
      </c>
    </row>
    <row r="10" spans="1:7" ht="16.5" hidden="1" customHeight="1" thickTop="1">
      <c r="A10" s="3031">
        <v>40299</v>
      </c>
      <c r="B10" s="3032">
        <v>26950</v>
      </c>
      <c r="C10" s="3033">
        <v>128348</v>
      </c>
      <c r="D10" s="3033">
        <v>20</v>
      </c>
      <c r="E10" s="3033">
        <v>1348</v>
      </c>
      <c r="F10" s="3034">
        <v>6417</v>
      </c>
    </row>
    <row r="11" spans="1:7" ht="16.5" hidden="1" customHeight="1" thickTop="1">
      <c r="A11" s="3031">
        <v>40330</v>
      </c>
      <c r="B11" s="3032">
        <v>32021</v>
      </c>
      <c r="C11" s="3033">
        <v>157459</v>
      </c>
      <c r="D11" s="3033">
        <v>22</v>
      </c>
      <c r="E11" s="3033">
        <v>1456</v>
      </c>
      <c r="F11" s="3034">
        <v>7157</v>
      </c>
    </row>
    <row r="12" spans="1:7" ht="16.5" hidden="1" customHeight="1" thickTop="1">
      <c r="A12" s="3031">
        <v>40360</v>
      </c>
      <c r="B12" s="3032">
        <v>29038</v>
      </c>
      <c r="C12" s="3033">
        <v>131775</v>
      </c>
      <c r="D12" s="3033">
        <v>22</v>
      </c>
      <c r="E12" s="3033">
        <v>1320</v>
      </c>
      <c r="F12" s="3034">
        <v>5990</v>
      </c>
    </row>
    <row r="13" spans="1:7" ht="16.5" hidden="1" customHeight="1" thickTop="1">
      <c r="A13" s="3031">
        <v>40391</v>
      </c>
      <c r="B13" s="3035">
        <v>30325</v>
      </c>
      <c r="C13" s="3033">
        <v>128293</v>
      </c>
      <c r="D13" s="3033">
        <v>22</v>
      </c>
      <c r="E13" s="3033">
        <v>1378</v>
      </c>
      <c r="F13" s="3036">
        <v>5831</v>
      </c>
    </row>
    <row r="14" spans="1:7" ht="16.5" hidden="1" customHeight="1" thickTop="1">
      <c r="A14" s="3031">
        <v>40422</v>
      </c>
      <c r="B14" s="3035">
        <v>31858</v>
      </c>
      <c r="C14" s="3033">
        <v>148964</v>
      </c>
      <c r="D14" s="3033">
        <v>21</v>
      </c>
      <c r="E14" s="3033">
        <v>1517</v>
      </c>
      <c r="F14" s="3036">
        <v>7094</v>
      </c>
    </row>
    <row r="15" spans="1:7" ht="16.5" hidden="1" customHeight="1" thickTop="1">
      <c r="A15" s="3031">
        <v>40452</v>
      </c>
      <c r="B15" s="3035">
        <v>29896</v>
      </c>
      <c r="C15" s="3033">
        <v>147274</v>
      </c>
      <c r="D15" s="3033">
        <v>21</v>
      </c>
      <c r="E15" s="3033">
        <v>1424</v>
      </c>
      <c r="F15" s="3036">
        <v>7013</v>
      </c>
    </row>
    <row r="16" spans="1:7" ht="16.5" hidden="1" customHeight="1" thickTop="1">
      <c r="A16" s="3031">
        <v>40483</v>
      </c>
      <c r="B16" s="3035">
        <v>34491</v>
      </c>
      <c r="C16" s="3033">
        <v>152572.0152884</v>
      </c>
      <c r="D16" s="3033">
        <v>20</v>
      </c>
      <c r="E16" s="3033">
        <v>1724.55</v>
      </c>
      <c r="F16" s="3036">
        <v>7628.6007644199999</v>
      </c>
    </row>
    <row r="17" spans="1:6" ht="16.5" hidden="1" customHeight="1" thickTop="1">
      <c r="A17" s="3031">
        <v>40522</v>
      </c>
      <c r="B17" s="3035">
        <v>45307</v>
      </c>
      <c r="C17" s="3033">
        <v>220826</v>
      </c>
      <c r="D17" s="3033">
        <v>23</v>
      </c>
      <c r="E17" s="3033">
        <v>1970</v>
      </c>
      <c r="F17" s="3034">
        <v>9601</v>
      </c>
    </row>
    <row r="18" spans="1:6" ht="16.5" hidden="1" customHeight="1" thickTop="1">
      <c r="A18" s="3031">
        <v>40553</v>
      </c>
      <c r="B18" s="3035">
        <v>30565</v>
      </c>
      <c r="C18" s="3033">
        <v>153705.071</v>
      </c>
      <c r="D18" s="3033">
        <v>19</v>
      </c>
      <c r="E18" s="3033">
        <v>1609</v>
      </c>
      <c r="F18" s="3034">
        <v>8090</v>
      </c>
    </row>
    <row r="19" spans="1:6" ht="16.5" hidden="1" customHeight="1" thickTop="1">
      <c r="A19" s="3031">
        <v>40584</v>
      </c>
      <c r="B19" s="3035">
        <v>30735</v>
      </c>
      <c r="C19" s="3033">
        <v>142370</v>
      </c>
      <c r="D19" s="3033">
        <v>18</v>
      </c>
      <c r="E19" s="3033">
        <v>1708</v>
      </c>
      <c r="F19" s="3034">
        <v>7909</v>
      </c>
    </row>
    <row r="20" spans="1:6" ht="16.5" hidden="1" customHeight="1" thickTop="1">
      <c r="A20" s="3031">
        <v>40612</v>
      </c>
      <c r="B20" s="3035">
        <v>38636</v>
      </c>
      <c r="C20" s="3033">
        <v>168058</v>
      </c>
      <c r="D20" s="3033">
        <v>22</v>
      </c>
      <c r="E20" s="3033">
        <v>1756</v>
      </c>
      <c r="F20" s="3034">
        <v>7639</v>
      </c>
    </row>
    <row r="21" spans="1:6" ht="16.5" hidden="1" customHeight="1" thickTop="1">
      <c r="A21" s="3031">
        <v>40643</v>
      </c>
      <c r="B21" s="3035">
        <v>33065</v>
      </c>
      <c r="C21" s="3033">
        <v>187887</v>
      </c>
      <c r="D21" s="3033">
        <v>20</v>
      </c>
      <c r="E21" s="3033">
        <v>1653</v>
      </c>
      <c r="F21" s="3034">
        <v>9394</v>
      </c>
    </row>
    <row r="22" spans="1:6" ht="16.5" hidden="1" customHeight="1" thickTop="1">
      <c r="A22" s="3031">
        <v>40673</v>
      </c>
      <c r="B22" s="3035">
        <v>38149</v>
      </c>
      <c r="C22" s="3033">
        <v>169093</v>
      </c>
      <c r="D22" s="3033">
        <v>22</v>
      </c>
      <c r="E22" s="3033">
        <v>1734</v>
      </c>
      <c r="F22" s="3034">
        <v>7686</v>
      </c>
    </row>
    <row r="23" spans="1:6" ht="16.5" hidden="1" customHeight="1" thickTop="1">
      <c r="A23" s="3031">
        <v>40704</v>
      </c>
      <c r="B23" s="3035">
        <v>39231</v>
      </c>
      <c r="C23" s="3033">
        <v>158713</v>
      </c>
      <c r="D23" s="3033">
        <v>22</v>
      </c>
      <c r="E23" s="3033">
        <v>1783</v>
      </c>
      <c r="F23" s="3034">
        <v>7214</v>
      </c>
    </row>
    <row r="24" spans="1:6" ht="16.5" hidden="1" customHeight="1" thickTop="1">
      <c r="A24" s="3031">
        <v>40734</v>
      </c>
      <c r="B24" s="3035">
        <v>35465</v>
      </c>
      <c r="C24" s="3033">
        <v>156666</v>
      </c>
      <c r="D24" s="3033">
        <v>21</v>
      </c>
      <c r="E24" s="3033">
        <v>1689</v>
      </c>
      <c r="F24" s="3034">
        <v>7460</v>
      </c>
    </row>
    <row r="25" spans="1:6" ht="16.5" hidden="1" customHeight="1" thickTop="1">
      <c r="A25" s="3031">
        <v>40756</v>
      </c>
      <c r="B25" s="3035">
        <v>37355</v>
      </c>
      <c r="C25" s="3033">
        <v>195303</v>
      </c>
      <c r="D25" s="3033">
        <v>22</v>
      </c>
      <c r="E25" s="3033">
        <v>1698</v>
      </c>
      <c r="F25" s="3034">
        <v>8877</v>
      </c>
    </row>
    <row r="26" spans="1:6" ht="16.5" hidden="1" customHeight="1" thickTop="1">
      <c r="A26" s="3031">
        <v>40796</v>
      </c>
      <c r="B26" s="3035">
        <v>37949</v>
      </c>
      <c r="C26" s="3033">
        <v>168911</v>
      </c>
      <c r="D26" s="3033">
        <v>21</v>
      </c>
      <c r="E26" s="3033">
        <v>1807</v>
      </c>
      <c r="F26" s="3034">
        <v>8043</v>
      </c>
    </row>
    <row r="27" spans="1:6" ht="16.5" hidden="1" customHeight="1" thickTop="1">
      <c r="A27" s="3031">
        <v>40826</v>
      </c>
      <c r="B27" s="3035">
        <v>35347</v>
      </c>
      <c r="C27" s="3033">
        <v>173163</v>
      </c>
      <c r="D27" s="3033">
        <v>20</v>
      </c>
      <c r="E27" s="3033">
        <v>1767</v>
      </c>
      <c r="F27" s="3034">
        <v>8658</v>
      </c>
    </row>
    <row r="28" spans="1:6" ht="16.5" hidden="1" customHeight="1" thickTop="1">
      <c r="A28" s="3031">
        <v>40857</v>
      </c>
      <c r="B28" s="3035">
        <v>35318</v>
      </c>
      <c r="C28" s="3033">
        <v>189167</v>
      </c>
      <c r="D28" s="3033">
        <v>20</v>
      </c>
      <c r="E28" s="3033">
        <v>1766</v>
      </c>
      <c r="F28" s="3034">
        <v>9458</v>
      </c>
    </row>
    <row r="29" spans="1:6" ht="16.5" hidden="1" customHeight="1" thickTop="1">
      <c r="A29" s="3031">
        <v>40887</v>
      </c>
      <c r="B29" s="3035">
        <v>47397</v>
      </c>
      <c r="C29" s="3033">
        <v>245244</v>
      </c>
      <c r="D29" s="3033">
        <v>22</v>
      </c>
      <c r="E29" s="3033">
        <v>2154</v>
      </c>
      <c r="F29" s="3034">
        <v>11147</v>
      </c>
    </row>
    <row r="30" spans="1:6" ht="16.5" thickTop="1">
      <c r="A30" s="3037">
        <v>40918</v>
      </c>
      <c r="B30" s="3035">
        <v>28635</v>
      </c>
      <c r="C30" s="3033">
        <v>129253</v>
      </c>
      <c r="D30" s="3033">
        <v>20</v>
      </c>
      <c r="E30" s="3033">
        <v>1432</v>
      </c>
      <c r="F30" s="3034">
        <v>6463</v>
      </c>
    </row>
    <row r="31" spans="1:6" ht="15.75">
      <c r="A31" s="3037">
        <v>40949</v>
      </c>
      <c r="B31" s="3035">
        <v>35146</v>
      </c>
      <c r="C31" s="3033">
        <v>156697</v>
      </c>
      <c r="D31" s="3033">
        <v>18</v>
      </c>
      <c r="E31" s="3033">
        <v>1953</v>
      </c>
      <c r="F31" s="3034">
        <v>8705</v>
      </c>
    </row>
    <row r="32" spans="1:6" ht="15.75">
      <c r="A32" s="3037">
        <v>40978</v>
      </c>
      <c r="B32" s="3035">
        <v>38191</v>
      </c>
      <c r="C32" s="3033">
        <v>141038</v>
      </c>
      <c r="D32" s="3033">
        <v>20</v>
      </c>
      <c r="E32" s="3033">
        <v>1910</v>
      </c>
      <c r="F32" s="3034">
        <v>7052</v>
      </c>
    </row>
    <row r="33" spans="1:7" ht="15.75">
      <c r="A33" s="3037">
        <v>41009</v>
      </c>
      <c r="B33" s="3035">
        <v>40768</v>
      </c>
      <c r="C33" s="3033">
        <v>167377</v>
      </c>
      <c r="D33" s="3033">
        <v>21</v>
      </c>
      <c r="E33" s="3033">
        <v>1941</v>
      </c>
      <c r="F33" s="3034">
        <v>7970</v>
      </c>
    </row>
    <row r="34" spans="1:7" ht="15.75">
      <c r="A34" s="3037">
        <v>41030</v>
      </c>
      <c r="B34" s="3035">
        <v>39880</v>
      </c>
      <c r="C34" s="3033">
        <v>154833</v>
      </c>
      <c r="D34" s="3033">
        <v>22</v>
      </c>
      <c r="E34" s="3033">
        <v>1813</v>
      </c>
      <c r="F34" s="3034">
        <v>7038</v>
      </c>
    </row>
    <row r="35" spans="1:7" ht="15.75">
      <c r="A35" s="3037">
        <v>41061</v>
      </c>
      <c r="B35" s="3035">
        <v>38969</v>
      </c>
      <c r="C35" s="3033">
        <v>198870</v>
      </c>
      <c r="D35" s="3033">
        <v>21</v>
      </c>
      <c r="E35" s="3033">
        <v>1856</v>
      </c>
      <c r="F35" s="3034">
        <v>9470</v>
      </c>
    </row>
    <row r="36" spans="1:7" ht="15.75">
      <c r="A36" s="3037">
        <v>41091</v>
      </c>
      <c r="B36" s="3035">
        <v>44750</v>
      </c>
      <c r="C36" s="3033">
        <v>170474</v>
      </c>
      <c r="D36" s="3033">
        <v>22</v>
      </c>
      <c r="E36" s="3033">
        <v>2034</v>
      </c>
      <c r="F36" s="3034">
        <v>7749</v>
      </c>
    </row>
    <row r="37" spans="1:7" ht="15.75">
      <c r="A37" s="3037">
        <v>41122</v>
      </c>
      <c r="B37" s="3032">
        <v>37355</v>
      </c>
      <c r="C37" s="3033">
        <v>195303</v>
      </c>
      <c r="D37" s="3033">
        <v>21</v>
      </c>
      <c r="E37" s="3033">
        <v>1779</v>
      </c>
      <c r="F37" s="3036">
        <v>9300</v>
      </c>
    </row>
    <row r="38" spans="1:7" ht="15.75">
      <c r="A38" s="3037">
        <v>41153</v>
      </c>
      <c r="B38" s="3038">
        <v>35953</v>
      </c>
      <c r="C38" s="3033">
        <v>141745</v>
      </c>
      <c r="D38" s="3033">
        <v>19</v>
      </c>
      <c r="E38" s="3033">
        <v>1892</v>
      </c>
      <c r="F38" s="3036">
        <v>7460</v>
      </c>
    </row>
    <row r="39" spans="1:7" ht="15.75">
      <c r="A39" s="3037">
        <v>41183</v>
      </c>
      <c r="B39" s="3038">
        <v>46809</v>
      </c>
      <c r="C39" s="3033">
        <v>163355</v>
      </c>
      <c r="D39" s="3033">
        <v>23</v>
      </c>
      <c r="E39" s="3033">
        <v>2035</v>
      </c>
      <c r="F39" s="3036">
        <v>7102</v>
      </c>
    </row>
    <row r="40" spans="1:7" ht="15.75">
      <c r="A40" s="3037">
        <v>41214</v>
      </c>
      <c r="B40" s="3038">
        <v>40944</v>
      </c>
      <c r="C40" s="3033">
        <v>195912</v>
      </c>
      <c r="D40" s="3033">
        <v>20</v>
      </c>
      <c r="E40" s="3033">
        <v>2047</v>
      </c>
      <c r="F40" s="3036">
        <v>9796</v>
      </c>
    </row>
    <row r="41" spans="1:7" ht="15.75">
      <c r="A41" s="3037">
        <v>41244</v>
      </c>
      <c r="B41" s="3038">
        <v>51809</v>
      </c>
      <c r="C41" s="3033">
        <v>236716</v>
      </c>
      <c r="D41" s="3033">
        <v>20</v>
      </c>
      <c r="E41" s="3033">
        <v>2590</v>
      </c>
      <c r="F41" s="3036">
        <v>11836</v>
      </c>
    </row>
    <row r="42" spans="1:7" ht="15.75">
      <c r="A42" s="3037">
        <v>41275</v>
      </c>
      <c r="B42" s="3038">
        <v>41346</v>
      </c>
      <c r="C42" s="3033">
        <v>188703</v>
      </c>
      <c r="D42" s="3033">
        <v>21</v>
      </c>
      <c r="E42" s="3033">
        <v>1969</v>
      </c>
      <c r="F42" s="3036">
        <v>8986</v>
      </c>
    </row>
    <row r="43" spans="1:7" ht="15.75">
      <c r="A43" s="3037">
        <v>41306</v>
      </c>
      <c r="B43" s="3038">
        <v>38760</v>
      </c>
      <c r="C43" s="3033">
        <v>157540</v>
      </c>
      <c r="D43" s="3033">
        <v>19</v>
      </c>
      <c r="E43" s="3033">
        <v>2040</v>
      </c>
      <c r="F43" s="3036">
        <v>8292</v>
      </c>
    </row>
    <row r="44" spans="1:7" ht="15.75">
      <c r="A44" s="3037">
        <v>41334</v>
      </c>
      <c r="B44" s="3033">
        <v>41981</v>
      </c>
      <c r="C44" s="3033">
        <v>182730</v>
      </c>
      <c r="D44" s="3033">
        <v>20</v>
      </c>
      <c r="E44" s="3033">
        <v>2099</v>
      </c>
      <c r="F44" s="3036">
        <v>9136</v>
      </c>
    </row>
    <row r="45" spans="1:7" ht="15.75">
      <c r="A45" s="3037">
        <v>41365</v>
      </c>
      <c r="B45" s="3035">
        <v>46054</v>
      </c>
      <c r="C45" s="3033">
        <v>187865</v>
      </c>
      <c r="D45" s="3033">
        <v>20</v>
      </c>
      <c r="E45" s="3033">
        <v>2303</v>
      </c>
      <c r="F45" s="3036">
        <v>9393</v>
      </c>
    </row>
    <row r="46" spans="1:7" ht="15.75">
      <c r="A46" s="3037">
        <v>41395</v>
      </c>
      <c r="B46" s="3035">
        <v>43996</v>
      </c>
      <c r="C46" s="3033">
        <v>189972</v>
      </c>
      <c r="D46" s="3033">
        <v>22</v>
      </c>
      <c r="E46" s="3033">
        <v>2000</v>
      </c>
      <c r="F46" s="3036">
        <v>8635</v>
      </c>
    </row>
    <row r="47" spans="1:7" ht="15.75">
      <c r="A47" s="3037">
        <v>41426</v>
      </c>
      <c r="B47" s="3035">
        <v>41101</v>
      </c>
      <c r="C47" s="3033">
        <v>185678</v>
      </c>
      <c r="D47" s="3033">
        <v>20</v>
      </c>
      <c r="E47" s="3033">
        <v>2055</v>
      </c>
      <c r="F47" s="3036">
        <v>9284</v>
      </c>
      <c r="G47" s="3021"/>
    </row>
    <row r="48" spans="1:7" ht="15.75">
      <c r="A48" s="3037">
        <v>41456</v>
      </c>
      <c r="B48" s="3035">
        <v>51673</v>
      </c>
      <c r="C48" s="3033">
        <v>191077</v>
      </c>
      <c r="D48" s="3033">
        <v>23</v>
      </c>
      <c r="E48" s="3033">
        <v>2247</v>
      </c>
      <c r="F48" s="3036">
        <v>8308</v>
      </c>
      <c r="G48" s="3021"/>
    </row>
    <row r="49" spans="1:7" ht="15.75">
      <c r="A49" s="3037">
        <v>41487</v>
      </c>
      <c r="B49" s="3035">
        <v>43000</v>
      </c>
      <c r="C49" s="3033">
        <v>180041</v>
      </c>
      <c r="D49" s="3033">
        <v>21</v>
      </c>
      <c r="E49" s="3033">
        <v>2048</v>
      </c>
      <c r="F49" s="3036">
        <v>8573</v>
      </c>
      <c r="G49" s="3021"/>
    </row>
    <row r="50" spans="1:7" ht="15.75">
      <c r="A50" s="3037">
        <v>41518</v>
      </c>
      <c r="B50" s="3035">
        <v>46634</v>
      </c>
      <c r="C50" s="3033">
        <v>181738</v>
      </c>
      <c r="D50" s="3033">
        <v>20</v>
      </c>
      <c r="E50" s="3033">
        <v>2332</v>
      </c>
      <c r="F50" s="3036">
        <v>9087</v>
      </c>
      <c r="G50" s="3021"/>
    </row>
    <row r="51" spans="1:7" ht="15.75">
      <c r="A51" s="3039">
        <v>41548</v>
      </c>
      <c r="B51" s="3032">
        <v>50066</v>
      </c>
      <c r="C51" s="3033">
        <v>251847</v>
      </c>
      <c r="D51" s="3038">
        <v>23</v>
      </c>
      <c r="E51" s="3033">
        <v>2177</v>
      </c>
      <c r="F51" s="3034">
        <v>10950</v>
      </c>
      <c r="G51" s="3021"/>
    </row>
    <row r="52" spans="1:7" ht="15.75">
      <c r="A52" s="3037">
        <v>41579</v>
      </c>
      <c r="B52" s="3035">
        <v>43504</v>
      </c>
      <c r="C52" s="3033">
        <v>201655</v>
      </c>
      <c r="D52" s="3033">
        <v>20</v>
      </c>
      <c r="E52" s="3033">
        <v>2175</v>
      </c>
      <c r="F52" s="3036">
        <v>10083</v>
      </c>
      <c r="G52" s="3021"/>
    </row>
    <row r="53" spans="1:7" ht="15.75">
      <c r="A53" s="3037">
        <v>41609</v>
      </c>
      <c r="B53" s="3035">
        <v>61375</v>
      </c>
      <c r="C53" s="3033">
        <v>278115</v>
      </c>
      <c r="D53" s="3033">
        <v>21</v>
      </c>
      <c r="E53" s="3033">
        <v>2923</v>
      </c>
      <c r="F53" s="3036">
        <v>13244</v>
      </c>
      <c r="G53" s="3021"/>
    </row>
    <row r="54" spans="1:7" ht="15.75">
      <c r="A54" s="3037">
        <v>41640</v>
      </c>
      <c r="B54" s="3035">
        <v>42403</v>
      </c>
      <c r="C54" s="3033">
        <v>180340</v>
      </c>
      <c r="D54" s="3033">
        <v>19</v>
      </c>
      <c r="E54" s="3033">
        <v>2232</v>
      </c>
      <c r="F54" s="3036">
        <v>9492</v>
      </c>
      <c r="G54" s="3021"/>
    </row>
    <row r="55" spans="1:7" ht="15.75">
      <c r="A55" s="3037">
        <v>41671</v>
      </c>
      <c r="B55" s="3035">
        <v>46387</v>
      </c>
      <c r="C55" s="3033">
        <v>180036</v>
      </c>
      <c r="D55" s="3033">
        <v>18</v>
      </c>
      <c r="E55" s="3033">
        <v>2577</v>
      </c>
      <c r="F55" s="3036">
        <v>10002</v>
      </c>
      <c r="G55" s="3021"/>
    </row>
    <row r="56" spans="1:7" ht="15.75">
      <c r="A56" s="3037">
        <v>41699</v>
      </c>
      <c r="B56" s="3035">
        <v>44655</v>
      </c>
      <c r="C56" s="3033">
        <v>152932</v>
      </c>
      <c r="D56" s="3033">
        <v>19</v>
      </c>
      <c r="E56" s="3033">
        <v>2350</v>
      </c>
      <c r="F56" s="3036">
        <v>8049</v>
      </c>
      <c r="G56" s="3021"/>
    </row>
    <row r="57" spans="1:7" ht="15.75">
      <c r="A57" s="3037">
        <v>41730</v>
      </c>
      <c r="B57" s="3035">
        <v>55001</v>
      </c>
      <c r="C57" s="3033">
        <v>183452</v>
      </c>
      <c r="D57" s="3033">
        <v>22</v>
      </c>
      <c r="E57" s="3033">
        <v>2500</v>
      </c>
      <c r="F57" s="3036">
        <v>8339</v>
      </c>
      <c r="G57" s="3021"/>
    </row>
    <row r="58" spans="1:7" ht="15.75">
      <c r="A58" s="3037">
        <v>41760</v>
      </c>
      <c r="B58" s="3035">
        <v>48119</v>
      </c>
      <c r="C58" s="3033">
        <v>197452</v>
      </c>
      <c r="D58" s="3033">
        <v>21</v>
      </c>
      <c r="E58" s="3033">
        <v>2291</v>
      </c>
      <c r="F58" s="3036">
        <v>9402</v>
      </c>
      <c r="G58" s="3021"/>
    </row>
    <row r="59" spans="1:7" ht="15.75">
      <c r="A59" s="3037">
        <v>41791</v>
      </c>
      <c r="B59" s="3035">
        <v>53390</v>
      </c>
      <c r="C59" s="3033">
        <v>200862</v>
      </c>
      <c r="D59" s="3033">
        <v>21</v>
      </c>
      <c r="E59" s="3033">
        <v>2542</v>
      </c>
      <c r="F59" s="3036">
        <v>9565</v>
      </c>
      <c r="G59" s="3021"/>
    </row>
    <row r="60" spans="1:7" ht="16.5" customHeight="1" thickBot="1">
      <c r="A60" s="3040">
        <v>41821</v>
      </c>
      <c r="B60" s="3041">
        <v>53313</v>
      </c>
      <c r="C60" s="3042">
        <v>183321</v>
      </c>
      <c r="D60" s="3042">
        <v>22</v>
      </c>
      <c r="E60" s="3042">
        <v>2423</v>
      </c>
      <c r="F60" s="3043">
        <v>8333</v>
      </c>
      <c r="G60" s="3021"/>
    </row>
    <row r="61" spans="1:7" ht="36.75" customHeight="1" thickTop="1">
      <c r="A61" s="3508" t="s">
        <v>4062</v>
      </c>
      <c r="B61" s="3508"/>
      <c r="C61" s="3508"/>
      <c r="D61" s="3508"/>
      <c r="E61" s="3508"/>
      <c r="F61" s="3508"/>
      <c r="G61" s="3044"/>
    </row>
    <row r="62" spans="1:7" ht="15.75">
      <c r="A62" s="3045" t="s">
        <v>4063</v>
      </c>
      <c r="B62" s="522"/>
      <c r="C62" s="522"/>
      <c r="D62" s="522"/>
      <c r="E62" s="522"/>
      <c r="F62" s="522"/>
      <c r="G62" s="3021"/>
    </row>
    <row r="63" spans="1:7" ht="15.75">
      <c r="A63" s="3045" t="s">
        <v>1345</v>
      </c>
      <c r="B63" s="522"/>
      <c r="C63" s="522"/>
      <c r="D63" s="522"/>
      <c r="E63" s="522"/>
      <c r="F63" s="522"/>
      <c r="G63" s="3021"/>
    </row>
    <row r="64" spans="1:7">
      <c r="A64" s="3046"/>
      <c r="B64" s="3046"/>
      <c r="C64" s="3046"/>
      <c r="D64" s="3046"/>
      <c r="E64" s="3046"/>
      <c r="F64" s="3046"/>
    </row>
  </sheetData>
  <mergeCells count="2">
    <mergeCell ref="E4:F4"/>
    <mergeCell ref="A61:F61"/>
  </mergeCells>
  <pageMargins left="0.7" right="0.7" top="0.75" bottom="0.75" header="0.3" footer="0.3"/>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45"/>
  <sheetViews>
    <sheetView showGridLines="0" zoomScaleNormal="100" workbookViewId="0">
      <selection activeCell="V245" sqref="V245"/>
    </sheetView>
  </sheetViews>
  <sheetFormatPr defaultRowHeight="15"/>
  <cols>
    <col min="1" max="1" width="9.28515625" style="171" customWidth="1"/>
    <col min="2" max="2" width="12.28515625" style="171" bestFit="1" customWidth="1"/>
    <col min="3" max="3" width="10.85546875" style="171" bestFit="1" customWidth="1"/>
    <col min="4" max="4" width="12.28515625" style="171" bestFit="1" customWidth="1"/>
    <col min="5" max="5" width="10.85546875" style="171" bestFit="1" customWidth="1"/>
    <col min="6" max="6" width="12.28515625" style="171" bestFit="1" customWidth="1"/>
    <col min="7" max="7" width="10.140625" style="171" customWidth="1"/>
    <col min="8" max="8" width="11.28515625" style="171" bestFit="1" customWidth="1"/>
    <col min="9" max="9" width="10.85546875" style="171" bestFit="1" customWidth="1"/>
    <col min="10" max="10" width="12.28515625" style="171" bestFit="1" customWidth="1"/>
    <col min="11" max="11" width="9.85546875" style="171" customWidth="1"/>
    <col min="12" max="12" width="16" style="171" customWidth="1"/>
    <col min="13" max="13" width="12.42578125" style="171" customWidth="1"/>
    <col min="14" max="14" width="10.140625" style="171" customWidth="1"/>
    <col min="15" max="15" width="18" style="171" customWidth="1"/>
    <col min="16" max="16" width="12.42578125" style="171" bestFit="1" customWidth="1"/>
    <col min="17" max="17" width="12.28515625" style="171" bestFit="1" customWidth="1"/>
    <col min="18" max="18" width="12.140625" style="171" customWidth="1"/>
    <col min="19" max="19" width="12.7109375" style="171" customWidth="1"/>
    <col min="20" max="20" width="12.28515625" style="171" bestFit="1" customWidth="1"/>
    <col min="21" max="23" width="10.85546875" style="171" bestFit="1" customWidth="1"/>
    <col min="24" max="24" width="14.42578125" style="171" bestFit="1" customWidth="1"/>
    <col min="25" max="25" width="17" style="171" customWidth="1"/>
    <col min="26" max="26" width="11.7109375" style="171" bestFit="1" customWidth="1"/>
    <col min="27" max="27" width="13.140625" style="171" bestFit="1" customWidth="1"/>
    <col min="28" max="28" width="5.5703125" style="171" bestFit="1" customWidth="1"/>
    <col min="29" max="29" width="10" style="171" bestFit="1" customWidth="1"/>
    <col min="30" max="31" width="14" style="171" bestFit="1" customWidth="1"/>
    <col min="32" max="33" width="13.140625" style="171" bestFit="1" customWidth="1"/>
    <col min="34" max="34" width="14" style="171" bestFit="1" customWidth="1"/>
    <col min="35" max="38" width="9.28515625" style="171" bestFit="1" customWidth="1"/>
    <col min="39" max="40" width="11.7109375" style="171" bestFit="1" customWidth="1"/>
    <col min="41" max="41" width="9.28515625" style="171" bestFit="1" customWidth="1"/>
    <col min="42" max="42" width="11.7109375" style="171" bestFit="1" customWidth="1"/>
    <col min="43" max="43" width="13.140625" style="171" bestFit="1" customWidth="1"/>
    <col min="44" max="45" width="11.7109375" style="171" bestFit="1" customWidth="1"/>
    <col min="46" max="46" width="9.28515625" style="171" bestFit="1" customWidth="1"/>
    <col min="47" max="47" width="13.140625" style="171" bestFit="1" customWidth="1"/>
    <col min="48" max="48" width="9.28515625" style="171" bestFit="1" customWidth="1"/>
    <col min="49" max="50" width="13.140625" style="171" bestFit="1" customWidth="1"/>
    <col min="51" max="51" width="14.85546875" style="171" bestFit="1" customWidth="1"/>
    <col min="52" max="256" width="9.140625" style="171"/>
    <col min="257" max="257" width="9.28515625" style="171" customWidth="1"/>
    <col min="258" max="258" width="8.85546875" style="171" bestFit="1" customWidth="1"/>
    <col min="259" max="259" width="8.7109375" style="171" bestFit="1" customWidth="1"/>
    <col min="260" max="260" width="8.85546875" style="171" bestFit="1" customWidth="1"/>
    <col min="261" max="261" width="8" style="171" bestFit="1" customWidth="1"/>
    <col min="262" max="262" width="9" style="171" bestFit="1" customWidth="1"/>
    <col min="263" max="263" width="10.140625" style="171" customWidth="1"/>
    <col min="264" max="264" width="11" style="171" bestFit="1" customWidth="1"/>
    <col min="265" max="266" width="10.5703125" style="171" bestFit="1" customWidth="1"/>
    <col min="267" max="267" width="9.85546875" style="171" customWidth="1"/>
    <col min="268" max="268" width="11.5703125" style="171" customWidth="1"/>
    <col min="269" max="269" width="11.42578125" style="171" customWidth="1"/>
    <col min="270" max="270" width="10.140625" style="171" customWidth="1"/>
    <col min="271" max="271" width="10.28515625" style="171" bestFit="1" customWidth="1"/>
    <col min="272" max="272" width="12.140625" style="171" bestFit="1" customWidth="1"/>
    <col min="273" max="273" width="12" style="171" bestFit="1" customWidth="1"/>
    <col min="274" max="274" width="12.140625" style="171" customWidth="1"/>
    <col min="275" max="275" width="10.85546875" style="171" customWidth="1"/>
    <col min="276" max="276" width="8.85546875" style="171" bestFit="1" customWidth="1"/>
    <col min="277" max="277" width="9" style="171" bestFit="1" customWidth="1"/>
    <col min="278" max="278" width="8.5703125" style="171" bestFit="1" customWidth="1"/>
    <col min="279" max="279" width="7.85546875" style="171" bestFit="1" customWidth="1"/>
    <col min="280" max="280" width="10.28515625" style="171" bestFit="1" customWidth="1"/>
    <col min="281" max="281" width="11.85546875" style="171" bestFit="1" customWidth="1"/>
    <col min="282" max="282" width="11.7109375" style="171" bestFit="1" customWidth="1"/>
    <col min="283" max="283" width="13.140625" style="171" bestFit="1" customWidth="1"/>
    <col min="284" max="284" width="5.5703125" style="171" bestFit="1" customWidth="1"/>
    <col min="285" max="285" width="10" style="171" bestFit="1" customWidth="1"/>
    <col min="286" max="287" width="14" style="171" bestFit="1" customWidth="1"/>
    <col min="288" max="289" width="13.140625" style="171" bestFit="1" customWidth="1"/>
    <col min="290" max="290" width="14" style="171" bestFit="1" customWidth="1"/>
    <col min="291" max="294" width="9.28515625" style="171" bestFit="1" customWidth="1"/>
    <col min="295" max="296" width="11.7109375" style="171" bestFit="1" customWidth="1"/>
    <col min="297" max="297" width="9.28515625" style="171" bestFit="1" customWidth="1"/>
    <col min="298" max="298" width="11.7109375" style="171" bestFit="1" customWidth="1"/>
    <col min="299" max="299" width="13.140625" style="171" bestFit="1" customWidth="1"/>
    <col min="300" max="301" width="11.7109375" style="171" bestFit="1" customWidth="1"/>
    <col min="302" max="302" width="9.28515625" style="171" bestFit="1" customWidth="1"/>
    <col min="303" max="303" width="13.140625" style="171" bestFit="1" customWidth="1"/>
    <col min="304" max="304" width="9.28515625" style="171" bestFit="1" customWidth="1"/>
    <col min="305" max="306" width="13.140625" style="171" bestFit="1" customWidth="1"/>
    <col min="307" max="307" width="14.85546875" style="171" bestFit="1" customWidth="1"/>
    <col min="308" max="512" width="9.140625" style="171"/>
    <col min="513" max="513" width="9.28515625" style="171" customWidth="1"/>
    <col min="514" max="514" width="8.85546875" style="171" bestFit="1" customWidth="1"/>
    <col min="515" max="515" width="8.7109375" style="171" bestFit="1" customWidth="1"/>
    <col min="516" max="516" width="8.85546875" style="171" bestFit="1" customWidth="1"/>
    <col min="517" max="517" width="8" style="171" bestFit="1" customWidth="1"/>
    <col min="518" max="518" width="9" style="171" bestFit="1" customWidth="1"/>
    <col min="519" max="519" width="10.140625" style="171" customWidth="1"/>
    <col min="520" max="520" width="11" style="171" bestFit="1" customWidth="1"/>
    <col min="521" max="522" width="10.5703125" style="171" bestFit="1" customWidth="1"/>
    <col min="523" max="523" width="9.85546875" style="171" customWidth="1"/>
    <col min="524" max="524" width="11.5703125" style="171" customWidth="1"/>
    <col min="525" max="525" width="11.42578125" style="171" customWidth="1"/>
    <col min="526" max="526" width="10.140625" style="171" customWidth="1"/>
    <col min="527" max="527" width="10.28515625" style="171" bestFit="1" customWidth="1"/>
    <col min="528" max="528" width="12.140625" style="171" bestFit="1" customWidth="1"/>
    <col min="529" max="529" width="12" style="171" bestFit="1" customWidth="1"/>
    <col min="530" max="530" width="12.140625" style="171" customWidth="1"/>
    <col min="531" max="531" width="10.85546875" style="171" customWidth="1"/>
    <col min="532" max="532" width="8.85546875" style="171" bestFit="1" customWidth="1"/>
    <col min="533" max="533" width="9" style="171" bestFit="1" customWidth="1"/>
    <col min="534" max="534" width="8.5703125" style="171" bestFit="1" customWidth="1"/>
    <col min="535" max="535" width="7.85546875" style="171" bestFit="1" customWidth="1"/>
    <col min="536" max="536" width="10.28515625" style="171" bestFit="1" customWidth="1"/>
    <col min="537" max="537" width="11.85546875" style="171" bestFit="1" customWidth="1"/>
    <col min="538" max="538" width="11.7109375" style="171" bestFit="1" customWidth="1"/>
    <col min="539" max="539" width="13.140625" style="171" bestFit="1" customWidth="1"/>
    <col min="540" max="540" width="5.5703125" style="171" bestFit="1" customWidth="1"/>
    <col min="541" max="541" width="10" style="171" bestFit="1" customWidth="1"/>
    <col min="542" max="543" width="14" style="171" bestFit="1" customWidth="1"/>
    <col min="544" max="545" width="13.140625" style="171" bestFit="1" customWidth="1"/>
    <col min="546" max="546" width="14" style="171" bestFit="1" customWidth="1"/>
    <col min="547" max="550" width="9.28515625" style="171" bestFit="1" customWidth="1"/>
    <col min="551" max="552" width="11.7109375" style="171" bestFit="1" customWidth="1"/>
    <col min="553" max="553" width="9.28515625" style="171" bestFit="1" customWidth="1"/>
    <col min="554" max="554" width="11.7109375" style="171" bestFit="1" customWidth="1"/>
    <col min="555" max="555" width="13.140625" style="171" bestFit="1" customWidth="1"/>
    <col min="556" max="557" width="11.7109375" style="171" bestFit="1" customWidth="1"/>
    <col min="558" max="558" width="9.28515625" style="171" bestFit="1" customWidth="1"/>
    <col min="559" max="559" width="13.140625" style="171" bestFit="1" customWidth="1"/>
    <col min="560" max="560" width="9.28515625" style="171" bestFit="1" customWidth="1"/>
    <col min="561" max="562" width="13.140625" style="171" bestFit="1" customWidth="1"/>
    <col min="563" max="563" width="14.85546875" style="171" bestFit="1" customWidth="1"/>
    <col min="564" max="768" width="9.140625" style="171"/>
    <col min="769" max="769" width="9.28515625" style="171" customWidth="1"/>
    <col min="770" max="770" width="8.85546875" style="171" bestFit="1" customWidth="1"/>
    <col min="771" max="771" width="8.7109375" style="171" bestFit="1" customWidth="1"/>
    <col min="772" max="772" width="8.85546875" style="171" bestFit="1" customWidth="1"/>
    <col min="773" max="773" width="8" style="171" bestFit="1" customWidth="1"/>
    <col min="774" max="774" width="9" style="171" bestFit="1" customWidth="1"/>
    <col min="775" max="775" width="10.140625" style="171" customWidth="1"/>
    <col min="776" max="776" width="11" style="171" bestFit="1" customWidth="1"/>
    <col min="777" max="778" width="10.5703125" style="171" bestFit="1" customWidth="1"/>
    <col min="779" max="779" width="9.85546875" style="171" customWidth="1"/>
    <col min="780" max="780" width="11.5703125" style="171" customWidth="1"/>
    <col min="781" max="781" width="11.42578125" style="171" customWidth="1"/>
    <col min="782" max="782" width="10.140625" style="171" customWidth="1"/>
    <col min="783" max="783" width="10.28515625" style="171" bestFit="1" customWidth="1"/>
    <col min="784" max="784" width="12.140625" style="171" bestFit="1" customWidth="1"/>
    <col min="785" max="785" width="12" style="171" bestFit="1" customWidth="1"/>
    <col min="786" max="786" width="12.140625" style="171" customWidth="1"/>
    <col min="787" max="787" width="10.85546875" style="171" customWidth="1"/>
    <col min="788" max="788" width="8.85546875" style="171" bestFit="1" customWidth="1"/>
    <col min="789" max="789" width="9" style="171" bestFit="1" customWidth="1"/>
    <col min="790" max="790" width="8.5703125" style="171" bestFit="1" customWidth="1"/>
    <col min="791" max="791" width="7.85546875" style="171" bestFit="1" customWidth="1"/>
    <col min="792" max="792" width="10.28515625" style="171" bestFit="1" customWidth="1"/>
    <col min="793" max="793" width="11.85546875" style="171" bestFit="1" customWidth="1"/>
    <col min="794" max="794" width="11.7109375" style="171" bestFit="1" customWidth="1"/>
    <col min="795" max="795" width="13.140625" style="171" bestFit="1" customWidth="1"/>
    <col min="796" max="796" width="5.5703125" style="171" bestFit="1" customWidth="1"/>
    <col min="797" max="797" width="10" style="171" bestFit="1" customWidth="1"/>
    <col min="798" max="799" width="14" style="171" bestFit="1" customWidth="1"/>
    <col min="800" max="801" width="13.140625" style="171" bestFit="1" customWidth="1"/>
    <col min="802" max="802" width="14" style="171" bestFit="1" customWidth="1"/>
    <col min="803" max="806" width="9.28515625" style="171" bestFit="1" customWidth="1"/>
    <col min="807" max="808" width="11.7109375" style="171" bestFit="1" customWidth="1"/>
    <col min="809" max="809" width="9.28515625" style="171" bestFit="1" customWidth="1"/>
    <col min="810" max="810" width="11.7109375" style="171" bestFit="1" customWidth="1"/>
    <col min="811" max="811" width="13.140625" style="171" bestFit="1" customWidth="1"/>
    <col min="812" max="813" width="11.7109375" style="171" bestFit="1" customWidth="1"/>
    <col min="814" max="814" width="9.28515625" style="171" bestFit="1" customWidth="1"/>
    <col min="815" max="815" width="13.140625" style="171" bestFit="1" customWidth="1"/>
    <col min="816" max="816" width="9.28515625" style="171" bestFit="1" customWidth="1"/>
    <col min="817" max="818" width="13.140625" style="171" bestFit="1" customWidth="1"/>
    <col min="819" max="819" width="14.85546875" style="171" bestFit="1" customWidth="1"/>
    <col min="820" max="1024" width="9.140625" style="171"/>
    <col min="1025" max="1025" width="9.28515625" style="171" customWidth="1"/>
    <col min="1026" max="1026" width="8.85546875" style="171" bestFit="1" customWidth="1"/>
    <col min="1027" max="1027" width="8.7109375" style="171" bestFit="1" customWidth="1"/>
    <col min="1028" max="1028" width="8.85546875" style="171" bestFit="1" customWidth="1"/>
    <col min="1029" max="1029" width="8" style="171" bestFit="1" customWidth="1"/>
    <col min="1030" max="1030" width="9" style="171" bestFit="1" customWidth="1"/>
    <col min="1031" max="1031" width="10.140625" style="171" customWidth="1"/>
    <col min="1032" max="1032" width="11" style="171" bestFit="1" customWidth="1"/>
    <col min="1033" max="1034" width="10.5703125" style="171" bestFit="1" customWidth="1"/>
    <col min="1035" max="1035" width="9.85546875" style="171" customWidth="1"/>
    <col min="1036" max="1036" width="11.5703125" style="171" customWidth="1"/>
    <col min="1037" max="1037" width="11.42578125" style="171" customWidth="1"/>
    <col min="1038" max="1038" width="10.140625" style="171" customWidth="1"/>
    <col min="1039" max="1039" width="10.28515625" style="171" bestFit="1" customWidth="1"/>
    <col min="1040" max="1040" width="12.140625" style="171" bestFit="1" customWidth="1"/>
    <col min="1041" max="1041" width="12" style="171" bestFit="1" customWidth="1"/>
    <col min="1042" max="1042" width="12.140625" style="171" customWidth="1"/>
    <col min="1043" max="1043" width="10.85546875" style="171" customWidth="1"/>
    <col min="1044" max="1044" width="8.85546875" style="171" bestFit="1" customWidth="1"/>
    <col min="1045" max="1045" width="9" style="171" bestFit="1" customWidth="1"/>
    <col min="1046" max="1046" width="8.5703125" style="171" bestFit="1" customWidth="1"/>
    <col min="1047" max="1047" width="7.85546875" style="171" bestFit="1" customWidth="1"/>
    <col min="1048" max="1048" width="10.28515625" style="171" bestFit="1" customWidth="1"/>
    <col min="1049" max="1049" width="11.85546875" style="171" bestFit="1" customWidth="1"/>
    <col min="1050" max="1050" width="11.7109375" style="171" bestFit="1" customWidth="1"/>
    <col min="1051" max="1051" width="13.140625" style="171" bestFit="1" customWidth="1"/>
    <col min="1052" max="1052" width="5.5703125" style="171" bestFit="1" customWidth="1"/>
    <col min="1053" max="1053" width="10" style="171" bestFit="1" customWidth="1"/>
    <col min="1054" max="1055" width="14" style="171" bestFit="1" customWidth="1"/>
    <col min="1056" max="1057" width="13.140625" style="171" bestFit="1" customWidth="1"/>
    <col min="1058" max="1058" width="14" style="171" bestFit="1" customWidth="1"/>
    <col min="1059" max="1062" width="9.28515625" style="171" bestFit="1" customWidth="1"/>
    <col min="1063" max="1064" width="11.7109375" style="171" bestFit="1" customWidth="1"/>
    <col min="1065" max="1065" width="9.28515625" style="171" bestFit="1" customWidth="1"/>
    <col min="1066" max="1066" width="11.7109375" style="171" bestFit="1" customWidth="1"/>
    <col min="1067" max="1067" width="13.140625" style="171" bestFit="1" customWidth="1"/>
    <col min="1068" max="1069" width="11.7109375" style="171" bestFit="1" customWidth="1"/>
    <col min="1070" max="1070" width="9.28515625" style="171" bestFit="1" customWidth="1"/>
    <col min="1071" max="1071" width="13.140625" style="171" bestFit="1" customWidth="1"/>
    <col min="1072" max="1072" width="9.28515625" style="171" bestFit="1" customWidth="1"/>
    <col min="1073" max="1074" width="13.140625" style="171" bestFit="1" customWidth="1"/>
    <col min="1075" max="1075" width="14.85546875" style="171" bestFit="1" customWidth="1"/>
    <col min="1076" max="1280" width="9.140625" style="171"/>
    <col min="1281" max="1281" width="9.28515625" style="171" customWidth="1"/>
    <col min="1282" max="1282" width="8.85546875" style="171" bestFit="1" customWidth="1"/>
    <col min="1283" max="1283" width="8.7109375" style="171" bestFit="1" customWidth="1"/>
    <col min="1284" max="1284" width="8.85546875" style="171" bestFit="1" customWidth="1"/>
    <col min="1285" max="1285" width="8" style="171" bestFit="1" customWidth="1"/>
    <col min="1286" max="1286" width="9" style="171" bestFit="1" customWidth="1"/>
    <col min="1287" max="1287" width="10.140625" style="171" customWidth="1"/>
    <col min="1288" max="1288" width="11" style="171" bestFit="1" customWidth="1"/>
    <col min="1289" max="1290" width="10.5703125" style="171" bestFit="1" customWidth="1"/>
    <col min="1291" max="1291" width="9.85546875" style="171" customWidth="1"/>
    <col min="1292" max="1292" width="11.5703125" style="171" customWidth="1"/>
    <col min="1293" max="1293" width="11.42578125" style="171" customWidth="1"/>
    <col min="1294" max="1294" width="10.140625" style="171" customWidth="1"/>
    <col min="1295" max="1295" width="10.28515625" style="171" bestFit="1" customWidth="1"/>
    <col min="1296" max="1296" width="12.140625" style="171" bestFit="1" customWidth="1"/>
    <col min="1297" max="1297" width="12" style="171" bestFit="1" customWidth="1"/>
    <col min="1298" max="1298" width="12.140625" style="171" customWidth="1"/>
    <col min="1299" max="1299" width="10.85546875" style="171" customWidth="1"/>
    <col min="1300" max="1300" width="8.85546875" style="171" bestFit="1" customWidth="1"/>
    <col min="1301" max="1301" width="9" style="171" bestFit="1" customWidth="1"/>
    <col min="1302" max="1302" width="8.5703125" style="171" bestFit="1" customWidth="1"/>
    <col min="1303" max="1303" width="7.85546875" style="171" bestFit="1" customWidth="1"/>
    <col min="1304" max="1304" width="10.28515625" style="171" bestFit="1" customWidth="1"/>
    <col min="1305" max="1305" width="11.85546875" style="171" bestFit="1" customWidth="1"/>
    <col min="1306" max="1306" width="11.7109375" style="171" bestFit="1" customWidth="1"/>
    <col min="1307" max="1307" width="13.140625" style="171" bestFit="1" customWidth="1"/>
    <col min="1308" max="1308" width="5.5703125" style="171" bestFit="1" customWidth="1"/>
    <col min="1309" max="1309" width="10" style="171" bestFit="1" customWidth="1"/>
    <col min="1310" max="1311" width="14" style="171" bestFit="1" customWidth="1"/>
    <col min="1312" max="1313" width="13.140625" style="171" bestFit="1" customWidth="1"/>
    <col min="1314" max="1314" width="14" style="171" bestFit="1" customWidth="1"/>
    <col min="1315" max="1318" width="9.28515625" style="171" bestFit="1" customWidth="1"/>
    <col min="1319" max="1320" width="11.7109375" style="171" bestFit="1" customWidth="1"/>
    <col min="1321" max="1321" width="9.28515625" style="171" bestFit="1" customWidth="1"/>
    <col min="1322" max="1322" width="11.7109375" style="171" bestFit="1" customWidth="1"/>
    <col min="1323" max="1323" width="13.140625" style="171" bestFit="1" customWidth="1"/>
    <col min="1324" max="1325" width="11.7109375" style="171" bestFit="1" customWidth="1"/>
    <col min="1326" max="1326" width="9.28515625" style="171" bestFit="1" customWidth="1"/>
    <col min="1327" max="1327" width="13.140625" style="171" bestFit="1" customWidth="1"/>
    <col min="1328" max="1328" width="9.28515625" style="171" bestFit="1" customWidth="1"/>
    <col min="1329" max="1330" width="13.140625" style="171" bestFit="1" customWidth="1"/>
    <col min="1331" max="1331" width="14.85546875" style="171" bestFit="1" customWidth="1"/>
    <col min="1332" max="1536" width="9.140625" style="171"/>
    <col min="1537" max="1537" width="9.28515625" style="171" customWidth="1"/>
    <col min="1538" max="1538" width="8.85546875" style="171" bestFit="1" customWidth="1"/>
    <col min="1539" max="1539" width="8.7109375" style="171" bestFit="1" customWidth="1"/>
    <col min="1540" max="1540" width="8.85546875" style="171" bestFit="1" customWidth="1"/>
    <col min="1541" max="1541" width="8" style="171" bestFit="1" customWidth="1"/>
    <col min="1542" max="1542" width="9" style="171" bestFit="1" customWidth="1"/>
    <col min="1543" max="1543" width="10.140625" style="171" customWidth="1"/>
    <col min="1544" max="1544" width="11" style="171" bestFit="1" customWidth="1"/>
    <col min="1545" max="1546" width="10.5703125" style="171" bestFit="1" customWidth="1"/>
    <col min="1547" max="1547" width="9.85546875" style="171" customWidth="1"/>
    <col min="1548" max="1548" width="11.5703125" style="171" customWidth="1"/>
    <col min="1549" max="1549" width="11.42578125" style="171" customWidth="1"/>
    <col min="1550" max="1550" width="10.140625" style="171" customWidth="1"/>
    <col min="1551" max="1551" width="10.28515625" style="171" bestFit="1" customWidth="1"/>
    <col min="1552" max="1552" width="12.140625" style="171" bestFit="1" customWidth="1"/>
    <col min="1553" max="1553" width="12" style="171" bestFit="1" customWidth="1"/>
    <col min="1554" max="1554" width="12.140625" style="171" customWidth="1"/>
    <col min="1555" max="1555" width="10.85546875" style="171" customWidth="1"/>
    <col min="1556" max="1556" width="8.85546875" style="171" bestFit="1" customWidth="1"/>
    <col min="1557" max="1557" width="9" style="171" bestFit="1" customWidth="1"/>
    <col min="1558" max="1558" width="8.5703125" style="171" bestFit="1" customWidth="1"/>
    <col min="1559" max="1559" width="7.85546875" style="171" bestFit="1" customWidth="1"/>
    <col min="1560" max="1560" width="10.28515625" style="171" bestFit="1" customWidth="1"/>
    <col min="1561" max="1561" width="11.85546875" style="171" bestFit="1" customWidth="1"/>
    <col min="1562" max="1562" width="11.7109375" style="171" bestFit="1" customWidth="1"/>
    <col min="1563" max="1563" width="13.140625" style="171" bestFit="1" customWidth="1"/>
    <col min="1564" max="1564" width="5.5703125" style="171" bestFit="1" customWidth="1"/>
    <col min="1565" max="1565" width="10" style="171" bestFit="1" customWidth="1"/>
    <col min="1566" max="1567" width="14" style="171" bestFit="1" customWidth="1"/>
    <col min="1568" max="1569" width="13.140625" style="171" bestFit="1" customWidth="1"/>
    <col min="1570" max="1570" width="14" style="171" bestFit="1" customWidth="1"/>
    <col min="1571" max="1574" width="9.28515625" style="171" bestFit="1" customWidth="1"/>
    <col min="1575" max="1576" width="11.7109375" style="171" bestFit="1" customWidth="1"/>
    <col min="1577" max="1577" width="9.28515625" style="171" bestFit="1" customWidth="1"/>
    <col min="1578" max="1578" width="11.7109375" style="171" bestFit="1" customWidth="1"/>
    <col min="1579" max="1579" width="13.140625" style="171" bestFit="1" customWidth="1"/>
    <col min="1580" max="1581" width="11.7109375" style="171" bestFit="1" customWidth="1"/>
    <col min="1582" max="1582" width="9.28515625" style="171" bestFit="1" customWidth="1"/>
    <col min="1583" max="1583" width="13.140625" style="171" bestFit="1" customWidth="1"/>
    <col min="1584" max="1584" width="9.28515625" style="171" bestFit="1" customWidth="1"/>
    <col min="1585" max="1586" width="13.140625" style="171" bestFit="1" customWidth="1"/>
    <col min="1587" max="1587" width="14.85546875" style="171" bestFit="1" customWidth="1"/>
    <col min="1588" max="1792" width="9.140625" style="171"/>
    <col min="1793" max="1793" width="9.28515625" style="171" customWidth="1"/>
    <col min="1794" max="1794" width="8.85546875" style="171" bestFit="1" customWidth="1"/>
    <col min="1795" max="1795" width="8.7109375" style="171" bestFit="1" customWidth="1"/>
    <col min="1796" max="1796" width="8.85546875" style="171" bestFit="1" customWidth="1"/>
    <col min="1797" max="1797" width="8" style="171" bestFit="1" customWidth="1"/>
    <col min="1798" max="1798" width="9" style="171" bestFit="1" customWidth="1"/>
    <col min="1799" max="1799" width="10.140625" style="171" customWidth="1"/>
    <col min="1800" max="1800" width="11" style="171" bestFit="1" customWidth="1"/>
    <col min="1801" max="1802" width="10.5703125" style="171" bestFit="1" customWidth="1"/>
    <col min="1803" max="1803" width="9.85546875" style="171" customWidth="1"/>
    <col min="1804" max="1804" width="11.5703125" style="171" customWidth="1"/>
    <col min="1805" max="1805" width="11.42578125" style="171" customWidth="1"/>
    <col min="1806" max="1806" width="10.140625" style="171" customWidth="1"/>
    <col min="1807" max="1807" width="10.28515625" style="171" bestFit="1" customWidth="1"/>
    <col min="1808" max="1808" width="12.140625" style="171" bestFit="1" customWidth="1"/>
    <col min="1809" max="1809" width="12" style="171" bestFit="1" customWidth="1"/>
    <col min="1810" max="1810" width="12.140625" style="171" customWidth="1"/>
    <col min="1811" max="1811" width="10.85546875" style="171" customWidth="1"/>
    <col min="1812" max="1812" width="8.85546875" style="171" bestFit="1" customWidth="1"/>
    <col min="1813" max="1813" width="9" style="171" bestFit="1" customWidth="1"/>
    <col min="1814" max="1814" width="8.5703125" style="171" bestFit="1" customWidth="1"/>
    <col min="1815" max="1815" width="7.85546875" style="171" bestFit="1" customWidth="1"/>
    <col min="1816" max="1816" width="10.28515625" style="171" bestFit="1" customWidth="1"/>
    <col min="1817" max="1817" width="11.85546875" style="171" bestFit="1" customWidth="1"/>
    <col min="1818" max="1818" width="11.7109375" style="171" bestFit="1" customWidth="1"/>
    <col min="1819" max="1819" width="13.140625" style="171" bestFit="1" customWidth="1"/>
    <col min="1820" max="1820" width="5.5703125" style="171" bestFit="1" customWidth="1"/>
    <col min="1821" max="1821" width="10" style="171" bestFit="1" customWidth="1"/>
    <col min="1822" max="1823" width="14" style="171" bestFit="1" customWidth="1"/>
    <col min="1824" max="1825" width="13.140625" style="171" bestFit="1" customWidth="1"/>
    <col min="1826" max="1826" width="14" style="171" bestFit="1" customWidth="1"/>
    <col min="1827" max="1830" width="9.28515625" style="171" bestFit="1" customWidth="1"/>
    <col min="1831" max="1832" width="11.7109375" style="171" bestFit="1" customWidth="1"/>
    <col min="1833" max="1833" width="9.28515625" style="171" bestFit="1" customWidth="1"/>
    <col min="1834" max="1834" width="11.7109375" style="171" bestFit="1" customWidth="1"/>
    <col min="1835" max="1835" width="13.140625" style="171" bestFit="1" customWidth="1"/>
    <col min="1836" max="1837" width="11.7109375" style="171" bestFit="1" customWidth="1"/>
    <col min="1838" max="1838" width="9.28515625" style="171" bestFit="1" customWidth="1"/>
    <col min="1839" max="1839" width="13.140625" style="171" bestFit="1" customWidth="1"/>
    <col min="1840" max="1840" width="9.28515625" style="171" bestFit="1" customWidth="1"/>
    <col min="1841" max="1842" width="13.140625" style="171" bestFit="1" customWidth="1"/>
    <col min="1843" max="1843" width="14.85546875" style="171" bestFit="1" customWidth="1"/>
    <col min="1844" max="2048" width="9.140625" style="171"/>
    <col min="2049" max="2049" width="9.28515625" style="171" customWidth="1"/>
    <col min="2050" max="2050" width="8.85546875" style="171" bestFit="1" customWidth="1"/>
    <col min="2051" max="2051" width="8.7109375" style="171" bestFit="1" customWidth="1"/>
    <col min="2052" max="2052" width="8.85546875" style="171" bestFit="1" customWidth="1"/>
    <col min="2053" max="2053" width="8" style="171" bestFit="1" customWidth="1"/>
    <col min="2054" max="2054" width="9" style="171" bestFit="1" customWidth="1"/>
    <col min="2055" max="2055" width="10.140625" style="171" customWidth="1"/>
    <col min="2056" max="2056" width="11" style="171" bestFit="1" customWidth="1"/>
    <col min="2057" max="2058" width="10.5703125" style="171" bestFit="1" customWidth="1"/>
    <col min="2059" max="2059" width="9.85546875" style="171" customWidth="1"/>
    <col min="2060" max="2060" width="11.5703125" style="171" customWidth="1"/>
    <col min="2061" max="2061" width="11.42578125" style="171" customWidth="1"/>
    <col min="2062" max="2062" width="10.140625" style="171" customWidth="1"/>
    <col min="2063" max="2063" width="10.28515625" style="171" bestFit="1" customWidth="1"/>
    <col min="2064" max="2064" width="12.140625" style="171" bestFit="1" customWidth="1"/>
    <col min="2065" max="2065" width="12" style="171" bestFit="1" customWidth="1"/>
    <col min="2066" max="2066" width="12.140625" style="171" customWidth="1"/>
    <col min="2067" max="2067" width="10.85546875" style="171" customWidth="1"/>
    <col min="2068" max="2068" width="8.85546875" style="171" bestFit="1" customWidth="1"/>
    <col min="2069" max="2069" width="9" style="171" bestFit="1" customWidth="1"/>
    <col min="2070" max="2070" width="8.5703125" style="171" bestFit="1" customWidth="1"/>
    <col min="2071" max="2071" width="7.85546875" style="171" bestFit="1" customWidth="1"/>
    <col min="2072" max="2072" width="10.28515625" style="171" bestFit="1" customWidth="1"/>
    <col min="2073" max="2073" width="11.85546875" style="171" bestFit="1" customWidth="1"/>
    <col min="2074" max="2074" width="11.7109375" style="171" bestFit="1" customWidth="1"/>
    <col min="2075" max="2075" width="13.140625" style="171" bestFit="1" customWidth="1"/>
    <col min="2076" max="2076" width="5.5703125" style="171" bestFit="1" customWidth="1"/>
    <col min="2077" max="2077" width="10" style="171" bestFit="1" customWidth="1"/>
    <col min="2078" max="2079" width="14" style="171" bestFit="1" customWidth="1"/>
    <col min="2080" max="2081" width="13.140625" style="171" bestFit="1" customWidth="1"/>
    <col min="2082" max="2082" width="14" style="171" bestFit="1" customWidth="1"/>
    <col min="2083" max="2086" width="9.28515625" style="171" bestFit="1" customWidth="1"/>
    <col min="2087" max="2088" width="11.7109375" style="171" bestFit="1" customWidth="1"/>
    <col min="2089" max="2089" width="9.28515625" style="171" bestFit="1" customWidth="1"/>
    <col min="2090" max="2090" width="11.7109375" style="171" bestFit="1" customWidth="1"/>
    <col min="2091" max="2091" width="13.140625" style="171" bestFit="1" customWidth="1"/>
    <col min="2092" max="2093" width="11.7109375" style="171" bestFit="1" customWidth="1"/>
    <col min="2094" max="2094" width="9.28515625" style="171" bestFit="1" customWidth="1"/>
    <col min="2095" max="2095" width="13.140625" style="171" bestFit="1" customWidth="1"/>
    <col min="2096" max="2096" width="9.28515625" style="171" bestFit="1" customWidth="1"/>
    <col min="2097" max="2098" width="13.140625" style="171" bestFit="1" customWidth="1"/>
    <col min="2099" max="2099" width="14.85546875" style="171" bestFit="1" customWidth="1"/>
    <col min="2100" max="2304" width="9.140625" style="171"/>
    <col min="2305" max="2305" width="9.28515625" style="171" customWidth="1"/>
    <col min="2306" max="2306" width="8.85546875" style="171" bestFit="1" customWidth="1"/>
    <col min="2307" max="2307" width="8.7109375" style="171" bestFit="1" customWidth="1"/>
    <col min="2308" max="2308" width="8.85546875" style="171" bestFit="1" customWidth="1"/>
    <col min="2309" max="2309" width="8" style="171" bestFit="1" customWidth="1"/>
    <col min="2310" max="2310" width="9" style="171" bestFit="1" customWidth="1"/>
    <col min="2311" max="2311" width="10.140625" style="171" customWidth="1"/>
    <col min="2312" max="2312" width="11" style="171" bestFit="1" customWidth="1"/>
    <col min="2313" max="2314" width="10.5703125" style="171" bestFit="1" customWidth="1"/>
    <col min="2315" max="2315" width="9.85546875" style="171" customWidth="1"/>
    <col min="2316" max="2316" width="11.5703125" style="171" customWidth="1"/>
    <col min="2317" max="2317" width="11.42578125" style="171" customWidth="1"/>
    <col min="2318" max="2318" width="10.140625" style="171" customWidth="1"/>
    <col min="2319" max="2319" width="10.28515625" style="171" bestFit="1" customWidth="1"/>
    <col min="2320" max="2320" width="12.140625" style="171" bestFit="1" customWidth="1"/>
    <col min="2321" max="2321" width="12" style="171" bestFit="1" customWidth="1"/>
    <col min="2322" max="2322" width="12.140625" style="171" customWidth="1"/>
    <col min="2323" max="2323" width="10.85546875" style="171" customWidth="1"/>
    <col min="2324" max="2324" width="8.85546875" style="171" bestFit="1" customWidth="1"/>
    <col min="2325" max="2325" width="9" style="171" bestFit="1" customWidth="1"/>
    <col min="2326" max="2326" width="8.5703125" style="171" bestFit="1" customWidth="1"/>
    <col min="2327" max="2327" width="7.85546875" style="171" bestFit="1" customWidth="1"/>
    <col min="2328" max="2328" width="10.28515625" style="171" bestFit="1" customWidth="1"/>
    <col min="2329" max="2329" width="11.85546875" style="171" bestFit="1" customWidth="1"/>
    <col min="2330" max="2330" width="11.7109375" style="171" bestFit="1" customWidth="1"/>
    <col min="2331" max="2331" width="13.140625" style="171" bestFit="1" customWidth="1"/>
    <col min="2332" max="2332" width="5.5703125" style="171" bestFit="1" customWidth="1"/>
    <col min="2333" max="2333" width="10" style="171" bestFit="1" customWidth="1"/>
    <col min="2334" max="2335" width="14" style="171" bestFit="1" customWidth="1"/>
    <col min="2336" max="2337" width="13.140625" style="171" bestFit="1" customWidth="1"/>
    <col min="2338" max="2338" width="14" style="171" bestFit="1" customWidth="1"/>
    <col min="2339" max="2342" width="9.28515625" style="171" bestFit="1" customWidth="1"/>
    <col min="2343" max="2344" width="11.7109375" style="171" bestFit="1" customWidth="1"/>
    <col min="2345" max="2345" width="9.28515625" style="171" bestFit="1" customWidth="1"/>
    <col min="2346" max="2346" width="11.7109375" style="171" bestFit="1" customWidth="1"/>
    <col min="2347" max="2347" width="13.140625" style="171" bestFit="1" customWidth="1"/>
    <col min="2348" max="2349" width="11.7109375" style="171" bestFit="1" customWidth="1"/>
    <col min="2350" max="2350" width="9.28515625" style="171" bestFit="1" customWidth="1"/>
    <col min="2351" max="2351" width="13.140625" style="171" bestFit="1" customWidth="1"/>
    <col min="2352" max="2352" width="9.28515625" style="171" bestFit="1" customWidth="1"/>
    <col min="2353" max="2354" width="13.140625" style="171" bestFit="1" customWidth="1"/>
    <col min="2355" max="2355" width="14.85546875" style="171" bestFit="1" customWidth="1"/>
    <col min="2356" max="2560" width="9.140625" style="171"/>
    <col min="2561" max="2561" width="9.28515625" style="171" customWidth="1"/>
    <col min="2562" max="2562" width="8.85546875" style="171" bestFit="1" customWidth="1"/>
    <col min="2563" max="2563" width="8.7109375" style="171" bestFit="1" customWidth="1"/>
    <col min="2564" max="2564" width="8.85546875" style="171" bestFit="1" customWidth="1"/>
    <col min="2565" max="2565" width="8" style="171" bestFit="1" customWidth="1"/>
    <col min="2566" max="2566" width="9" style="171" bestFit="1" customWidth="1"/>
    <col min="2567" max="2567" width="10.140625" style="171" customWidth="1"/>
    <col min="2568" max="2568" width="11" style="171" bestFit="1" customWidth="1"/>
    <col min="2569" max="2570" width="10.5703125" style="171" bestFit="1" customWidth="1"/>
    <col min="2571" max="2571" width="9.85546875" style="171" customWidth="1"/>
    <col min="2572" max="2572" width="11.5703125" style="171" customWidth="1"/>
    <col min="2573" max="2573" width="11.42578125" style="171" customWidth="1"/>
    <col min="2574" max="2574" width="10.140625" style="171" customWidth="1"/>
    <col min="2575" max="2575" width="10.28515625" style="171" bestFit="1" customWidth="1"/>
    <col min="2576" max="2576" width="12.140625" style="171" bestFit="1" customWidth="1"/>
    <col min="2577" max="2577" width="12" style="171" bestFit="1" customWidth="1"/>
    <col min="2578" max="2578" width="12.140625" style="171" customWidth="1"/>
    <col min="2579" max="2579" width="10.85546875" style="171" customWidth="1"/>
    <col min="2580" max="2580" width="8.85546875" style="171" bestFit="1" customWidth="1"/>
    <col min="2581" max="2581" width="9" style="171" bestFit="1" customWidth="1"/>
    <col min="2582" max="2582" width="8.5703125" style="171" bestFit="1" customWidth="1"/>
    <col min="2583" max="2583" width="7.85546875" style="171" bestFit="1" customWidth="1"/>
    <col min="2584" max="2584" width="10.28515625" style="171" bestFit="1" customWidth="1"/>
    <col min="2585" max="2585" width="11.85546875" style="171" bestFit="1" customWidth="1"/>
    <col min="2586" max="2586" width="11.7109375" style="171" bestFit="1" customWidth="1"/>
    <col min="2587" max="2587" width="13.140625" style="171" bestFit="1" customWidth="1"/>
    <col min="2588" max="2588" width="5.5703125" style="171" bestFit="1" customWidth="1"/>
    <col min="2589" max="2589" width="10" style="171" bestFit="1" customWidth="1"/>
    <col min="2590" max="2591" width="14" style="171" bestFit="1" customWidth="1"/>
    <col min="2592" max="2593" width="13.140625" style="171" bestFit="1" customWidth="1"/>
    <col min="2594" max="2594" width="14" style="171" bestFit="1" customWidth="1"/>
    <col min="2595" max="2598" width="9.28515625" style="171" bestFit="1" customWidth="1"/>
    <col min="2599" max="2600" width="11.7109375" style="171" bestFit="1" customWidth="1"/>
    <col min="2601" max="2601" width="9.28515625" style="171" bestFit="1" customWidth="1"/>
    <col min="2602" max="2602" width="11.7109375" style="171" bestFit="1" customWidth="1"/>
    <col min="2603" max="2603" width="13.140625" style="171" bestFit="1" customWidth="1"/>
    <col min="2604" max="2605" width="11.7109375" style="171" bestFit="1" customWidth="1"/>
    <col min="2606" max="2606" width="9.28515625" style="171" bestFit="1" customWidth="1"/>
    <col min="2607" max="2607" width="13.140625" style="171" bestFit="1" customWidth="1"/>
    <col min="2608" max="2608" width="9.28515625" style="171" bestFit="1" customWidth="1"/>
    <col min="2609" max="2610" width="13.140625" style="171" bestFit="1" customWidth="1"/>
    <col min="2611" max="2611" width="14.85546875" style="171" bestFit="1" customWidth="1"/>
    <col min="2612" max="2816" width="9.140625" style="171"/>
    <col min="2817" max="2817" width="9.28515625" style="171" customWidth="1"/>
    <col min="2818" max="2818" width="8.85546875" style="171" bestFit="1" customWidth="1"/>
    <col min="2819" max="2819" width="8.7109375" style="171" bestFit="1" customWidth="1"/>
    <col min="2820" max="2820" width="8.85546875" style="171" bestFit="1" customWidth="1"/>
    <col min="2821" max="2821" width="8" style="171" bestFit="1" customWidth="1"/>
    <col min="2822" max="2822" width="9" style="171" bestFit="1" customWidth="1"/>
    <col min="2823" max="2823" width="10.140625" style="171" customWidth="1"/>
    <col min="2824" max="2824" width="11" style="171" bestFit="1" customWidth="1"/>
    <col min="2825" max="2826" width="10.5703125" style="171" bestFit="1" customWidth="1"/>
    <col min="2827" max="2827" width="9.85546875" style="171" customWidth="1"/>
    <col min="2828" max="2828" width="11.5703125" style="171" customWidth="1"/>
    <col min="2829" max="2829" width="11.42578125" style="171" customWidth="1"/>
    <col min="2830" max="2830" width="10.140625" style="171" customWidth="1"/>
    <col min="2831" max="2831" width="10.28515625" style="171" bestFit="1" customWidth="1"/>
    <col min="2832" max="2832" width="12.140625" style="171" bestFit="1" customWidth="1"/>
    <col min="2833" max="2833" width="12" style="171" bestFit="1" customWidth="1"/>
    <col min="2834" max="2834" width="12.140625" style="171" customWidth="1"/>
    <col min="2835" max="2835" width="10.85546875" style="171" customWidth="1"/>
    <col min="2836" max="2836" width="8.85546875" style="171" bestFit="1" customWidth="1"/>
    <col min="2837" max="2837" width="9" style="171" bestFit="1" customWidth="1"/>
    <col min="2838" max="2838" width="8.5703125" style="171" bestFit="1" customWidth="1"/>
    <col min="2839" max="2839" width="7.85546875" style="171" bestFit="1" customWidth="1"/>
    <col min="2840" max="2840" width="10.28515625" style="171" bestFit="1" customWidth="1"/>
    <col min="2841" max="2841" width="11.85546875" style="171" bestFit="1" customWidth="1"/>
    <col min="2842" max="2842" width="11.7109375" style="171" bestFit="1" customWidth="1"/>
    <col min="2843" max="2843" width="13.140625" style="171" bestFit="1" customWidth="1"/>
    <col min="2844" max="2844" width="5.5703125" style="171" bestFit="1" customWidth="1"/>
    <col min="2845" max="2845" width="10" style="171" bestFit="1" customWidth="1"/>
    <col min="2846" max="2847" width="14" style="171" bestFit="1" customWidth="1"/>
    <col min="2848" max="2849" width="13.140625" style="171" bestFit="1" customWidth="1"/>
    <col min="2850" max="2850" width="14" style="171" bestFit="1" customWidth="1"/>
    <col min="2851" max="2854" width="9.28515625" style="171" bestFit="1" customWidth="1"/>
    <col min="2855" max="2856" width="11.7109375" style="171" bestFit="1" customWidth="1"/>
    <col min="2857" max="2857" width="9.28515625" style="171" bestFit="1" customWidth="1"/>
    <col min="2858" max="2858" width="11.7109375" style="171" bestFit="1" customWidth="1"/>
    <col min="2859" max="2859" width="13.140625" style="171" bestFit="1" customWidth="1"/>
    <col min="2860" max="2861" width="11.7109375" style="171" bestFit="1" customWidth="1"/>
    <col min="2862" max="2862" width="9.28515625" style="171" bestFit="1" customWidth="1"/>
    <col min="2863" max="2863" width="13.140625" style="171" bestFit="1" customWidth="1"/>
    <col min="2864" max="2864" width="9.28515625" style="171" bestFit="1" customWidth="1"/>
    <col min="2865" max="2866" width="13.140625" style="171" bestFit="1" customWidth="1"/>
    <col min="2867" max="2867" width="14.85546875" style="171" bestFit="1" customWidth="1"/>
    <col min="2868" max="3072" width="9.140625" style="171"/>
    <col min="3073" max="3073" width="9.28515625" style="171" customWidth="1"/>
    <col min="3074" max="3074" width="8.85546875" style="171" bestFit="1" customWidth="1"/>
    <col min="3075" max="3075" width="8.7109375" style="171" bestFit="1" customWidth="1"/>
    <col min="3076" max="3076" width="8.85546875" style="171" bestFit="1" customWidth="1"/>
    <col min="3077" max="3077" width="8" style="171" bestFit="1" customWidth="1"/>
    <col min="3078" max="3078" width="9" style="171" bestFit="1" customWidth="1"/>
    <col min="3079" max="3079" width="10.140625" style="171" customWidth="1"/>
    <col min="3080" max="3080" width="11" style="171" bestFit="1" customWidth="1"/>
    <col min="3081" max="3082" width="10.5703125" style="171" bestFit="1" customWidth="1"/>
    <col min="3083" max="3083" width="9.85546875" style="171" customWidth="1"/>
    <col min="3084" max="3084" width="11.5703125" style="171" customWidth="1"/>
    <col min="3085" max="3085" width="11.42578125" style="171" customWidth="1"/>
    <col min="3086" max="3086" width="10.140625" style="171" customWidth="1"/>
    <col min="3087" max="3087" width="10.28515625" style="171" bestFit="1" customWidth="1"/>
    <col min="3088" max="3088" width="12.140625" style="171" bestFit="1" customWidth="1"/>
    <col min="3089" max="3089" width="12" style="171" bestFit="1" customWidth="1"/>
    <col min="3090" max="3090" width="12.140625" style="171" customWidth="1"/>
    <col min="3091" max="3091" width="10.85546875" style="171" customWidth="1"/>
    <col min="3092" max="3092" width="8.85546875" style="171" bestFit="1" customWidth="1"/>
    <col min="3093" max="3093" width="9" style="171" bestFit="1" customWidth="1"/>
    <col min="3094" max="3094" width="8.5703125" style="171" bestFit="1" customWidth="1"/>
    <col min="3095" max="3095" width="7.85546875" style="171" bestFit="1" customWidth="1"/>
    <col min="3096" max="3096" width="10.28515625" style="171" bestFit="1" customWidth="1"/>
    <col min="3097" max="3097" width="11.85546875" style="171" bestFit="1" customWidth="1"/>
    <col min="3098" max="3098" width="11.7109375" style="171" bestFit="1" customWidth="1"/>
    <col min="3099" max="3099" width="13.140625" style="171" bestFit="1" customWidth="1"/>
    <col min="3100" max="3100" width="5.5703125" style="171" bestFit="1" customWidth="1"/>
    <col min="3101" max="3101" width="10" style="171" bestFit="1" customWidth="1"/>
    <col min="3102" max="3103" width="14" style="171" bestFit="1" customWidth="1"/>
    <col min="3104" max="3105" width="13.140625" style="171" bestFit="1" customWidth="1"/>
    <col min="3106" max="3106" width="14" style="171" bestFit="1" customWidth="1"/>
    <col min="3107" max="3110" width="9.28515625" style="171" bestFit="1" customWidth="1"/>
    <col min="3111" max="3112" width="11.7109375" style="171" bestFit="1" customWidth="1"/>
    <col min="3113" max="3113" width="9.28515625" style="171" bestFit="1" customWidth="1"/>
    <col min="3114" max="3114" width="11.7109375" style="171" bestFit="1" customWidth="1"/>
    <col min="3115" max="3115" width="13.140625" style="171" bestFit="1" customWidth="1"/>
    <col min="3116" max="3117" width="11.7109375" style="171" bestFit="1" customWidth="1"/>
    <col min="3118" max="3118" width="9.28515625" style="171" bestFit="1" customWidth="1"/>
    <col min="3119" max="3119" width="13.140625" style="171" bestFit="1" customWidth="1"/>
    <col min="3120" max="3120" width="9.28515625" style="171" bestFit="1" customWidth="1"/>
    <col min="3121" max="3122" width="13.140625" style="171" bestFit="1" customWidth="1"/>
    <col min="3123" max="3123" width="14.85546875" style="171" bestFit="1" customWidth="1"/>
    <col min="3124" max="3328" width="9.140625" style="171"/>
    <col min="3329" max="3329" width="9.28515625" style="171" customWidth="1"/>
    <col min="3330" max="3330" width="8.85546875" style="171" bestFit="1" customWidth="1"/>
    <col min="3331" max="3331" width="8.7109375" style="171" bestFit="1" customWidth="1"/>
    <col min="3332" max="3332" width="8.85546875" style="171" bestFit="1" customWidth="1"/>
    <col min="3333" max="3333" width="8" style="171" bestFit="1" customWidth="1"/>
    <col min="3334" max="3334" width="9" style="171" bestFit="1" customWidth="1"/>
    <col min="3335" max="3335" width="10.140625" style="171" customWidth="1"/>
    <col min="3336" max="3336" width="11" style="171" bestFit="1" customWidth="1"/>
    <col min="3337" max="3338" width="10.5703125" style="171" bestFit="1" customWidth="1"/>
    <col min="3339" max="3339" width="9.85546875" style="171" customWidth="1"/>
    <col min="3340" max="3340" width="11.5703125" style="171" customWidth="1"/>
    <col min="3341" max="3341" width="11.42578125" style="171" customWidth="1"/>
    <col min="3342" max="3342" width="10.140625" style="171" customWidth="1"/>
    <col min="3343" max="3343" width="10.28515625" style="171" bestFit="1" customWidth="1"/>
    <col min="3344" max="3344" width="12.140625" style="171" bestFit="1" customWidth="1"/>
    <col min="3345" max="3345" width="12" style="171" bestFit="1" customWidth="1"/>
    <col min="3346" max="3346" width="12.140625" style="171" customWidth="1"/>
    <col min="3347" max="3347" width="10.85546875" style="171" customWidth="1"/>
    <col min="3348" max="3348" width="8.85546875" style="171" bestFit="1" customWidth="1"/>
    <col min="3349" max="3349" width="9" style="171" bestFit="1" customWidth="1"/>
    <col min="3350" max="3350" width="8.5703125" style="171" bestFit="1" customWidth="1"/>
    <col min="3351" max="3351" width="7.85546875" style="171" bestFit="1" customWidth="1"/>
    <col min="3352" max="3352" width="10.28515625" style="171" bestFit="1" customWidth="1"/>
    <col min="3353" max="3353" width="11.85546875" style="171" bestFit="1" customWidth="1"/>
    <col min="3354" max="3354" width="11.7109375" style="171" bestFit="1" customWidth="1"/>
    <col min="3355" max="3355" width="13.140625" style="171" bestFit="1" customWidth="1"/>
    <col min="3356" max="3356" width="5.5703125" style="171" bestFit="1" customWidth="1"/>
    <col min="3357" max="3357" width="10" style="171" bestFit="1" customWidth="1"/>
    <col min="3358" max="3359" width="14" style="171" bestFit="1" customWidth="1"/>
    <col min="3360" max="3361" width="13.140625" style="171" bestFit="1" customWidth="1"/>
    <col min="3362" max="3362" width="14" style="171" bestFit="1" customWidth="1"/>
    <col min="3363" max="3366" width="9.28515625" style="171" bestFit="1" customWidth="1"/>
    <col min="3367" max="3368" width="11.7109375" style="171" bestFit="1" customWidth="1"/>
    <col min="3369" max="3369" width="9.28515625" style="171" bestFit="1" customWidth="1"/>
    <col min="3370" max="3370" width="11.7109375" style="171" bestFit="1" customWidth="1"/>
    <col min="3371" max="3371" width="13.140625" style="171" bestFit="1" customWidth="1"/>
    <col min="3372" max="3373" width="11.7109375" style="171" bestFit="1" customWidth="1"/>
    <col min="3374" max="3374" width="9.28515625" style="171" bestFit="1" customWidth="1"/>
    <col min="3375" max="3375" width="13.140625" style="171" bestFit="1" customWidth="1"/>
    <col min="3376" max="3376" width="9.28515625" style="171" bestFit="1" customWidth="1"/>
    <col min="3377" max="3378" width="13.140625" style="171" bestFit="1" customWidth="1"/>
    <col min="3379" max="3379" width="14.85546875" style="171" bestFit="1" customWidth="1"/>
    <col min="3380" max="3584" width="9.140625" style="171"/>
    <col min="3585" max="3585" width="9.28515625" style="171" customWidth="1"/>
    <col min="3586" max="3586" width="8.85546875" style="171" bestFit="1" customWidth="1"/>
    <col min="3587" max="3587" width="8.7109375" style="171" bestFit="1" customWidth="1"/>
    <col min="3588" max="3588" width="8.85546875" style="171" bestFit="1" customWidth="1"/>
    <col min="3589" max="3589" width="8" style="171" bestFit="1" customWidth="1"/>
    <col min="3590" max="3590" width="9" style="171" bestFit="1" customWidth="1"/>
    <col min="3591" max="3591" width="10.140625" style="171" customWidth="1"/>
    <col min="3592" max="3592" width="11" style="171" bestFit="1" customWidth="1"/>
    <col min="3593" max="3594" width="10.5703125" style="171" bestFit="1" customWidth="1"/>
    <col min="3595" max="3595" width="9.85546875" style="171" customWidth="1"/>
    <col min="3596" max="3596" width="11.5703125" style="171" customWidth="1"/>
    <col min="3597" max="3597" width="11.42578125" style="171" customWidth="1"/>
    <col min="3598" max="3598" width="10.140625" style="171" customWidth="1"/>
    <col min="3599" max="3599" width="10.28515625" style="171" bestFit="1" customWidth="1"/>
    <col min="3600" max="3600" width="12.140625" style="171" bestFit="1" customWidth="1"/>
    <col min="3601" max="3601" width="12" style="171" bestFit="1" customWidth="1"/>
    <col min="3602" max="3602" width="12.140625" style="171" customWidth="1"/>
    <col min="3603" max="3603" width="10.85546875" style="171" customWidth="1"/>
    <col min="3604" max="3604" width="8.85546875" style="171" bestFit="1" customWidth="1"/>
    <col min="3605" max="3605" width="9" style="171" bestFit="1" customWidth="1"/>
    <col min="3606" max="3606" width="8.5703125" style="171" bestFit="1" customWidth="1"/>
    <col min="3607" max="3607" width="7.85546875" style="171" bestFit="1" customWidth="1"/>
    <col min="3608" max="3608" width="10.28515625" style="171" bestFit="1" customWidth="1"/>
    <col min="3609" max="3609" width="11.85546875" style="171" bestFit="1" customWidth="1"/>
    <col min="3610" max="3610" width="11.7109375" style="171" bestFit="1" customWidth="1"/>
    <col min="3611" max="3611" width="13.140625" style="171" bestFit="1" customWidth="1"/>
    <col min="3612" max="3612" width="5.5703125" style="171" bestFit="1" customWidth="1"/>
    <col min="3613" max="3613" width="10" style="171" bestFit="1" customWidth="1"/>
    <col min="3614" max="3615" width="14" style="171" bestFit="1" customWidth="1"/>
    <col min="3616" max="3617" width="13.140625" style="171" bestFit="1" customWidth="1"/>
    <col min="3618" max="3618" width="14" style="171" bestFit="1" customWidth="1"/>
    <col min="3619" max="3622" width="9.28515625" style="171" bestFit="1" customWidth="1"/>
    <col min="3623" max="3624" width="11.7109375" style="171" bestFit="1" customWidth="1"/>
    <col min="3625" max="3625" width="9.28515625" style="171" bestFit="1" customWidth="1"/>
    <col min="3626" max="3626" width="11.7109375" style="171" bestFit="1" customWidth="1"/>
    <col min="3627" max="3627" width="13.140625" style="171" bestFit="1" customWidth="1"/>
    <col min="3628" max="3629" width="11.7109375" style="171" bestFit="1" customWidth="1"/>
    <col min="3630" max="3630" width="9.28515625" style="171" bestFit="1" customWidth="1"/>
    <col min="3631" max="3631" width="13.140625" style="171" bestFit="1" customWidth="1"/>
    <col min="3632" max="3632" width="9.28515625" style="171" bestFit="1" customWidth="1"/>
    <col min="3633" max="3634" width="13.140625" style="171" bestFit="1" customWidth="1"/>
    <col min="3635" max="3635" width="14.85546875" style="171" bestFit="1" customWidth="1"/>
    <col min="3636" max="3840" width="9.140625" style="171"/>
    <col min="3841" max="3841" width="9.28515625" style="171" customWidth="1"/>
    <col min="3842" max="3842" width="8.85546875" style="171" bestFit="1" customWidth="1"/>
    <col min="3843" max="3843" width="8.7109375" style="171" bestFit="1" customWidth="1"/>
    <col min="3844" max="3844" width="8.85546875" style="171" bestFit="1" customWidth="1"/>
    <col min="3845" max="3845" width="8" style="171" bestFit="1" customWidth="1"/>
    <col min="3846" max="3846" width="9" style="171" bestFit="1" customWidth="1"/>
    <col min="3847" max="3847" width="10.140625" style="171" customWidth="1"/>
    <col min="3848" max="3848" width="11" style="171" bestFit="1" customWidth="1"/>
    <col min="3849" max="3850" width="10.5703125" style="171" bestFit="1" customWidth="1"/>
    <col min="3851" max="3851" width="9.85546875" style="171" customWidth="1"/>
    <col min="3852" max="3852" width="11.5703125" style="171" customWidth="1"/>
    <col min="3853" max="3853" width="11.42578125" style="171" customWidth="1"/>
    <col min="3854" max="3854" width="10.140625" style="171" customWidth="1"/>
    <col min="3855" max="3855" width="10.28515625" style="171" bestFit="1" customWidth="1"/>
    <col min="3856" max="3856" width="12.140625" style="171" bestFit="1" customWidth="1"/>
    <col min="3857" max="3857" width="12" style="171" bestFit="1" customWidth="1"/>
    <col min="3858" max="3858" width="12.140625" style="171" customWidth="1"/>
    <col min="3859" max="3859" width="10.85546875" style="171" customWidth="1"/>
    <col min="3860" max="3860" width="8.85546875" style="171" bestFit="1" customWidth="1"/>
    <col min="3861" max="3861" width="9" style="171" bestFit="1" customWidth="1"/>
    <col min="3862" max="3862" width="8.5703125" style="171" bestFit="1" customWidth="1"/>
    <col min="3863" max="3863" width="7.85546875" style="171" bestFit="1" customWidth="1"/>
    <col min="3864" max="3864" width="10.28515625" style="171" bestFit="1" customWidth="1"/>
    <col min="3865" max="3865" width="11.85546875" style="171" bestFit="1" customWidth="1"/>
    <col min="3866" max="3866" width="11.7109375" style="171" bestFit="1" customWidth="1"/>
    <col min="3867" max="3867" width="13.140625" style="171" bestFit="1" customWidth="1"/>
    <col min="3868" max="3868" width="5.5703125" style="171" bestFit="1" customWidth="1"/>
    <col min="3869" max="3869" width="10" style="171" bestFit="1" customWidth="1"/>
    <col min="3870" max="3871" width="14" style="171" bestFit="1" customWidth="1"/>
    <col min="3872" max="3873" width="13.140625" style="171" bestFit="1" customWidth="1"/>
    <col min="3874" max="3874" width="14" style="171" bestFit="1" customWidth="1"/>
    <col min="3875" max="3878" width="9.28515625" style="171" bestFit="1" customWidth="1"/>
    <col min="3879" max="3880" width="11.7109375" style="171" bestFit="1" customWidth="1"/>
    <col min="3881" max="3881" width="9.28515625" style="171" bestFit="1" customWidth="1"/>
    <col min="3882" max="3882" width="11.7109375" style="171" bestFit="1" customWidth="1"/>
    <col min="3883" max="3883" width="13.140625" style="171" bestFit="1" customWidth="1"/>
    <col min="3884" max="3885" width="11.7109375" style="171" bestFit="1" customWidth="1"/>
    <col min="3886" max="3886" width="9.28515625" style="171" bestFit="1" customWidth="1"/>
    <col min="3887" max="3887" width="13.140625" style="171" bestFit="1" customWidth="1"/>
    <col min="3888" max="3888" width="9.28515625" style="171" bestFit="1" customWidth="1"/>
    <col min="3889" max="3890" width="13.140625" style="171" bestFit="1" customWidth="1"/>
    <col min="3891" max="3891" width="14.85546875" style="171" bestFit="1" customWidth="1"/>
    <col min="3892" max="4096" width="9.140625" style="171"/>
    <col min="4097" max="4097" width="9.28515625" style="171" customWidth="1"/>
    <col min="4098" max="4098" width="8.85546875" style="171" bestFit="1" customWidth="1"/>
    <col min="4099" max="4099" width="8.7109375" style="171" bestFit="1" customWidth="1"/>
    <col min="4100" max="4100" width="8.85546875" style="171" bestFit="1" customWidth="1"/>
    <col min="4101" max="4101" width="8" style="171" bestFit="1" customWidth="1"/>
    <col min="4102" max="4102" width="9" style="171" bestFit="1" customWidth="1"/>
    <col min="4103" max="4103" width="10.140625" style="171" customWidth="1"/>
    <col min="4104" max="4104" width="11" style="171" bestFit="1" customWidth="1"/>
    <col min="4105" max="4106" width="10.5703125" style="171" bestFit="1" customWidth="1"/>
    <col min="4107" max="4107" width="9.85546875" style="171" customWidth="1"/>
    <col min="4108" max="4108" width="11.5703125" style="171" customWidth="1"/>
    <col min="4109" max="4109" width="11.42578125" style="171" customWidth="1"/>
    <col min="4110" max="4110" width="10.140625" style="171" customWidth="1"/>
    <col min="4111" max="4111" width="10.28515625" style="171" bestFit="1" customWidth="1"/>
    <col min="4112" max="4112" width="12.140625" style="171" bestFit="1" customWidth="1"/>
    <col min="4113" max="4113" width="12" style="171" bestFit="1" customWidth="1"/>
    <col min="4114" max="4114" width="12.140625" style="171" customWidth="1"/>
    <col min="4115" max="4115" width="10.85546875" style="171" customWidth="1"/>
    <col min="4116" max="4116" width="8.85546875" style="171" bestFit="1" customWidth="1"/>
    <col min="4117" max="4117" width="9" style="171" bestFit="1" customWidth="1"/>
    <col min="4118" max="4118" width="8.5703125" style="171" bestFit="1" customWidth="1"/>
    <col min="4119" max="4119" width="7.85546875" style="171" bestFit="1" customWidth="1"/>
    <col min="4120" max="4120" width="10.28515625" style="171" bestFit="1" customWidth="1"/>
    <col min="4121" max="4121" width="11.85546875" style="171" bestFit="1" customWidth="1"/>
    <col min="4122" max="4122" width="11.7109375" style="171" bestFit="1" customWidth="1"/>
    <col min="4123" max="4123" width="13.140625" style="171" bestFit="1" customWidth="1"/>
    <col min="4124" max="4124" width="5.5703125" style="171" bestFit="1" customWidth="1"/>
    <col min="4125" max="4125" width="10" style="171" bestFit="1" customWidth="1"/>
    <col min="4126" max="4127" width="14" style="171" bestFit="1" customWidth="1"/>
    <col min="4128" max="4129" width="13.140625" style="171" bestFit="1" customWidth="1"/>
    <col min="4130" max="4130" width="14" style="171" bestFit="1" customWidth="1"/>
    <col min="4131" max="4134" width="9.28515625" style="171" bestFit="1" customWidth="1"/>
    <col min="4135" max="4136" width="11.7109375" style="171" bestFit="1" customWidth="1"/>
    <col min="4137" max="4137" width="9.28515625" style="171" bestFit="1" customWidth="1"/>
    <col min="4138" max="4138" width="11.7109375" style="171" bestFit="1" customWidth="1"/>
    <col min="4139" max="4139" width="13.140625" style="171" bestFit="1" customWidth="1"/>
    <col min="4140" max="4141" width="11.7109375" style="171" bestFit="1" customWidth="1"/>
    <col min="4142" max="4142" width="9.28515625" style="171" bestFit="1" customWidth="1"/>
    <col min="4143" max="4143" width="13.140625" style="171" bestFit="1" customWidth="1"/>
    <col min="4144" max="4144" width="9.28515625" style="171" bestFit="1" customWidth="1"/>
    <col min="4145" max="4146" width="13.140625" style="171" bestFit="1" customWidth="1"/>
    <col min="4147" max="4147" width="14.85546875" style="171" bestFit="1" customWidth="1"/>
    <col min="4148" max="4352" width="9.140625" style="171"/>
    <col min="4353" max="4353" width="9.28515625" style="171" customWidth="1"/>
    <col min="4354" max="4354" width="8.85546875" style="171" bestFit="1" customWidth="1"/>
    <col min="4355" max="4355" width="8.7109375" style="171" bestFit="1" customWidth="1"/>
    <col min="4356" max="4356" width="8.85546875" style="171" bestFit="1" customWidth="1"/>
    <col min="4357" max="4357" width="8" style="171" bestFit="1" customWidth="1"/>
    <col min="4358" max="4358" width="9" style="171" bestFit="1" customWidth="1"/>
    <col min="4359" max="4359" width="10.140625" style="171" customWidth="1"/>
    <col min="4360" max="4360" width="11" style="171" bestFit="1" customWidth="1"/>
    <col min="4361" max="4362" width="10.5703125" style="171" bestFit="1" customWidth="1"/>
    <col min="4363" max="4363" width="9.85546875" style="171" customWidth="1"/>
    <col min="4364" max="4364" width="11.5703125" style="171" customWidth="1"/>
    <col min="4365" max="4365" width="11.42578125" style="171" customWidth="1"/>
    <col min="4366" max="4366" width="10.140625" style="171" customWidth="1"/>
    <col min="4367" max="4367" width="10.28515625" style="171" bestFit="1" customWidth="1"/>
    <col min="4368" max="4368" width="12.140625" style="171" bestFit="1" customWidth="1"/>
    <col min="4369" max="4369" width="12" style="171" bestFit="1" customWidth="1"/>
    <col min="4370" max="4370" width="12.140625" style="171" customWidth="1"/>
    <col min="4371" max="4371" width="10.85546875" style="171" customWidth="1"/>
    <col min="4372" max="4372" width="8.85546875" style="171" bestFit="1" customWidth="1"/>
    <col min="4373" max="4373" width="9" style="171" bestFit="1" customWidth="1"/>
    <col min="4374" max="4374" width="8.5703125" style="171" bestFit="1" customWidth="1"/>
    <col min="4375" max="4375" width="7.85546875" style="171" bestFit="1" customWidth="1"/>
    <col min="4376" max="4376" width="10.28515625" style="171" bestFit="1" customWidth="1"/>
    <col min="4377" max="4377" width="11.85546875" style="171" bestFit="1" customWidth="1"/>
    <col min="4378" max="4378" width="11.7109375" style="171" bestFit="1" customWidth="1"/>
    <col min="4379" max="4379" width="13.140625" style="171" bestFit="1" customWidth="1"/>
    <col min="4380" max="4380" width="5.5703125" style="171" bestFit="1" customWidth="1"/>
    <col min="4381" max="4381" width="10" style="171" bestFit="1" customWidth="1"/>
    <col min="4382" max="4383" width="14" style="171" bestFit="1" customWidth="1"/>
    <col min="4384" max="4385" width="13.140625" style="171" bestFit="1" customWidth="1"/>
    <col min="4386" max="4386" width="14" style="171" bestFit="1" customWidth="1"/>
    <col min="4387" max="4390" width="9.28515625" style="171" bestFit="1" customWidth="1"/>
    <col min="4391" max="4392" width="11.7109375" style="171" bestFit="1" customWidth="1"/>
    <col min="4393" max="4393" width="9.28515625" style="171" bestFit="1" customWidth="1"/>
    <col min="4394" max="4394" width="11.7109375" style="171" bestFit="1" customWidth="1"/>
    <col min="4395" max="4395" width="13.140625" style="171" bestFit="1" customWidth="1"/>
    <col min="4396" max="4397" width="11.7109375" style="171" bestFit="1" customWidth="1"/>
    <col min="4398" max="4398" width="9.28515625" style="171" bestFit="1" customWidth="1"/>
    <col min="4399" max="4399" width="13.140625" style="171" bestFit="1" customWidth="1"/>
    <col min="4400" max="4400" width="9.28515625" style="171" bestFit="1" customWidth="1"/>
    <col min="4401" max="4402" width="13.140625" style="171" bestFit="1" customWidth="1"/>
    <col min="4403" max="4403" width="14.85546875" style="171" bestFit="1" customWidth="1"/>
    <col min="4404" max="4608" width="9.140625" style="171"/>
    <col min="4609" max="4609" width="9.28515625" style="171" customWidth="1"/>
    <col min="4610" max="4610" width="8.85546875" style="171" bestFit="1" customWidth="1"/>
    <col min="4611" max="4611" width="8.7109375" style="171" bestFit="1" customWidth="1"/>
    <col min="4612" max="4612" width="8.85546875" style="171" bestFit="1" customWidth="1"/>
    <col min="4613" max="4613" width="8" style="171" bestFit="1" customWidth="1"/>
    <col min="4614" max="4614" width="9" style="171" bestFit="1" customWidth="1"/>
    <col min="4615" max="4615" width="10.140625" style="171" customWidth="1"/>
    <col min="4616" max="4616" width="11" style="171" bestFit="1" customWidth="1"/>
    <col min="4617" max="4618" width="10.5703125" style="171" bestFit="1" customWidth="1"/>
    <col min="4619" max="4619" width="9.85546875" style="171" customWidth="1"/>
    <col min="4620" max="4620" width="11.5703125" style="171" customWidth="1"/>
    <col min="4621" max="4621" width="11.42578125" style="171" customWidth="1"/>
    <col min="4622" max="4622" width="10.140625" style="171" customWidth="1"/>
    <col min="4623" max="4623" width="10.28515625" style="171" bestFit="1" customWidth="1"/>
    <col min="4624" max="4624" width="12.140625" style="171" bestFit="1" customWidth="1"/>
    <col min="4625" max="4625" width="12" style="171" bestFit="1" customWidth="1"/>
    <col min="4626" max="4626" width="12.140625" style="171" customWidth="1"/>
    <col min="4627" max="4627" width="10.85546875" style="171" customWidth="1"/>
    <col min="4628" max="4628" width="8.85546875" style="171" bestFit="1" customWidth="1"/>
    <col min="4629" max="4629" width="9" style="171" bestFit="1" customWidth="1"/>
    <col min="4630" max="4630" width="8.5703125" style="171" bestFit="1" customWidth="1"/>
    <col min="4631" max="4631" width="7.85546875" style="171" bestFit="1" customWidth="1"/>
    <col min="4632" max="4632" width="10.28515625" style="171" bestFit="1" customWidth="1"/>
    <col min="4633" max="4633" width="11.85546875" style="171" bestFit="1" customWidth="1"/>
    <col min="4634" max="4634" width="11.7109375" style="171" bestFit="1" customWidth="1"/>
    <col min="4635" max="4635" width="13.140625" style="171" bestFit="1" customWidth="1"/>
    <col min="4636" max="4636" width="5.5703125" style="171" bestFit="1" customWidth="1"/>
    <col min="4637" max="4637" width="10" style="171" bestFit="1" customWidth="1"/>
    <col min="4638" max="4639" width="14" style="171" bestFit="1" customWidth="1"/>
    <col min="4640" max="4641" width="13.140625" style="171" bestFit="1" customWidth="1"/>
    <col min="4642" max="4642" width="14" style="171" bestFit="1" customWidth="1"/>
    <col min="4643" max="4646" width="9.28515625" style="171" bestFit="1" customWidth="1"/>
    <col min="4647" max="4648" width="11.7109375" style="171" bestFit="1" customWidth="1"/>
    <col min="4649" max="4649" width="9.28515625" style="171" bestFit="1" customWidth="1"/>
    <col min="4650" max="4650" width="11.7109375" style="171" bestFit="1" customWidth="1"/>
    <col min="4651" max="4651" width="13.140625" style="171" bestFit="1" customWidth="1"/>
    <col min="4652" max="4653" width="11.7109375" style="171" bestFit="1" customWidth="1"/>
    <col min="4654" max="4654" width="9.28515625" style="171" bestFit="1" customWidth="1"/>
    <col min="4655" max="4655" width="13.140625" style="171" bestFit="1" customWidth="1"/>
    <col min="4656" max="4656" width="9.28515625" style="171" bestFit="1" customWidth="1"/>
    <col min="4657" max="4658" width="13.140625" style="171" bestFit="1" customWidth="1"/>
    <col min="4659" max="4659" width="14.85546875" style="171" bestFit="1" customWidth="1"/>
    <col min="4660" max="4864" width="9.140625" style="171"/>
    <col min="4865" max="4865" width="9.28515625" style="171" customWidth="1"/>
    <col min="4866" max="4866" width="8.85546875" style="171" bestFit="1" customWidth="1"/>
    <col min="4867" max="4867" width="8.7109375" style="171" bestFit="1" customWidth="1"/>
    <col min="4868" max="4868" width="8.85546875" style="171" bestFit="1" customWidth="1"/>
    <col min="4869" max="4869" width="8" style="171" bestFit="1" customWidth="1"/>
    <col min="4870" max="4870" width="9" style="171" bestFit="1" customWidth="1"/>
    <col min="4871" max="4871" width="10.140625" style="171" customWidth="1"/>
    <col min="4872" max="4872" width="11" style="171" bestFit="1" customWidth="1"/>
    <col min="4873" max="4874" width="10.5703125" style="171" bestFit="1" customWidth="1"/>
    <col min="4875" max="4875" width="9.85546875" style="171" customWidth="1"/>
    <col min="4876" max="4876" width="11.5703125" style="171" customWidth="1"/>
    <col min="4877" max="4877" width="11.42578125" style="171" customWidth="1"/>
    <col min="4878" max="4878" width="10.140625" style="171" customWidth="1"/>
    <col min="4879" max="4879" width="10.28515625" style="171" bestFit="1" customWidth="1"/>
    <col min="4880" max="4880" width="12.140625" style="171" bestFit="1" customWidth="1"/>
    <col min="4881" max="4881" width="12" style="171" bestFit="1" customWidth="1"/>
    <col min="4882" max="4882" width="12.140625" style="171" customWidth="1"/>
    <col min="4883" max="4883" width="10.85546875" style="171" customWidth="1"/>
    <col min="4884" max="4884" width="8.85546875" style="171" bestFit="1" customWidth="1"/>
    <col min="4885" max="4885" width="9" style="171" bestFit="1" customWidth="1"/>
    <col min="4886" max="4886" width="8.5703125" style="171" bestFit="1" customWidth="1"/>
    <col min="4887" max="4887" width="7.85546875" style="171" bestFit="1" customWidth="1"/>
    <col min="4888" max="4888" width="10.28515625" style="171" bestFit="1" customWidth="1"/>
    <col min="4889" max="4889" width="11.85546875" style="171" bestFit="1" customWidth="1"/>
    <col min="4890" max="4890" width="11.7109375" style="171" bestFit="1" customWidth="1"/>
    <col min="4891" max="4891" width="13.140625" style="171" bestFit="1" customWidth="1"/>
    <col min="4892" max="4892" width="5.5703125" style="171" bestFit="1" customWidth="1"/>
    <col min="4893" max="4893" width="10" style="171" bestFit="1" customWidth="1"/>
    <col min="4894" max="4895" width="14" style="171" bestFit="1" customWidth="1"/>
    <col min="4896" max="4897" width="13.140625" style="171" bestFit="1" customWidth="1"/>
    <col min="4898" max="4898" width="14" style="171" bestFit="1" customWidth="1"/>
    <col min="4899" max="4902" width="9.28515625" style="171" bestFit="1" customWidth="1"/>
    <col min="4903" max="4904" width="11.7109375" style="171" bestFit="1" customWidth="1"/>
    <col min="4905" max="4905" width="9.28515625" style="171" bestFit="1" customWidth="1"/>
    <col min="4906" max="4906" width="11.7109375" style="171" bestFit="1" customWidth="1"/>
    <col min="4907" max="4907" width="13.140625" style="171" bestFit="1" customWidth="1"/>
    <col min="4908" max="4909" width="11.7109375" style="171" bestFit="1" customWidth="1"/>
    <col min="4910" max="4910" width="9.28515625" style="171" bestFit="1" customWidth="1"/>
    <col min="4911" max="4911" width="13.140625" style="171" bestFit="1" customWidth="1"/>
    <col min="4912" max="4912" width="9.28515625" style="171" bestFit="1" customWidth="1"/>
    <col min="4913" max="4914" width="13.140625" style="171" bestFit="1" customWidth="1"/>
    <col min="4915" max="4915" width="14.85546875" style="171" bestFit="1" customWidth="1"/>
    <col min="4916" max="5120" width="9.140625" style="171"/>
    <col min="5121" max="5121" width="9.28515625" style="171" customWidth="1"/>
    <col min="5122" max="5122" width="8.85546875" style="171" bestFit="1" customWidth="1"/>
    <col min="5123" max="5123" width="8.7109375" style="171" bestFit="1" customWidth="1"/>
    <col min="5124" max="5124" width="8.85546875" style="171" bestFit="1" customWidth="1"/>
    <col min="5125" max="5125" width="8" style="171" bestFit="1" customWidth="1"/>
    <col min="5126" max="5126" width="9" style="171" bestFit="1" customWidth="1"/>
    <col min="5127" max="5127" width="10.140625" style="171" customWidth="1"/>
    <col min="5128" max="5128" width="11" style="171" bestFit="1" customWidth="1"/>
    <col min="5129" max="5130" width="10.5703125" style="171" bestFit="1" customWidth="1"/>
    <col min="5131" max="5131" width="9.85546875" style="171" customWidth="1"/>
    <col min="5132" max="5132" width="11.5703125" style="171" customWidth="1"/>
    <col min="5133" max="5133" width="11.42578125" style="171" customWidth="1"/>
    <col min="5134" max="5134" width="10.140625" style="171" customWidth="1"/>
    <col min="5135" max="5135" width="10.28515625" style="171" bestFit="1" customWidth="1"/>
    <col min="5136" max="5136" width="12.140625" style="171" bestFit="1" customWidth="1"/>
    <col min="5137" max="5137" width="12" style="171" bestFit="1" customWidth="1"/>
    <col min="5138" max="5138" width="12.140625" style="171" customWidth="1"/>
    <col min="5139" max="5139" width="10.85546875" style="171" customWidth="1"/>
    <col min="5140" max="5140" width="8.85546875" style="171" bestFit="1" customWidth="1"/>
    <col min="5141" max="5141" width="9" style="171" bestFit="1" customWidth="1"/>
    <col min="5142" max="5142" width="8.5703125" style="171" bestFit="1" customWidth="1"/>
    <col min="5143" max="5143" width="7.85546875" style="171" bestFit="1" customWidth="1"/>
    <col min="5144" max="5144" width="10.28515625" style="171" bestFit="1" customWidth="1"/>
    <col min="5145" max="5145" width="11.85546875" style="171" bestFit="1" customWidth="1"/>
    <col min="5146" max="5146" width="11.7109375" style="171" bestFit="1" customWidth="1"/>
    <col min="5147" max="5147" width="13.140625" style="171" bestFit="1" customWidth="1"/>
    <col min="5148" max="5148" width="5.5703125" style="171" bestFit="1" customWidth="1"/>
    <col min="5149" max="5149" width="10" style="171" bestFit="1" customWidth="1"/>
    <col min="5150" max="5151" width="14" style="171" bestFit="1" customWidth="1"/>
    <col min="5152" max="5153" width="13.140625" style="171" bestFit="1" customWidth="1"/>
    <col min="5154" max="5154" width="14" style="171" bestFit="1" customWidth="1"/>
    <col min="5155" max="5158" width="9.28515625" style="171" bestFit="1" customWidth="1"/>
    <col min="5159" max="5160" width="11.7109375" style="171" bestFit="1" customWidth="1"/>
    <col min="5161" max="5161" width="9.28515625" style="171" bestFit="1" customWidth="1"/>
    <col min="5162" max="5162" width="11.7109375" style="171" bestFit="1" customWidth="1"/>
    <col min="5163" max="5163" width="13.140625" style="171" bestFit="1" customWidth="1"/>
    <col min="5164" max="5165" width="11.7109375" style="171" bestFit="1" customWidth="1"/>
    <col min="5166" max="5166" width="9.28515625" style="171" bestFit="1" customWidth="1"/>
    <col min="5167" max="5167" width="13.140625" style="171" bestFit="1" customWidth="1"/>
    <col min="5168" max="5168" width="9.28515625" style="171" bestFit="1" customWidth="1"/>
    <col min="5169" max="5170" width="13.140625" style="171" bestFit="1" customWidth="1"/>
    <col min="5171" max="5171" width="14.85546875" style="171" bestFit="1" customWidth="1"/>
    <col min="5172" max="5376" width="9.140625" style="171"/>
    <col min="5377" max="5377" width="9.28515625" style="171" customWidth="1"/>
    <col min="5378" max="5378" width="8.85546875" style="171" bestFit="1" customWidth="1"/>
    <col min="5379" max="5379" width="8.7109375" style="171" bestFit="1" customWidth="1"/>
    <col min="5380" max="5380" width="8.85546875" style="171" bestFit="1" customWidth="1"/>
    <col min="5381" max="5381" width="8" style="171" bestFit="1" customWidth="1"/>
    <col min="5382" max="5382" width="9" style="171" bestFit="1" customWidth="1"/>
    <col min="5383" max="5383" width="10.140625" style="171" customWidth="1"/>
    <col min="5384" max="5384" width="11" style="171" bestFit="1" customWidth="1"/>
    <col min="5385" max="5386" width="10.5703125" style="171" bestFit="1" customWidth="1"/>
    <col min="5387" max="5387" width="9.85546875" style="171" customWidth="1"/>
    <col min="5388" max="5388" width="11.5703125" style="171" customWidth="1"/>
    <col min="5389" max="5389" width="11.42578125" style="171" customWidth="1"/>
    <col min="5390" max="5390" width="10.140625" style="171" customWidth="1"/>
    <col min="5391" max="5391" width="10.28515625" style="171" bestFit="1" customWidth="1"/>
    <col min="5392" max="5392" width="12.140625" style="171" bestFit="1" customWidth="1"/>
    <col min="5393" max="5393" width="12" style="171" bestFit="1" customWidth="1"/>
    <col min="5394" max="5394" width="12.140625" style="171" customWidth="1"/>
    <col min="5395" max="5395" width="10.85546875" style="171" customWidth="1"/>
    <col min="5396" max="5396" width="8.85546875" style="171" bestFit="1" customWidth="1"/>
    <col min="5397" max="5397" width="9" style="171" bestFit="1" customWidth="1"/>
    <col min="5398" max="5398" width="8.5703125" style="171" bestFit="1" customWidth="1"/>
    <col min="5399" max="5399" width="7.85546875" style="171" bestFit="1" customWidth="1"/>
    <col min="5400" max="5400" width="10.28515625" style="171" bestFit="1" customWidth="1"/>
    <col min="5401" max="5401" width="11.85546875" style="171" bestFit="1" customWidth="1"/>
    <col min="5402" max="5402" width="11.7109375" style="171" bestFit="1" customWidth="1"/>
    <col min="5403" max="5403" width="13.140625" style="171" bestFit="1" customWidth="1"/>
    <col min="5404" max="5404" width="5.5703125" style="171" bestFit="1" customWidth="1"/>
    <col min="5405" max="5405" width="10" style="171" bestFit="1" customWidth="1"/>
    <col min="5406" max="5407" width="14" style="171" bestFit="1" customWidth="1"/>
    <col min="5408" max="5409" width="13.140625" style="171" bestFit="1" customWidth="1"/>
    <col min="5410" max="5410" width="14" style="171" bestFit="1" customWidth="1"/>
    <col min="5411" max="5414" width="9.28515625" style="171" bestFit="1" customWidth="1"/>
    <col min="5415" max="5416" width="11.7109375" style="171" bestFit="1" customWidth="1"/>
    <col min="5417" max="5417" width="9.28515625" style="171" bestFit="1" customWidth="1"/>
    <col min="5418" max="5418" width="11.7109375" style="171" bestFit="1" customWidth="1"/>
    <col min="5419" max="5419" width="13.140625" style="171" bestFit="1" customWidth="1"/>
    <col min="5420" max="5421" width="11.7109375" style="171" bestFit="1" customWidth="1"/>
    <col min="5422" max="5422" width="9.28515625" style="171" bestFit="1" customWidth="1"/>
    <col min="5423" max="5423" width="13.140625" style="171" bestFit="1" customWidth="1"/>
    <col min="5424" max="5424" width="9.28515625" style="171" bestFit="1" customWidth="1"/>
    <col min="5425" max="5426" width="13.140625" style="171" bestFit="1" customWidth="1"/>
    <col min="5427" max="5427" width="14.85546875" style="171" bestFit="1" customWidth="1"/>
    <col min="5428" max="5632" width="9.140625" style="171"/>
    <col min="5633" max="5633" width="9.28515625" style="171" customWidth="1"/>
    <col min="5634" max="5634" width="8.85546875" style="171" bestFit="1" customWidth="1"/>
    <col min="5635" max="5635" width="8.7109375" style="171" bestFit="1" customWidth="1"/>
    <col min="5636" max="5636" width="8.85546875" style="171" bestFit="1" customWidth="1"/>
    <col min="5637" max="5637" width="8" style="171" bestFit="1" customWidth="1"/>
    <col min="5638" max="5638" width="9" style="171" bestFit="1" customWidth="1"/>
    <col min="5639" max="5639" width="10.140625" style="171" customWidth="1"/>
    <col min="5640" max="5640" width="11" style="171" bestFit="1" customWidth="1"/>
    <col min="5641" max="5642" width="10.5703125" style="171" bestFit="1" customWidth="1"/>
    <col min="5643" max="5643" width="9.85546875" style="171" customWidth="1"/>
    <col min="5644" max="5644" width="11.5703125" style="171" customWidth="1"/>
    <col min="5645" max="5645" width="11.42578125" style="171" customWidth="1"/>
    <col min="5646" max="5646" width="10.140625" style="171" customWidth="1"/>
    <col min="5647" max="5647" width="10.28515625" style="171" bestFit="1" customWidth="1"/>
    <col min="5648" max="5648" width="12.140625" style="171" bestFit="1" customWidth="1"/>
    <col min="5649" max="5649" width="12" style="171" bestFit="1" customWidth="1"/>
    <col min="5650" max="5650" width="12.140625" style="171" customWidth="1"/>
    <col min="5651" max="5651" width="10.85546875" style="171" customWidth="1"/>
    <col min="5652" max="5652" width="8.85546875" style="171" bestFit="1" customWidth="1"/>
    <col min="5653" max="5653" width="9" style="171" bestFit="1" customWidth="1"/>
    <col min="5654" max="5654" width="8.5703125" style="171" bestFit="1" customWidth="1"/>
    <col min="5655" max="5655" width="7.85546875" style="171" bestFit="1" customWidth="1"/>
    <col min="5656" max="5656" width="10.28515625" style="171" bestFit="1" customWidth="1"/>
    <col min="5657" max="5657" width="11.85546875" style="171" bestFit="1" customWidth="1"/>
    <col min="5658" max="5658" width="11.7109375" style="171" bestFit="1" customWidth="1"/>
    <col min="5659" max="5659" width="13.140625" style="171" bestFit="1" customWidth="1"/>
    <col min="5660" max="5660" width="5.5703125" style="171" bestFit="1" customWidth="1"/>
    <col min="5661" max="5661" width="10" style="171" bestFit="1" customWidth="1"/>
    <col min="5662" max="5663" width="14" style="171" bestFit="1" customWidth="1"/>
    <col min="5664" max="5665" width="13.140625" style="171" bestFit="1" customWidth="1"/>
    <col min="5666" max="5666" width="14" style="171" bestFit="1" customWidth="1"/>
    <col min="5667" max="5670" width="9.28515625" style="171" bestFit="1" customWidth="1"/>
    <col min="5671" max="5672" width="11.7109375" style="171" bestFit="1" customWidth="1"/>
    <col min="5673" max="5673" width="9.28515625" style="171" bestFit="1" customWidth="1"/>
    <col min="5674" max="5674" width="11.7109375" style="171" bestFit="1" customWidth="1"/>
    <col min="5675" max="5675" width="13.140625" style="171" bestFit="1" customWidth="1"/>
    <col min="5676" max="5677" width="11.7109375" style="171" bestFit="1" customWidth="1"/>
    <col min="5678" max="5678" width="9.28515625" style="171" bestFit="1" customWidth="1"/>
    <col min="5679" max="5679" width="13.140625" style="171" bestFit="1" customWidth="1"/>
    <col min="5680" max="5680" width="9.28515625" style="171" bestFit="1" customWidth="1"/>
    <col min="5681" max="5682" width="13.140625" style="171" bestFit="1" customWidth="1"/>
    <col min="5683" max="5683" width="14.85546875" style="171" bestFit="1" customWidth="1"/>
    <col min="5684" max="5888" width="9.140625" style="171"/>
    <col min="5889" max="5889" width="9.28515625" style="171" customWidth="1"/>
    <col min="5890" max="5890" width="8.85546875" style="171" bestFit="1" customWidth="1"/>
    <col min="5891" max="5891" width="8.7109375" style="171" bestFit="1" customWidth="1"/>
    <col min="5892" max="5892" width="8.85546875" style="171" bestFit="1" customWidth="1"/>
    <col min="5893" max="5893" width="8" style="171" bestFit="1" customWidth="1"/>
    <col min="5894" max="5894" width="9" style="171" bestFit="1" customWidth="1"/>
    <col min="5895" max="5895" width="10.140625" style="171" customWidth="1"/>
    <col min="5896" max="5896" width="11" style="171" bestFit="1" customWidth="1"/>
    <col min="5897" max="5898" width="10.5703125" style="171" bestFit="1" customWidth="1"/>
    <col min="5899" max="5899" width="9.85546875" style="171" customWidth="1"/>
    <col min="5900" max="5900" width="11.5703125" style="171" customWidth="1"/>
    <col min="5901" max="5901" width="11.42578125" style="171" customWidth="1"/>
    <col min="5902" max="5902" width="10.140625" style="171" customWidth="1"/>
    <col min="5903" max="5903" width="10.28515625" style="171" bestFit="1" customWidth="1"/>
    <col min="5904" max="5904" width="12.140625" style="171" bestFit="1" customWidth="1"/>
    <col min="5905" max="5905" width="12" style="171" bestFit="1" customWidth="1"/>
    <col min="5906" max="5906" width="12.140625" style="171" customWidth="1"/>
    <col min="5907" max="5907" width="10.85546875" style="171" customWidth="1"/>
    <col min="5908" max="5908" width="8.85546875" style="171" bestFit="1" customWidth="1"/>
    <col min="5909" max="5909" width="9" style="171" bestFit="1" customWidth="1"/>
    <col min="5910" max="5910" width="8.5703125" style="171" bestFit="1" customWidth="1"/>
    <col min="5911" max="5911" width="7.85546875" style="171" bestFit="1" customWidth="1"/>
    <col min="5912" max="5912" width="10.28515625" style="171" bestFit="1" customWidth="1"/>
    <col min="5913" max="5913" width="11.85546875" style="171" bestFit="1" customWidth="1"/>
    <col min="5914" max="5914" width="11.7109375" style="171" bestFit="1" customWidth="1"/>
    <col min="5915" max="5915" width="13.140625" style="171" bestFit="1" customWidth="1"/>
    <col min="5916" max="5916" width="5.5703125" style="171" bestFit="1" customWidth="1"/>
    <col min="5917" max="5917" width="10" style="171" bestFit="1" customWidth="1"/>
    <col min="5918" max="5919" width="14" style="171" bestFit="1" customWidth="1"/>
    <col min="5920" max="5921" width="13.140625" style="171" bestFit="1" customWidth="1"/>
    <col min="5922" max="5922" width="14" style="171" bestFit="1" customWidth="1"/>
    <col min="5923" max="5926" width="9.28515625" style="171" bestFit="1" customWidth="1"/>
    <col min="5927" max="5928" width="11.7109375" style="171" bestFit="1" customWidth="1"/>
    <col min="5929" max="5929" width="9.28515625" style="171" bestFit="1" customWidth="1"/>
    <col min="5930" max="5930" width="11.7109375" style="171" bestFit="1" customWidth="1"/>
    <col min="5931" max="5931" width="13.140625" style="171" bestFit="1" customWidth="1"/>
    <col min="5932" max="5933" width="11.7109375" style="171" bestFit="1" customWidth="1"/>
    <col min="5934" max="5934" width="9.28515625" style="171" bestFit="1" customWidth="1"/>
    <col min="5935" max="5935" width="13.140625" style="171" bestFit="1" customWidth="1"/>
    <col min="5936" max="5936" width="9.28515625" style="171" bestFit="1" customWidth="1"/>
    <col min="5937" max="5938" width="13.140625" style="171" bestFit="1" customWidth="1"/>
    <col min="5939" max="5939" width="14.85546875" style="171" bestFit="1" customWidth="1"/>
    <col min="5940" max="6144" width="9.140625" style="171"/>
    <col min="6145" max="6145" width="9.28515625" style="171" customWidth="1"/>
    <col min="6146" max="6146" width="8.85546875" style="171" bestFit="1" customWidth="1"/>
    <col min="6147" max="6147" width="8.7109375" style="171" bestFit="1" customWidth="1"/>
    <col min="6148" max="6148" width="8.85546875" style="171" bestFit="1" customWidth="1"/>
    <col min="6149" max="6149" width="8" style="171" bestFit="1" customWidth="1"/>
    <col min="6150" max="6150" width="9" style="171" bestFit="1" customWidth="1"/>
    <col min="6151" max="6151" width="10.140625" style="171" customWidth="1"/>
    <col min="6152" max="6152" width="11" style="171" bestFit="1" customWidth="1"/>
    <col min="6153" max="6154" width="10.5703125" style="171" bestFit="1" customWidth="1"/>
    <col min="6155" max="6155" width="9.85546875" style="171" customWidth="1"/>
    <col min="6156" max="6156" width="11.5703125" style="171" customWidth="1"/>
    <col min="6157" max="6157" width="11.42578125" style="171" customWidth="1"/>
    <col min="6158" max="6158" width="10.140625" style="171" customWidth="1"/>
    <col min="6159" max="6159" width="10.28515625" style="171" bestFit="1" customWidth="1"/>
    <col min="6160" max="6160" width="12.140625" style="171" bestFit="1" customWidth="1"/>
    <col min="6161" max="6161" width="12" style="171" bestFit="1" customWidth="1"/>
    <col min="6162" max="6162" width="12.140625" style="171" customWidth="1"/>
    <col min="6163" max="6163" width="10.85546875" style="171" customWidth="1"/>
    <col min="6164" max="6164" width="8.85546875" style="171" bestFit="1" customWidth="1"/>
    <col min="6165" max="6165" width="9" style="171" bestFit="1" customWidth="1"/>
    <col min="6166" max="6166" width="8.5703125" style="171" bestFit="1" customWidth="1"/>
    <col min="6167" max="6167" width="7.85546875" style="171" bestFit="1" customWidth="1"/>
    <col min="6168" max="6168" width="10.28515625" style="171" bestFit="1" customWidth="1"/>
    <col min="6169" max="6169" width="11.85546875" style="171" bestFit="1" customWidth="1"/>
    <col min="6170" max="6170" width="11.7109375" style="171" bestFit="1" customWidth="1"/>
    <col min="6171" max="6171" width="13.140625" style="171" bestFit="1" customWidth="1"/>
    <col min="6172" max="6172" width="5.5703125" style="171" bestFit="1" customWidth="1"/>
    <col min="6173" max="6173" width="10" style="171" bestFit="1" customWidth="1"/>
    <col min="6174" max="6175" width="14" style="171" bestFit="1" customWidth="1"/>
    <col min="6176" max="6177" width="13.140625" style="171" bestFit="1" customWidth="1"/>
    <col min="6178" max="6178" width="14" style="171" bestFit="1" customWidth="1"/>
    <col min="6179" max="6182" width="9.28515625" style="171" bestFit="1" customWidth="1"/>
    <col min="6183" max="6184" width="11.7109375" style="171" bestFit="1" customWidth="1"/>
    <col min="6185" max="6185" width="9.28515625" style="171" bestFit="1" customWidth="1"/>
    <col min="6186" max="6186" width="11.7109375" style="171" bestFit="1" customWidth="1"/>
    <col min="6187" max="6187" width="13.140625" style="171" bestFit="1" customWidth="1"/>
    <col min="6188" max="6189" width="11.7109375" style="171" bestFit="1" customWidth="1"/>
    <col min="6190" max="6190" width="9.28515625" style="171" bestFit="1" customWidth="1"/>
    <col min="6191" max="6191" width="13.140625" style="171" bestFit="1" customWidth="1"/>
    <col min="6192" max="6192" width="9.28515625" style="171" bestFit="1" customWidth="1"/>
    <col min="6193" max="6194" width="13.140625" style="171" bestFit="1" customWidth="1"/>
    <col min="6195" max="6195" width="14.85546875" style="171" bestFit="1" customWidth="1"/>
    <col min="6196" max="6400" width="9.140625" style="171"/>
    <col min="6401" max="6401" width="9.28515625" style="171" customWidth="1"/>
    <col min="6402" max="6402" width="8.85546875" style="171" bestFit="1" customWidth="1"/>
    <col min="6403" max="6403" width="8.7109375" style="171" bestFit="1" customWidth="1"/>
    <col min="6404" max="6404" width="8.85546875" style="171" bestFit="1" customWidth="1"/>
    <col min="6405" max="6405" width="8" style="171" bestFit="1" customWidth="1"/>
    <col min="6406" max="6406" width="9" style="171" bestFit="1" customWidth="1"/>
    <col min="6407" max="6407" width="10.140625" style="171" customWidth="1"/>
    <col min="6408" max="6408" width="11" style="171" bestFit="1" customWidth="1"/>
    <col min="6409" max="6410" width="10.5703125" style="171" bestFit="1" customWidth="1"/>
    <col min="6411" max="6411" width="9.85546875" style="171" customWidth="1"/>
    <col min="6412" max="6412" width="11.5703125" style="171" customWidth="1"/>
    <col min="6413" max="6413" width="11.42578125" style="171" customWidth="1"/>
    <col min="6414" max="6414" width="10.140625" style="171" customWidth="1"/>
    <col min="6415" max="6415" width="10.28515625" style="171" bestFit="1" customWidth="1"/>
    <col min="6416" max="6416" width="12.140625" style="171" bestFit="1" customWidth="1"/>
    <col min="6417" max="6417" width="12" style="171" bestFit="1" customWidth="1"/>
    <col min="6418" max="6418" width="12.140625" style="171" customWidth="1"/>
    <col min="6419" max="6419" width="10.85546875" style="171" customWidth="1"/>
    <col min="6420" max="6420" width="8.85546875" style="171" bestFit="1" customWidth="1"/>
    <col min="6421" max="6421" width="9" style="171" bestFit="1" customWidth="1"/>
    <col min="6422" max="6422" width="8.5703125" style="171" bestFit="1" customWidth="1"/>
    <col min="6423" max="6423" width="7.85546875" style="171" bestFit="1" customWidth="1"/>
    <col min="6424" max="6424" width="10.28515625" style="171" bestFit="1" customWidth="1"/>
    <col min="6425" max="6425" width="11.85546875" style="171" bestFit="1" customWidth="1"/>
    <col min="6426" max="6426" width="11.7109375" style="171" bestFit="1" customWidth="1"/>
    <col min="6427" max="6427" width="13.140625" style="171" bestFit="1" customWidth="1"/>
    <col min="6428" max="6428" width="5.5703125" style="171" bestFit="1" customWidth="1"/>
    <col min="6429" max="6429" width="10" style="171" bestFit="1" customWidth="1"/>
    <col min="6430" max="6431" width="14" style="171" bestFit="1" customWidth="1"/>
    <col min="6432" max="6433" width="13.140625" style="171" bestFit="1" customWidth="1"/>
    <col min="6434" max="6434" width="14" style="171" bestFit="1" customWidth="1"/>
    <col min="6435" max="6438" width="9.28515625" style="171" bestFit="1" customWidth="1"/>
    <col min="6439" max="6440" width="11.7109375" style="171" bestFit="1" customWidth="1"/>
    <col min="6441" max="6441" width="9.28515625" style="171" bestFit="1" customWidth="1"/>
    <col min="6442" max="6442" width="11.7109375" style="171" bestFit="1" customWidth="1"/>
    <col min="6443" max="6443" width="13.140625" style="171" bestFit="1" customWidth="1"/>
    <col min="6444" max="6445" width="11.7109375" style="171" bestFit="1" customWidth="1"/>
    <col min="6446" max="6446" width="9.28515625" style="171" bestFit="1" customWidth="1"/>
    <col min="6447" max="6447" width="13.140625" style="171" bestFit="1" customWidth="1"/>
    <col min="6448" max="6448" width="9.28515625" style="171" bestFit="1" customWidth="1"/>
    <col min="6449" max="6450" width="13.140625" style="171" bestFit="1" customWidth="1"/>
    <col min="6451" max="6451" width="14.85546875" style="171" bestFit="1" customWidth="1"/>
    <col min="6452" max="6656" width="9.140625" style="171"/>
    <col min="6657" max="6657" width="9.28515625" style="171" customWidth="1"/>
    <col min="6658" max="6658" width="8.85546875" style="171" bestFit="1" customWidth="1"/>
    <col min="6659" max="6659" width="8.7109375" style="171" bestFit="1" customWidth="1"/>
    <col min="6660" max="6660" width="8.85546875" style="171" bestFit="1" customWidth="1"/>
    <col min="6661" max="6661" width="8" style="171" bestFit="1" customWidth="1"/>
    <col min="6662" max="6662" width="9" style="171" bestFit="1" customWidth="1"/>
    <col min="6663" max="6663" width="10.140625" style="171" customWidth="1"/>
    <col min="6664" max="6664" width="11" style="171" bestFit="1" customWidth="1"/>
    <col min="6665" max="6666" width="10.5703125" style="171" bestFit="1" customWidth="1"/>
    <col min="6667" max="6667" width="9.85546875" style="171" customWidth="1"/>
    <col min="6668" max="6668" width="11.5703125" style="171" customWidth="1"/>
    <col min="6669" max="6669" width="11.42578125" style="171" customWidth="1"/>
    <col min="6670" max="6670" width="10.140625" style="171" customWidth="1"/>
    <col min="6671" max="6671" width="10.28515625" style="171" bestFit="1" customWidth="1"/>
    <col min="6672" max="6672" width="12.140625" style="171" bestFit="1" customWidth="1"/>
    <col min="6673" max="6673" width="12" style="171" bestFit="1" customWidth="1"/>
    <col min="6674" max="6674" width="12.140625" style="171" customWidth="1"/>
    <col min="6675" max="6675" width="10.85546875" style="171" customWidth="1"/>
    <col min="6676" max="6676" width="8.85546875" style="171" bestFit="1" customWidth="1"/>
    <col min="6677" max="6677" width="9" style="171" bestFit="1" customWidth="1"/>
    <col min="6678" max="6678" width="8.5703125" style="171" bestFit="1" customWidth="1"/>
    <col min="6679" max="6679" width="7.85546875" style="171" bestFit="1" customWidth="1"/>
    <col min="6680" max="6680" width="10.28515625" style="171" bestFit="1" customWidth="1"/>
    <col min="6681" max="6681" width="11.85546875" style="171" bestFit="1" customWidth="1"/>
    <col min="6682" max="6682" width="11.7109375" style="171" bestFit="1" customWidth="1"/>
    <col min="6683" max="6683" width="13.140625" style="171" bestFit="1" customWidth="1"/>
    <col min="6684" max="6684" width="5.5703125" style="171" bestFit="1" customWidth="1"/>
    <col min="6685" max="6685" width="10" style="171" bestFit="1" customWidth="1"/>
    <col min="6686" max="6687" width="14" style="171" bestFit="1" customWidth="1"/>
    <col min="6688" max="6689" width="13.140625" style="171" bestFit="1" customWidth="1"/>
    <col min="6690" max="6690" width="14" style="171" bestFit="1" customWidth="1"/>
    <col min="6691" max="6694" width="9.28515625" style="171" bestFit="1" customWidth="1"/>
    <col min="6695" max="6696" width="11.7109375" style="171" bestFit="1" customWidth="1"/>
    <col min="6697" max="6697" width="9.28515625" style="171" bestFit="1" customWidth="1"/>
    <col min="6698" max="6698" width="11.7109375" style="171" bestFit="1" customWidth="1"/>
    <col min="6699" max="6699" width="13.140625" style="171" bestFit="1" customWidth="1"/>
    <col min="6700" max="6701" width="11.7109375" style="171" bestFit="1" customWidth="1"/>
    <col min="6702" max="6702" width="9.28515625" style="171" bestFit="1" customWidth="1"/>
    <col min="6703" max="6703" width="13.140625" style="171" bestFit="1" customWidth="1"/>
    <col min="6704" max="6704" width="9.28515625" style="171" bestFit="1" customWidth="1"/>
    <col min="6705" max="6706" width="13.140625" style="171" bestFit="1" customWidth="1"/>
    <col min="6707" max="6707" width="14.85546875" style="171" bestFit="1" customWidth="1"/>
    <col min="6708" max="6912" width="9.140625" style="171"/>
    <col min="6913" max="6913" width="9.28515625" style="171" customWidth="1"/>
    <col min="6914" max="6914" width="8.85546875" style="171" bestFit="1" customWidth="1"/>
    <col min="6915" max="6915" width="8.7109375" style="171" bestFit="1" customWidth="1"/>
    <col min="6916" max="6916" width="8.85546875" style="171" bestFit="1" customWidth="1"/>
    <col min="6917" max="6917" width="8" style="171" bestFit="1" customWidth="1"/>
    <col min="6918" max="6918" width="9" style="171" bestFit="1" customWidth="1"/>
    <col min="6919" max="6919" width="10.140625" style="171" customWidth="1"/>
    <col min="6920" max="6920" width="11" style="171" bestFit="1" customWidth="1"/>
    <col min="6921" max="6922" width="10.5703125" style="171" bestFit="1" customWidth="1"/>
    <col min="6923" max="6923" width="9.85546875" style="171" customWidth="1"/>
    <col min="6924" max="6924" width="11.5703125" style="171" customWidth="1"/>
    <col min="6925" max="6925" width="11.42578125" style="171" customWidth="1"/>
    <col min="6926" max="6926" width="10.140625" style="171" customWidth="1"/>
    <col min="6927" max="6927" width="10.28515625" style="171" bestFit="1" customWidth="1"/>
    <col min="6928" max="6928" width="12.140625" style="171" bestFit="1" customWidth="1"/>
    <col min="6929" max="6929" width="12" style="171" bestFit="1" customWidth="1"/>
    <col min="6930" max="6930" width="12.140625" style="171" customWidth="1"/>
    <col min="6931" max="6931" width="10.85546875" style="171" customWidth="1"/>
    <col min="6932" max="6932" width="8.85546875" style="171" bestFit="1" customWidth="1"/>
    <col min="6933" max="6933" width="9" style="171" bestFit="1" customWidth="1"/>
    <col min="6934" max="6934" width="8.5703125" style="171" bestFit="1" customWidth="1"/>
    <col min="6935" max="6935" width="7.85546875" style="171" bestFit="1" customWidth="1"/>
    <col min="6936" max="6936" width="10.28515625" style="171" bestFit="1" customWidth="1"/>
    <col min="6937" max="6937" width="11.85546875" style="171" bestFit="1" customWidth="1"/>
    <col min="6938" max="6938" width="11.7109375" style="171" bestFit="1" customWidth="1"/>
    <col min="6939" max="6939" width="13.140625" style="171" bestFit="1" customWidth="1"/>
    <col min="6940" max="6940" width="5.5703125" style="171" bestFit="1" customWidth="1"/>
    <col min="6941" max="6941" width="10" style="171" bestFit="1" customWidth="1"/>
    <col min="6942" max="6943" width="14" style="171" bestFit="1" customWidth="1"/>
    <col min="6944" max="6945" width="13.140625" style="171" bestFit="1" customWidth="1"/>
    <col min="6946" max="6946" width="14" style="171" bestFit="1" customWidth="1"/>
    <col min="6947" max="6950" width="9.28515625" style="171" bestFit="1" customWidth="1"/>
    <col min="6951" max="6952" width="11.7109375" style="171" bestFit="1" customWidth="1"/>
    <col min="6953" max="6953" width="9.28515625" style="171" bestFit="1" customWidth="1"/>
    <col min="6954" max="6954" width="11.7109375" style="171" bestFit="1" customWidth="1"/>
    <col min="6955" max="6955" width="13.140625" style="171" bestFit="1" customWidth="1"/>
    <col min="6956" max="6957" width="11.7109375" style="171" bestFit="1" customWidth="1"/>
    <col min="6958" max="6958" width="9.28515625" style="171" bestFit="1" customWidth="1"/>
    <col min="6959" max="6959" width="13.140625" style="171" bestFit="1" customWidth="1"/>
    <col min="6960" max="6960" width="9.28515625" style="171" bestFit="1" customWidth="1"/>
    <col min="6961" max="6962" width="13.140625" style="171" bestFit="1" customWidth="1"/>
    <col min="6963" max="6963" width="14.85546875" style="171" bestFit="1" customWidth="1"/>
    <col min="6964" max="7168" width="9.140625" style="171"/>
    <col min="7169" max="7169" width="9.28515625" style="171" customWidth="1"/>
    <col min="7170" max="7170" width="8.85546875" style="171" bestFit="1" customWidth="1"/>
    <col min="7171" max="7171" width="8.7109375" style="171" bestFit="1" customWidth="1"/>
    <col min="7172" max="7172" width="8.85546875" style="171" bestFit="1" customWidth="1"/>
    <col min="7173" max="7173" width="8" style="171" bestFit="1" customWidth="1"/>
    <col min="7174" max="7174" width="9" style="171" bestFit="1" customWidth="1"/>
    <col min="7175" max="7175" width="10.140625" style="171" customWidth="1"/>
    <col min="7176" max="7176" width="11" style="171" bestFit="1" customWidth="1"/>
    <col min="7177" max="7178" width="10.5703125" style="171" bestFit="1" customWidth="1"/>
    <col min="7179" max="7179" width="9.85546875" style="171" customWidth="1"/>
    <col min="7180" max="7180" width="11.5703125" style="171" customWidth="1"/>
    <col min="7181" max="7181" width="11.42578125" style="171" customWidth="1"/>
    <col min="7182" max="7182" width="10.140625" style="171" customWidth="1"/>
    <col min="7183" max="7183" width="10.28515625" style="171" bestFit="1" customWidth="1"/>
    <col min="7184" max="7184" width="12.140625" style="171" bestFit="1" customWidth="1"/>
    <col min="7185" max="7185" width="12" style="171" bestFit="1" customWidth="1"/>
    <col min="7186" max="7186" width="12.140625" style="171" customWidth="1"/>
    <col min="7187" max="7187" width="10.85546875" style="171" customWidth="1"/>
    <col min="7188" max="7188" width="8.85546875" style="171" bestFit="1" customWidth="1"/>
    <col min="7189" max="7189" width="9" style="171" bestFit="1" customWidth="1"/>
    <col min="7190" max="7190" width="8.5703125" style="171" bestFit="1" customWidth="1"/>
    <col min="7191" max="7191" width="7.85546875" style="171" bestFit="1" customWidth="1"/>
    <col min="7192" max="7192" width="10.28515625" style="171" bestFit="1" customWidth="1"/>
    <col min="7193" max="7193" width="11.85546875" style="171" bestFit="1" customWidth="1"/>
    <col min="7194" max="7194" width="11.7109375" style="171" bestFit="1" customWidth="1"/>
    <col min="7195" max="7195" width="13.140625" style="171" bestFit="1" customWidth="1"/>
    <col min="7196" max="7196" width="5.5703125" style="171" bestFit="1" customWidth="1"/>
    <col min="7197" max="7197" width="10" style="171" bestFit="1" customWidth="1"/>
    <col min="7198" max="7199" width="14" style="171" bestFit="1" customWidth="1"/>
    <col min="7200" max="7201" width="13.140625" style="171" bestFit="1" customWidth="1"/>
    <col min="7202" max="7202" width="14" style="171" bestFit="1" customWidth="1"/>
    <col min="7203" max="7206" width="9.28515625" style="171" bestFit="1" customWidth="1"/>
    <col min="7207" max="7208" width="11.7109375" style="171" bestFit="1" customWidth="1"/>
    <col min="7209" max="7209" width="9.28515625" style="171" bestFit="1" customWidth="1"/>
    <col min="7210" max="7210" width="11.7109375" style="171" bestFit="1" customWidth="1"/>
    <col min="7211" max="7211" width="13.140625" style="171" bestFit="1" customWidth="1"/>
    <col min="7212" max="7213" width="11.7109375" style="171" bestFit="1" customWidth="1"/>
    <col min="7214" max="7214" width="9.28515625" style="171" bestFit="1" customWidth="1"/>
    <col min="7215" max="7215" width="13.140625" style="171" bestFit="1" customWidth="1"/>
    <col min="7216" max="7216" width="9.28515625" style="171" bestFit="1" customWidth="1"/>
    <col min="7217" max="7218" width="13.140625" style="171" bestFit="1" customWidth="1"/>
    <col min="7219" max="7219" width="14.85546875" style="171" bestFit="1" customWidth="1"/>
    <col min="7220" max="7424" width="9.140625" style="171"/>
    <col min="7425" max="7425" width="9.28515625" style="171" customWidth="1"/>
    <col min="7426" max="7426" width="8.85546875" style="171" bestFit="1" customWidth="1"/>
    <col min="7427" max="7427" width="8.7109375" style="171" bestFit="1" customWidth="1"/>
    <col min="7428" max="7428" width="8.85546875" style="171" bestFit="1" customWidth="1"/>
    <col min="7429" max="7429" width="8" style="171" bestFit="1" customWidth="1"/>
    <col min="7430" max="7430" width="9" style="171" bestFit="1" customWidth="1"/>
    <col min="7431" max="7431" width="10.140625" style="171" customWidth="1"/>
    <col min="7432" max="7432" width="11" style="171" bestFit="1" customWidth="1"/>
    <col min="7433" max="7434" width="10.5703125" style="171" bestFit="1" customWidth="1"/>
    <col min="7435" max="7435" width="9.85546875" style="171" customWidth="1"/>
    <col min="7436" max="7436" width="11.5703125" style="171" customWidth="1"/>
    <col min="7437" max="7437" width="11.42578125" style="171" customWidth="1"/>
    <col min="7438" max="7438" width="10.140625" style="171" customWidth="1"/>
    <col min="7439" max="7439" width="10.28515625" style="171" bestFit="1" customWidth="1"/>
    <col min="7440" max="7440" width="12.140625" style="171" bestFit="1" customWidth="1"/>
    <col min="7441" max="7441" width="12" style="171" bestFit="1" customWidth="1"/>
    <col min="7442" max="7442" width="12.140625" style="171" customWidth="1"/>
    <col min="7443" max="7443" width="10.85546875" style="171" customWidth="1"/>
    <col min="7444" max="7444" width="8.85546875" style="171" bestFit="1" customWidth="1"/>
    <col min="7445" max="7445" width="9" style="171" bestFit="1" customWidth="1"/>
    <col min="7446" max="7446" width="8.5703125" style="171" bestFit="1" customWidth="1"/>
    <col min="7447" max="7447" width="7.85546875" style="171" bestFit="1" customWidth="1"/>
    <col min="7448" max="7448" width="10.28515625" style="171" bestFit="1" customWidth="1"/>
    <col min="7449" max="7449" width="11.85546875" style="171" bestFit="1" customWidth="1"/>
    <col min="7450" max="7450" width="11.7109375" style="171" bestFit="1" customWidth="1"/>
    <col min="7451" max="7451" width="13.140625" style="171" bestFit="1" customWidth="1"/>
    <col min="7452" max="7452" width="5.5703125" style="171" bestFit="1" customWidth="1"/>
    <col min="7453" max="7453" width="10" style="171" bestFit="1" customWidth="1"/>
    <col min="7454" max="7455" width="14" style="171" bestFit="1" customWidth="1"/>
    <col min="7456" max="7457" width="13.140625" style="171" bestFit="1" customWidth="1"/>
    <col min="7458" max="7458" width="14" style="171" bestFit="1" customWidth="1"/>
    <col min="7459" max="7462" width="9.28515625" style="171" bestFit="1" customWidth="1"/>
    <col min="7463" max="7464" width="11.7109375" style="171" bestFit="1" customWidth="1"/>
    <col min="7465" max="7465" width="9.28515625" style="171" bestFit="1" customWidth="1"/>
    <col min="7466" max="7466" width="11.7109375" style="171" bestFit="1" customWidth="1"/>
    <col min="7467" max="7467" width="13.140625" style="171" bestFit="1" customWidth="1"/>
    <col min="7468" max="7469" width="11.7109375" style="171" bestFit="1" customWidth="1"/>
    <col min="7470" max="7470" width="9.28515625" style="171" bestFit="1" customWidth="1"/>
    <col min="7471" max="7471" width="13.140625" style="171" bestFit="1" customWidth="1"/>
    <col min="7472" max="7472" width="9.28515625" style="171" bestFit="1" customWidth="1"/>
    <col min="7473" max="7474" width="13.140625" style="171" bestFit="1" customWidth="1"/>
    <col min="7475" max="7475" width="14.85546875" style="171" bestFit="1" customWidth="1"/>
    <col min="7476" max="7680" width="9.140625" style="171"/>
    <col min="7681" max="7681" width="9.28515625" style="171" customWidth="1"/>
    <col min="7682" max="7682" width="8.85546875" style="171" bestFit="1" customWidth="1"/>
    <col min="7683" max="7683" width="8.7109375" style="171" bestFit="1" customWidth="1"/>
    <col min="7684" max="7684" width="8.85546875" style="171" bestFit="1" customWidth="1"/>
    <col min="7685" max="7685" width="8" style="171" bestFit="1" customWidth="1"/>
    <col min="7686" max="7686" width="9" style="171" bestFit="1" customWidth="1"/>
    <col min="7687" max="7687" width="10.140625" style="171" customWidth="1"/>
    <col min="7688" max="7688" width="11" style="171" bestFit="1" customWidth="1"/>
    <col min="7689" max="7690" width="10.5703125" style="171" bestFit="1" customWidth="1"/>
    <col min="7691" max="7691" width="9.85546875" style="171" customWidth="1"/>
    <col min="7692" max="7692" width="11.5703125" style="171" customWidth="1"/>
    <col min="7693" max="7693" width="11.42578125" style="171" customWidth="1"/>
    <col min="7694" max="7694" width="10.140625" style="171" customWidth="1"/>
    <col min="7695" max="7695" width="10.28515625" style="171" bestFit="1" customWidth="1"/>
    <col min="7696" max="7696" width="12.140625" style="171" bestFit="1" customWidth="1"/>
    <col min="7697" max="7697" width="12" style="171" bestFit="1" customWidth="1"/>
    <col min="7698" max="7698" width="12.140625" style="171" customWidth="1"/>
    <col min="7699" max="7699" width="10.85546875" style="171" customWidth="1"/>
    <col min="7700" max="7700" width="8.85546875" style="171" bestFit="1" customWidth="1"/>
    <col min="7701" max="7701" width="9" style="171" bestFit="1" customWidth="1"/>
    <col min="7702" max="7702" width="8.5703125" style="171" bestFit="1" customWidth="1"/>
    <col min="7703" max="7703" width="7.85546875" style="171" bestFit="1" customWidth="1"/>
    <col min="7704" max="7704" width="10.28515625" style="171" bestFit="1" customWidth="1"/>
    <col min="7705" max="7705" width="11.85546875" style="171" bestFit="1" customWidth="1"/>
    <col min="7706" max="7706" width="11.7109375" style="171" bestFit="1" customWidth="1"/>
    <col min="7707" max="7707" width="13.140625" style="171" bestFit="1" customWidth="1"/>
    <col min="7708" max="7708" width="5.5703125" style="171" bestFit="1" customWidth="1"/>
    <col min="7709" max="7709" width="10" style="171" bestFit="1" customWidth="1"/>
    <col min="7710" max="7711" width="14" style="171" bestFit="1" customWidth="1"/>
    <col min="7712" max="7713" width="13.140625" style="171" bestFit="1" customWidth="1"/>
    <col min="7714" max="7714" width="14" style="171" bestFit="1" customWidth="1"/>
    <col min="7715" max="7718" width="9.28515625" style="171" bestFit="1" customWidth="1"/>
    <col min="7719" max="7720" width="11.7109375" style="171" bestFit="1" customWidth="1"/>
    <col min="7721" max="7721" width="9.28515625" style="171" bestFit="1" customWidth="1"/>
    <col min="7722" max="7722" width="11.7109375" style="171" bestFit="1" customWidth="1"/>
    <col min="7723" max="7723" width="13.140625" style="171" bestFit="1" customWidth="1"/>
    <col min="7724" max="7725" width="11.7109375" style="171" bestFit="1" customWidth="1"/>
    <col min="7726" max="7726" width="9.28515625" style="171" bestFit="1" customWidth="1"/>
    <col min="7727" max="7727" width="13.140625" style="171" bestFit="1" customWidth="1"/>
    <col min="7728" max="7728" width="9.28515625" style="171" bestFit="1" customWidth="1"/>
    <col min="7729" max="7730" width="13.140625" style="171" bestFit="1" customWidth="1"/>
    <col min="7731" max="7731" width="14.85546875" style="171" bestFit="1" customWidth="1"/>
    <col min="7732" max="7936" width="9.140625" style="171"/>
    <col min="7937" max="7937" width="9.28515625" style="171" customWidth="1"/>
    <col min="7938" max="7938" width="8.85546875" style="171" bestFit="1" customWidth="1"/>
    <col min="7939" max="7939" width="8.7109375" style="171" bestFit="1" customWidth="1"/>
    <col min="7940" max="7940" width="8.85546875" style="171" bestFit="1" customWidth="1"/>
    <col min="7941" max="7941" width="8" style="171" bestFit="1" customWidth="1"/>
    <col min="7942" max="7942" width="9" style="171" bestFit="1" customWidth="1"/>
    <col min="7943" max="7943" width="10.140625" style="171" customWidth="1"/>
    <col min="7944" max="7944" width="11" style="171" bestFit="1" customWidth="1"/>
    <col min="7945" max="7946" width="10.5703125" style="171" bestFit="1" customWidth="1"/>
    <col min="7947" max="7947" width="9.85546875" style="171" customWidth="1"/>
    <col min="7948" max="7948" width="11.5703125" style="171" customWidth="1"/>
    <col min="7949" max="7949" width="11.42578125" style="171" customWidth="1"/>
    <col min="7950" max="7950" width="10.140625" style="171" customWidth="1"/>
    <col min="7951" max="7951" width="10.28515625" style="171" bestFit="1" customWidth="1"/>
    <col min="7952" max="7952" width="12.140625" style="171" bestFit="1" customWidth="1"/>
    <col min="7953" max="7953" width="12" style="171" bestFit="1" customWidth="1"/>
    <col min="7954" max="7954" width="12.140625" style="171" customWidth="1"/>
    <col min="7955" max="7955" width="10.85546875" style="171" customWidth="1"/>
    <col min="7956" max="7956" width="8.85546875" style="171" bestFit="1" customWidth="1"/>
    <col min="7957" max="7957" width="9" style="171" bestFit="1" customWidth="1"/>
    <col min="7958" max="7958" width="8.5703125" style="171" bestFit="1" customWidth="1"/>
    <col min="7959" max="7959" width="7.85546875" style="171" bestFit="1" customWidth="1"/>
    <col min="7960" max="7960" width="10.28515625" style="171" bestFit="1" customWidth="1"/>
    <col min="7961" max="7961" width="11.85546875" style="171" bestFit="1" customWidth="1"/>
    <col min="7962" max="7962" width="11.7109375" style="171" bestFit="1" customWidth="1"/>
    <col min="7963" max="7963" width="13.140625" style="171" bestFit="1" customWidth="1"/>
    <col min="7964" max="7964" width="5.5703125" style="171" bestFit="1" customWidth="1"/>
    <col min="7965" max="7965" width="10" style="171" bestFit="1" customWidth="1"/>
    <col min="7966" max="7967" width="14" style="171" bestFit="1" customWidth="1"/>
    <col min="7968" max="7969" width="13.140625" style="171" bestFit="1" customWidth="1"/>
    <col min="7970" max="7970" width="14" style="171" bestFit="1" customWidth="1"/>
    <col min="7971" max="7974" width="9.28515625" style="171" bestFit="1" customWidth="1"/>
    <col min="7975" max="7976" width="11.7109375" style="171" bestFit="1" customWidth="1"/>
    <col min="7977" max="7977" width="9.28515625" style="171" bestFit="1" customWidth="1"/>
    <col min="7978" max="7978" width="11.7109375" style="171" bestFit="1" customWidth="1"/>
    <col min="7979" max="7979" width="13.140625" style="171" bestFit="1" customWidth="1"/>
    <col min="7980" max="7981" width="11.7109375" style="171" bestFit="1" customWidth="1"/>
    <col min="7982" max="7982" width="9.28515625" style="171" bestFit="1" customWidth="1"/>
    <col min="7983" max="7983" width="13.140625" style="171" bestFit="1" customWidth="1"/>
    <col min="7984" max="7984" width="9.28515625" style="171" bestFit="1" customWidth="1"/>
    <col min="7985" max="7986" width="13.140625" style="171" bestFit="1" customWidth="1"/>
    <col min="7987" max="7987" width="14.85546875" style="171" bestFit="1" customWidth="1"/>
    <col min="7988" max="8192" width="9.140625" style="171"/>
    <col min="8193" max="8193" width="9.28515625" style="171" customWidth="1"/>
    <col min="8194" max="8194" width="8.85546875" style="171" bestFit="1" customWidth="1"/>
    <col min="8195" max="8195" width="8.7109375" style="171" bestFit="1" customWidth="1"/>
    <col min="8196" max="8196" width="8.85546875" style="171" bestFit="1" customWidth="1"/>
    <col min="8197" max="8197" width="8" style="171" bestFit="1" customWidth="1"/>
    <col min="8198" max="8198" width="9" style="171" bestFit="1" customWidth="1"/>
    <col min="8199" max="8199" width="10.140625" style="171" customWidth="1"/>
    <col min="8200" max="8200" width="11" style="171" bestFit="1" customWidth="1"/>
    <col min="8201" max="8202" width="10.5703125" style="171" bestFit="1" customWidth="1"/>
    <col min="8203" max="8203" width="9.85546875" style="171" customWidth="1"/>
    <col min="8204" max="8204" width="11.5703125" style="171" customWidth="1"/>
    <col min="8205" max="8205" width="11.42578125" style="171" customWidth="1"/>
    <col min="8206" max="8206" width="10.140625" style="171" customWidth="1"/>
    <col min="8207" max="8207" width="10.28515625" style="171" bestFit="1" customWidth="1"/>
    <col min="8208" max="8208" width="12.140625" style="171" bestFit="1" customWidth="1"/>
    <col min="8209" max="8209" width="12" style="171" bestFit="1" customWidth="1"/>
    <col min="8210" max="8210" width="12.140625" style="171" customWidth="1"/>
    <col min="8211" max="8211" width="10.85546875" style="171" customWidth="1"/>
    <col min="8212" max="8212" width="8.85546875" style="171" bestFit="1" customWidth="1"/>
    <col min="8213" max="8213" width="9" style="171" bestFit="1" customWidth="1"/>
    <col min="8214" max="8214" width="8.5703125" style="171" bestFit="1" customWidth="1"/>
    <col min="8215" max="8215" width="7.85546875" style="171" bestFit="1" customWidth="1"/>
    <col min="8216" max="8216" width="10.28515625" style="171" bestFit="1" customWidth="1"/>
    <col min="8217" max="8217" width="11.85546875" style="171" bestFit="1" customWidth="1"/>
    <col min="8218" max="8218" width="11.7109375" style="171" bestFit="1" customWidth="1"/>
    <col min="8219" max="8219" width="13.140625" style="171" bestFit="1" customWidth="1"/>
    <col min="8220" max="8220" width="5.5703125" style="171" bestFit="1" customWidth="1"/>
    <col min="8221" max="8221" width="10" style="171" bestFit="1" customWidth="1"/>
    <col min="8222" max="8223" width="14" style="171" bestFit="1" customWidth="1"/>
    <col min="8224" max="8225" width="13.140625" style="171" bestFit="1" customWidth="1"/>
    <col min="8226" max="8226" width="14" style="171" bestFit="1" customWidth="1"/>
    <col min="8227" max="8230" width="9.28515625" style="171" bestFit="1" customWidth="1"/>
    <col min="8231" max="8232" width="11.7109375" style="171" bestFit="1" customWidth="1"/>
    <col min="8233" max="8233" width="9.28515625" style="171" bestFit="1" customWidth="1"/>
    <col min="8234" max="8234" width="11.7109375" style="171" bestFit="1" customWidth="1"/>
    <col min="8235" max="8235" width="13.140625" style="171" bestFit="1" customWidth="1"/>
    <col min="8236" max="8237" width="11.7109375" style="171" bestFit="1" customWidth="1"/>
    <col min="8238" max="8238" width="9.28515625" style="171" bestFit="1" customWidth="1"/>
    <col min="8239" max="8239" width="13.140625" style="171" bestFit="1" customWidth="1"/>
    <col min="8240" max="8240" width="9.28515625" style="171" bestFit="1" customWidth="1"/>
    <col min="8241" max="8242" width="13.140625" style="171" bestFit="1" customWidth="1"/>
    <col min="8243" max="8243" width="14.85546875" style="171" bestFit="1" customWidth="1"/>
    <col min="8244" max="8448" width="9.140625" style="171"/>
    <col min="8449" max="8449" width="9.28515625" style="171" customWidth="1"/>
    <col min="8450" max="8450" width="8.85546875" style="171" bestFit="1" customWidth="1"/>
    <col min="8451" max="8451" width="8.7109375" style="171" bestFit="1" customWidth="1"/>
    <col min="8452" max="8452" width="8.85546875" style="171" bestFit="1" customWidth="1"/>
    <col min="8453" max="8453" width="8" style="171" bestFit="1" customWidth="1"/>
    <col min="8454" max="8454" width="9" style="171" bestFit="1" customWidth="1"/>
    <col min="8455" max="8455" width="10.140625" style="171" customWidth="1"/>
    <col min="8456" max="8456" width="11" style="171" bestFit="1" customWidth="1"/>
    <col min="8457" max="8458" width="10.5703125" style="171" bestFit="1" customWidth="1"/>
    <col min="8459" max="8459" width="9.85546875" style="171" customWidth="1"/>
    <col min="8460" max="8460" width="11.5703125" style="171" customWidth="1"/>
    <col min="8461" max="8461" width="11.42578125" style="171" customWidth="1"/>
    <col min="8462" max="8462" width="10.140625" style="171" customWidth="1"/>
    <col min="8463" max="8463" width="10.28515625" style="171" bestFit="1" customWidth="1"/>
    <col min="8464" max="8464" width="12.140625" style="171" bestFit="1" customWidth="1"/>
    <col min="8465" max="8465" width="12" style="171" bestFit="1" customWidth="1"/>
    <col min="8466" max="8466" width="12.140625" style="171" customWidth="1"/>
    <col min="8467" max="8467" width="10.85546875" style="171" customWidth="1"/>
    <col min="8468" max="8468" width="8.85546875" style="171" bestFit="1" customWidth="1"/>
    <col min="8469" max="8469" width="9" style="171" bestFit="1" customWidth="1"/>
    <col min="8470" max="8470" width="8.5703125" style="171" bestFit="1" customWidth="1"/>
    <col min="8471" max="8471" width="7.85546875" style="171" bestFit="1" customWidth="1"/>
    <col min="8472" max="8472" width="10.28515625" style="171" bestFit="1" customWidth="1"/>
    <col min="8473" max="8473" width="11.85546875" style="171" bestFit="1" customWidth="1"/>
    <col min="8474" max="8474" width="11.7109375" style="171" bestFit="1" customWidth="1"/>
    <col min="8475" max="8475" width="13.140625" style="171" bestFit="1" customWidth="1"/>
    <col min="8476" max="8476" width="5.5703125" style="171" bestFit="1" customWidth="1"/>
    <col min="8477" max="8477" width="10" style="171" bestFit="1" customWidth="1"/>
    <col min="8478" max="8479" width="14" style="171" bestFit="1" customWidth="1"/>
    <col min="8480" max="8481" width="13.140625" style="171" bestFit="1" customWidth="1"/>
    <col min="8482" max="8482" width="14" style="171" bestFit="1" customWidth="1"/>
    <col min="8483" max="8486" width="9.28515625" style="171" bestFit="1" customWidth="1"/>
    <col min="8487" max="8488" width="11.7109375" style="171" bestFit="1" customWidth="1"/>
    <col min="8489" max="8489" width="9.28515625" style="171" bestFit="1" customWidth="1"/>
    <col min="8490" max="8490" width="11.7109375" style="171" bestFit="1" customWidth="1"/>
    <col min="8491" max="8491" width="13.140625" style="171" bestFit="1" customWidth="1"/>
    <col min="8492" max="8493" width="11.7109375" style="171" bestFit="1" customWidth="1"/>
    <col min="8494" max="8494" width="9.28515625" style="171" bestFit="1" customWidth="1"/>
    <col min="8495" max="8495" width="13.140625" style="171" bestFit="1" customWidth="1"/>
    <col min="8496" max="8496" width="9.28515625" style="171" bestFit="1" customWidth="1"/>
    <col min="8497" max="8498" width="13.140625" style="171" bestFit="1" customWidth="1"/>
    <col min="8499" max="8499" width="14.85546875" style="171" bestFit="1" customWidth="1"/>
    <col min="8500" max="8704" width="9.140625" style="171"/>
    <col min="8705" max="8705" width="9.28515625" style="171" customWidth="1"/>
    <col min="8706" max="8706" width="8.85546875" style="171" bestFit="1" customWidth="1"/>
    <col min="8707" max="8707" width="8.7109375" style="171" bestFit="1" customWidth="1"/>
    <col min="8708" max="8708" width="8.85546875" style="171" bestFit="1" customWidth="1"/>
    <col min="8709" max="8709" width="8" style="171" bestFit="1" customWidth="1"/>
    <col min="8710" max="8710" width="9" style="171" bestFit="1" customWidth="1"/>
    <col min="8711" max="8711" width="10.140625" style="171" customWidth="1"/>
    <col min="8712" max="8712" width="11" style="171" bestFit="1" customWidth="1"/>
    <col min="8713" max="8714" width="10.5703125" style="171" bestFit="1" customWidth="1"/>
    <col min="8715" max="8715" width="9.85546875" style="171" customWidth="1"/>
    <col min="8716" max="8716" width="11.5703125" style="171" customWidth="1"/>
    <col min="8717" max="8717" width="11.42578125" style="171" customWidth="1"/>
    <col min="8718" max="8718" width="10.140625" style="171" customWidth="1"/>
    <col min="8719" max="8719" width="10.28515625" style="171" bestFit="1" customWidth="1"/>
    <col min="8720" max="8720" width="12.140625" style="171" bestFit="1" customWidth="1"/>
    <col min="8721" max="8721" width="12" style="171" bestFit="1" customWidth="1"/>
    <col min="8722" max="8722" width="12.140625" style="171" customWidth="1"/>
    <col min="8723" max="8723" width="10.85546875" style="171" customWidth="1"/>
    <col min="8724" max="8724" width="8.85546875" style="171" bestFit="1" customWidth="1"/>
    <col min="8725" max="8725" width="9" style="171" bestFit="1" customWidth="1"/>
    <col min="8726" max="8726" width="8.5703125" style="171" bestFit="1" customWidth="1"/>
    <col min="8727" max="8727" width="7.85546875" style="171" bestFit="1" customWidth="1"/>
    <col min="8728" max="8728" width="10.28515625" style="171" bestFit="1" customWidth="1"/>
    <col min="8729" max="8729" width="11.85546875" style="171" bestFit="1" customWidth="1"/>
    <col min="8730" max="8730" width="11.7109375" style="171" bestFit="1" customWidth="1"/>
    <col min="8731" max="8731" width="13.140625" style="171" bestFit="1" customWidth="1"/>
    <col min="8732" max="8732" width="5.5703125" style="171" bestFit="1" customWidth="1"/>
    <col min="8733" max="8733" width="10" style="171" bestFit="1" customWidth="1"/>
    <col min="8734" max="8735" width="14" style="171" bestFit="1" customWidth="1"/>
    <col min="8736" max="8737" width="13.140625" style="171" bestFit="1" customWidth="1"/>
    <col min="8738" max="8738" width="14" style="171" bestFit="1" customWidth="1"/>
    <col min="8739" max="8742" width="9.28515625" style="171" bestFit="1" customWidth="1"/>
    <col min="8743" max="8744" width="11.7109375" style="171" bestFit="1" customWidth="1"/>
    <col min="8745" max="8745" width="9.28515625" style="171" bestFit="1" customWidth="1"/>
    <col min="8746" max="8746" width="11.7109375" style="171" bestFit="1" customWidth="1"/>
    <col min="8747" max="8747" width="13.140625" style="171" bestFit="1" customWidth="1"/>
    <col min="8748" max="8749" width="11.7109375" style="171" bestFit="1" customWidth="1"/>
    <col min="8750" max="8750" width="9.28515625" style="171" bestFit="1" customWidth="1"/>
    <col min="8751" max="8751" width="13.140625" style="171" bestFit="1" customWidth="1"/>
    <col min="8752" max="8752" width="9.28515625" style="171" bestFit="1" customWidth="1"/>
    <col min="8753" max="8754" width="13.140625" style="171" bestFit="1" customWidth="1"/>
    <col min="8755" max="8755" width="14.85546875" style="171" bestFit="1" customWidth="1"/>
    <col min="8756" max="8960" width="9.140625" style="171"/>
    <col min="8961" max="8961" width="9.28515625" style="171" customWidth="1"/>
    <col min="8962" max="8962" width="8.85546875" style="171" bestFit="1" customWidth="1"/>
    <col min="8963" max="8963" width="8.7109375" style="171" bestFit="1" customWidth="1"/>
    <col min="8964" max="8964" width="8.85546875" style="171" bestFit="1" customWidth="1"/>
    <col min="8965" max="8965" width="8" style="171" bestFit="1" customWidth="1"/>
    <col min="8966" max="8966" width="9" style="171" bestFit="1" customWidth="1"/>
    <col min="8967" max="8967" width="10.140625" style="171" customWidth="1"/>
    <col min="8968" max="8968" width="11" style="171" bestFit="1" customWidth="1"/>
    <col min="8969" max="8970" width="10.5703125" style="171" bestFit="1" customWidth="1"/>
    <col min="8971" max="8971" width="9.85546875" style="171" customWidth="1"/>
    <col min="8972" max="8972" width="11.5703125" style="171" customWidth="1"/>
    <col min="8973" max="8973" width="11.42578125" style="171" customWidth="1"/>
    <col min="8974" max="8974" width="10.140625" style="171" customWidth="1"/>
    <col min="8975" max="8975" width="10.28515625" style="171" bestFit="1" customWidth="1"/>
    <col min="8976" max="8976" width="12.140625" style="171" bestFit="1" customWidth="1"/>
    <col min="8977" max="8977" width="12" style="171" bestFit="1" customWidth="1"/>
    <col min="8978" max="8978" width="12.140625" style="171" customWidth="1"/>
    <col min="8979" max="8979" width="10.85546875" style="171" customWidth="1"/>
    <col min="8980" max="8980" width="8.85546875" style="171" bestFit="1" customWidth="1"/>
    <col min="8981" max="8981" width="9" style="171" bestFit="1" customWidth="1"/>
    <col min="8982" max="8982" width="8.5703125" style="171" bestFit="1" customWidth="1"/>
    <col min="8983" max="8983" width="7.85546875" style="171" bestFit="1" customWidth="1"/>
    <col min="8984" max="8984" width="10.28515625" style="171" bestFit="1" customWidth="1"/>
    <col min="8985" max="8985" width="11.85546875" style="171" bestFit="1" customWidth="1"/>
    <col min="8986" max="8986" width="11.7109375" style="171" bestFit="1" customWidth="1"/>
    <col min="8987" max="8987" width="13.140625" style="171" bestFit="1" customWidth="1"/>
    <col min="8988" max="8988" width="5.5703125" style="171" bestFit="1" customWidth="1"/>
    <col min="8989" max="8989" width="10" style="171" bestFit="1" customWidth="1"/>
    <col min="8990" max="8991" width="14" style="171" bestFit="1" customWidth="1"/>
    <col min="8992" max="8993" width="13.140625" style="171" bestFit="1" customWidth="1"/>
    <col min="8994" max="8994" width="14" style="171" bestFit="1" customWidth="1"/>
    <col min="8995" max="8998" width="9.28515625" style="171" bestFit="1" customWidth="1"/>
    <col min="8999" max="9000" width="11.7109375" style="171" bestFit="1" customWidth="1"/>
    <col min="9001" max="9001" width="9.28515625" style="171" bestFit="1" customWidth="1"/>
    <col min="9002" max="9002" width="11.7109375" style="171" bestFit="1" customWidth="1"/>
    <col min="9003" max="9003" width="13.140625" style="171" bestFit="1" customWidth="1"/>
    <col min="9004" max="9005" width="11.7109375" style="171" bestFit="1" customWidth="1"/>
    <col min="9006" max="9006" width="9.28515625" style="171" bestFit="1" customWidth="1"/>
    <col min="9007" max="9007" width="13.140625" style="171" bestFit="1" customWidth="1"/>
    <col min="9008" max="9008" width="9.28515625" style="171" bestFit="1" customWidth="1"/>
    <col min="9009" max="9010" width="13.140625" style="171" bestFit="1" customWidth="1"/>
    <col min="9011" max="9011" width="14.85546875" style="171" bestFit="1" customWidth="1"/>
    <col min="9012" max="9216" width="9.140625" style="171"/>
    <col min="9217" max="9217" width="9.28515625" style="171" customWidth="1"/>
    <col min="9218" max="9218" width="8.85546875" style="171" bestFit="1" customWidth="1"/>
    <col min="9219" max="9219" width="8.7109375" style="171" bestFit="1" customWidth="1"/>
    <col min="9220" max="9220" width="8.85546875" style="171" bestFit="1" customWidth="1"/>
    <col min="9221" max="9221" width="8" style="171" bestFit="1" customWidth="1"/>
    <col min="9222" max="9222" width="9" style="171" bestFit="1" customWidth="1"/>
    <col min="9223" max="9223" width="10.140625" style="171" customWidth="1"/>
    <col min="9224" max="9224" width="11" style="171" bestFit="1" customWidth="1"/>
    <col min="9225" max="9226" width="10.5703125" style="171" bestFit="1" customWidth="1"/>
    <col min="9227" max="9227" width="9.85546875" style="171" customWidth="1"/>
    <col min="9228" max="9228" width="11.5703125" style="171" customWidth="1"/>
    <col min="9229" max="9229" width="11.42578125" style="171" customWidth="1"/>
    <col min="9230" max="9230" width="10.140625" style="171" customWidth="1"/>
    <col min="9231" max="9231" width="10.28515625" style="171" bestFit="1" customWidth="1"/>
    <col min="9232" max="9232" width="12.140625" style="171" bestFit="1" customWidth="1"/>
    <col min="9233" max="9233" width="12" style="171" bestFit="1" customWidth="1"/>
    <col min="9234" max="9234" width="12.140625" style="171" customWidth="1"/>
    <col min="9235" max="9235" width="10.85546875" style="171" customWidth="1"/>
    <col min="9236" max="9236" width="8.85546875" style="171" bestFit="1" customWidth="1"/>
    <col min="9237" max="9237" width="9" style="171" bestFit="1" customWidth="1"/>
    <col min="9238" max="9238" width="8.5703125" style="171" bestFit="1" customWidth="1"/>
    <col min="9239" max="9239" width="7.85546875" style="171" bestFit="1" customWidth="1"/>
    <col min="9240" max="9240" width="10.28515625" style="171" bestFit="1" customWidth="1"/>
    <col min="9241" max="9241" width="11.85546875" style="171" bestFit="1" customWidth="1"/>
    <col min="9242" max="9242" width="11.7109375" style="171" bestFit="1" customWidth="1"/>
    <col min="9243" max="9243" width="13.140625" style="171" bestFit="1" customWidth="1"/>
    <col min="9244" max="9244" width="5.5703125" style="171" bestFit="1" customWidth="1"/>
    <col min="9245" max="9245" width="10" style="171" bestFit="1" customWidth="1"/>
    <col min="9246" max="9247" width="14" style="171" bestFit="1" customWidth="1"/>
    <col min="9248" max="9249" width="13.140625" style="171" bestFit="1" customWidth="1"/>
    <col min="9250" max="9250" width="14" style="171" bestFit="1" customWidth="1"/>
    <col min="9251" max="9254" width="9.28515625" style="171" bestFit="1" customWidth="1"/>
    <col min="9255" max="9256" width="11.7109375" style="171" bestFit="1" customWidth="1"/>
    <col min="9257" max="9257" width="9.28515625" style="171" bestFit="1" customWidth="1"/>
    <col min="9258" max="9258" width="11.7109375" style="171" bestFit="1" customWidth="1"/>
    <col min="9259" max="9259" width="13.140625" style="171" bestFit="1" customWidth="1"/>
    <col min="9260" max="9261" width="11.7109375" style="171" bestFit="1" customWidth="1"/>
    <col min="9262" max="9262" width="9.28515625" style="171" bestFit="1" customWidth="1"/>
    <col min="9263" max="9263" width="13.140625" style="171" bestFit="1" customWidth="1"/>
    <col min="9264" max="9264" width="9.28515625" style="171" bestFit="1" customWidth="1"/>
    <col min="9265" max="9266" width="13.140625" style="171" bestFit="1" customWidth="1"/>
    <col min="9267" max="9267" width="14.85546875" style="171" bestFit="1" customWidth="1"/>
    <col min="9268" max="9472" width="9.140625" style="171"/>
    <col min="9473" max="9473" width="9.28515625" style="171" customWidth="1"/>
    <col min="9474" max="9474" width="8.85546875" style="171" bestFit="1" customWidth="1"/>
    <col min="9475" max="9475" width="8.7109375" style="171" bestFit="1" customWidth="1"/>
    <col min="9476" max="9476" width="8.85546875" style="171" bestFit="1" customWidth="1"/>
    <col min="9477" max="9477" width="8" style="171" bestFit="1" customWidth="1"/>
    <col min="9478" max="9478" width="9" style="171" bestFit="1" customWidth="1"/>
    <col min="9479" max="9479" width="10.140625" style="171" customWidth="1"/>
    <col min="9480" max="9480" width="11" style="171" bestFit="1" customWidth="1"/>
    <col min="9481" max="9482" width="10.5703125" style="171" bestFit="1" customWidth="1"/>
    <col min="9483" max="9483" width="9.85546875" style="171" customWidth="1"/>
    <col min="9484" max="9484" width="11.5703125" style="171" customWidth="1"/>
    <col min="9485" max="9485" width="11.42578125" style="171" customWidth="1"/>
    <col min="9486" max="9486" width="10.140625" style="171" customWidth="1"/>
    <col min="9487" max="9487" width="10.28515625" style="171" bestFit="1" customWidth="1"/>
    <col min="9488" max="9488" width="12.140625" style="171" bestFit="1" customWidth="1"/>
    <col min="9489" max="9489" width="12" style="171" bestFit="1" customWidth="1"/>
    <col min="9490" max="9490" width="12.140625" style="171" customWidth="1"/>
    <col min="9491" max="9491" width="10.85546875" style="171" customWidth="1"/>
    <col min="9492" max="9492" width="8.85546875" style="171" bestFit="1" customWidth="1"/>
    <col min="9493" max="9493" width="9" style="171" bestFit="1" customWidth="1"/>
    <col min="9494" max="9494" width="8.5703125" style="171" bestFit="1" customWidth="1"/>
    <col min="9495" max="9495" width="7.85546875" style="171" bestFit="1" customWidth="1"/>
    <col min="9496" max="9496" width="10.28515625" style="171" bestFit="1" customWidth="1"/>
    <col min="9497" max="9497" width="11.85546875" style="171" bestFit="1" customWidth="1"/>
    <col min="9498" max="9498" width="11.7109375" style="171" bestFit="1" customWidth="1"/>
    <col min="9499" max="9499" width="13.140625" style="171" bestFit="1" customWidth="1"/>
    <col min="9500" max="9500" width="5.5703125" style="171" bestFit="1" customWidth="1"/>
    <col min="9501" max="9501" width="10" style="171" bestFit="1" customWidth="1"/>
    <col min="9502" max="9503" width="14" style="171" bestFit="1" customWidth="1"/>
    <col min="9504" max="9505" width="13.140625" style="171" bestFit="1" customWidth="1"/>
    <col min="9506" max="9506" width="14" style="171" bestFit="1" customWidth="1"/>
    <col min="9507" max="9510" width="9.28515625" style="171" bestFit="1" customWidth="1"/>
    <col min="9511" max="9512" width="11.7109375" style="171" bestFit="1" customWidth="1"/>
    <col min="9513" max="9513" width="9.28515625" style="171" bestFit="1" customWidth="1"/>
    <col min="9514" max="9514" width="11.7109375" style="171" bestFit="1" customWidth="1"/>
    <col min="9515" max="9515" width="13.140625" style="171" bestFit="1" customWidth="1"/>
    <col min="9516" max="9517" width="11.7109375" style="171" bestFit="1" customWidth="1"/>
    <col min="9518" max="9518" width="9.28515625" style="171" bestFit="1" customWidth="1"/>
    <col min="9519" max="9519" width="13.140625" style="171" bestFit="1" customWidth="1"/>
    <col min="9520" max="9520" width="9.28515625" style="171" bestFit="1" customWidth="1"/>
    <col min="9521" max="9522" width="13.140625" style="171" bestFit="1" customWidth="1"/>
    <col min="9523" max="9523" width="14.85546875" style="171" bestFit="1" customWidth="1"/>
    <col min="9524" max="9728" width="9.140625" style="171"/>
    <col min="9729" max="9729" width="9.28515625" style="171" customWidth="1"/>
    <col min="9730" max="9730" width="8.85546875" style="171" bestFit="1" customWidth="1"/>
    <col min="9731" max="9731" width="8.7109375" style="171" bestFit="1" customWidth="1"/>
    <col min="9732" max="9732" width="8.85546875" style="171" bestFit="1" customWidth="1"/>
    <col min="9733" max="9733" width="8" style="171" bestFit="1" customWidth="1"/>
    <col min="9734" max="9734" width="9" style="171" bestFit="1" customWidth="1"/>
    <col min="9735" max="9735" width="10.140625" style="171" customWidth="1"/>
    <col min="9736" max="9736" width="11" style="171" bestFit="1" customWidth="1"/>
    <col min="9737" max="9738" width="10.5703125" style="171" bestFit="1" customWidth="1"/>
    <col min="9739" max="9739" width="9.85546875" style="171" customWidth="1"/>
    <col min="9740" max="9740" width="11.5703125" style="171" customWidth="1"/>
    <col min="9741" max="9741" width="11.42578125" style="171" customWidth="1"/>
    <col min="9742" max="9742" width="10.140625" style="171" customWidth="1"/>
    <col min="9743" max="9743" width="10.28515625" style="171" bestFit="1" customWidth="1"/>
    <col min="9744" max="9744" width="12.140625" style="171" bestFit="1" customWidth="1"/>
    <col min="9745" max="9745" width="12" style="171" bestFit="1" customWidth="1"/>
    <col min="9746" max="9746" width="12.140625" style="171" customWidth="1"/>
    <col min="9747" max="9747" width="10.85546875" style="171" customWidth="1"/>
    <col min="9748" max="9748" width="8.85546875" style="171" bestFit="1" customWidth="1"/>
    <col min="9749" max="9749" width="9" style="171" bestFit="1" customWidth="1"/>
    <col min="9750" max="9750" width="8.5703125" style="171" bestFit="1" customWidth="1"/>
    <col min="9751" max="9751" width="7.85546875" style="171" bestFit="1" customWidth="1"/>
    <col min="9752" max="9752" width="10.28515625" style="171" bestFit="1" customWidth="1"/>
    <col min="9753" max="9753" width="11.85546875" style="171" bestFit="1" customWidth="1"/>
    <col min="9754" max="9754" width="11.7109375" style="171" bestFit="1" customWidth="1"/>
    <col min="9755" max="9755" width="13.140625" style="171" bestFit="1" customWidth="1"/>
    <col min="9756" max="9756" width="5.5703125" style="171" bestFit="1" customWidth="1"/>
    <col min="9757" max="9757" width="10" style="171" bestFit="1" customWidth="1"/>
    <col min="9758" max="9759" width="14" style="171" bestFit="1" customWidth="1"/>
    <col min="9760" max="9761" width="13.140625" style="171" bestFit="1" customWidth="1"/>
    <col min="9762" max="9762" width="14" style="171" bestFit="1" customWidth="1"/>
    <col min="9763" max="9766" width="9.28515625" style="171" bestFit="1" customWidth="1"/>
    <col min="9767" max="9768" width="11.7109375" style="171" bestFit="1" customWidth="1"/>
    <col min="9769" max="9769" width="9.28515625" style="171" bestFit="1" customWidth="1"/>
    <col min="9770" max="9770" width="11.7109375" style="171" bestFit="1" customWidth="1"/>
    <col min="9771" max="9771" width="13.140625" style="171" bestFit="1" customWidth="1"/>
    <col min="9772" max="9773" width="11.7109375" style="171" bestFit="1" customWidth="1"/>
    <col min="9774" max="9774" width="9.28515625" style="171" bestFit="1" customWidth="1"/>
    <col min="9775" max="9775" width="13.140625" style="171" bestFit="1" customWidth="1"/>
    <col min="9776" max="9776" width="9.28515625" style="171" bestFit="1" customWidth="1"/>
    <col min="9777" max="9778" width="13.140625" style="171" bestFit="1" customWidth="1"/>
    <col min="9779" max="9779" width="14.85546875" style="171" bestFit="1" customWidth="1"/>
    <col min="9780" max="9984" width="9.140625" style="171"/>
    <col min="9985" max="9985" width="9.28515625" style="171" customWidth="1"/>
    <col min="9986" max="9986" width="8.85546875" style="171" bestFit="1" customWidth="1"/>
    <col min="9987" max="9987" width="8.7109375" style="171" bestFit="1" customWidth="1"/>
    <col min="9988" max="9988" width="8.85546875" style="171" bestFit="1" customWidth="1"/>
    <col min="9989" max="9989" width="8" style="171" bestFit="1" customWidth="1"/>
    <col min="9990" max="9990" width="9" style="171" bestFit="1" customWidth="1"/>
    <col min="9991" max="9991" width="10.140625" style="171" customWidth="1"/>
    <col min="9992" max="9992" width="11" style="171" bestFit="1" customWidth="1"/>
    <col min="9993" max="9994" width="10.5703125" style="171" bestFit="1" customWidth="1"/>
    <col min="9995" max="9995" width="9.85546875" style="171" customWidth="1"/>
    <col min="9996" max="9996" width="11.5703125" style="171" customWidth="1"/>
    <col min="9997" max="9997" width="11.42578125" style="171" customWidth="1"/>
    <col min="9998" max="9998" width="10.140625" style="171" customWidth="1"/>
    <col min="9999" max="9999" width="10.28515625" style="171" bestFit="1" customWidth="1"/>
    <col min="10000" max="10000" width="12.140625" style="171" bestFit="1" customWidth="1"/>
    <col min="10001" max="10001" width="12" style="171" bestFit="1" customWidth="1"/>
    <col min="10002" max="10002" width="12.140625" style="171" customWidth="1"/>
    <col min="10003" max="10003" width="10.85546875" style="171" customWidth="1"/>
    <col min="10004" max="10004" width="8.85546875" style="171" bestFit="1" customWidth="1"/>
    <col min="10005" max="10005" width="9" style="171" bestFit="1" customWidth="1"/>
    <col min="10006" max="10006" width="8.5703125" style="171" bestFit="1" customWidth="1"/>
    <col min="10007" max="10007" width="7.85546875" style="171" bestFit="1" customWidth="1"/>
    <col min="10008" max="10008" width="10.28515625" style="171" bestFit="1" customWidth="1"/>
    <col min="10009" max="10009" width="11.85546875" style="171" bestFit="1" customWidth="1"/>
    <col min="10010" max="10010" width="11.7109375" style="171" bestFit="1" customWidth="1"/>
    <col min="10011" max="10011" width="13.140625" style="171" bestFit="1" customWidth="1"/>
    <col min="10012" max="10012" width="5.5703125" style="171" bestFit="1" customWidth="1"/>
    <col min="10013" max="10013" width="10" style="171" bestFit="1" customWidth="1"/>
    <col min="10014" max="10015" width="14" style="171" bestFit="1" customWidth="1"/>
    <col min="10016" max="10017" width="13.140625" style="171" bestFit="1" customWidth="1"/>
    <col min="10018" max="10018" width="14" style="171" bestFit="1" customWidth="1"/>
    <col min="10019" max="10022" width="9.28515625" style="171" bestFit="1" customWidth="1"/>
    <col min="10023" max="10024" width="11.7109375" style="171" bestFit="1" customWidth="1"/>
    <col min="10025" max="10025" width="9.28515625" style="171" bestFit="1" customWidth="1"/>
    <col min="10026" max="10026" width="11.7109375" style="171" bestFit="1" customWidth="1"/>
    <col min="10027" max="10027" width="13.140625" style="171" bestFit="1" customWidth="1"/>
    <col min="10028" max="10029" width="11.7109375" style="171" bestFit="1" customWidth="1"/>
    <col min="10030" max="10030" width="9.28515625" style="171" bestFit="1" customWidth="1"/>
    <col min="10031" max="10031" width="13.140625" style="171" bestFit="1" customWidth="1"/>
    <col min="10032" max="10032" width="9.28515625" style="171" bestFit="1" customWidth="1"/>
    <col min="10033" max="10034" width="13.140625" style="171" bestFit="1" customWidth="1"/>
    <col min="10035" max="10035" width="14.85546875" style="171" bestFit="1" customWidth="1"/>
    <col min="10036" max="10240" width="9.140625" style="171"/>
    <col min="10241" max="10241" width="9.28515625" style="171" customWidth="1"/>
    <col min="10242" max="10242" width="8.85546875" style="171" bestFit="1" customWidth="1"/>
    <col min="10243" max="10243" width="8.7109375" style="171" bestFit="1" customWidth="1"/>
    <col min="10244" max="10244" width="8.85546875" style="171" bestFit="1" customWidth="1"/>
    <col min="10245" max="10245" width="8" style="171" bestFit="1" customWidth="1"/>
    <col min="10246" max="10246" width="9" style="171" bestFit="1" customWidth="1"/>
    <col min="10247" max="10247" width="10.140625" style="171" customWidth="1"/>
    <col min="10248" max="10248" width="11" style="171" bestFit="1" customWidth="1"/>
    <col min="10249" max="10250" width="10.5703125" style="171" bestFit="1" customWidth="1"/>
    <col min="10251" max="10251" width="9.85546875" style="171" customWidth="1"/>
    <col min="10252" max="10252" width="11.5703125" style="171" customWidth="1"/>
    <col min="10253" max="10253" width="11.42578125" style="171" customWidth="1"/>
    <col min="10254" max="10254" width="10.140625" style="171" customWidth="1"/>
    <col min="10255" max="10255" width="10.28515625" style="171" bestFit="1" customWidth="1"/>
    <col min="10256" max="10256" width="12.140625" style="171" bestFit="1" customWidth="1"/>
    <col min="10257" max="10257" width="12" style="171" bestFit="1" customWidth="1"/>
    <col min="10258" max="10258" width="12.140625" style="171" customWidth="1"/>
    <col min="10259" max="10259" width="10.85546875" style="171" customWidth="1"/>
    <col min="10260" max="10260" width="8.85546875" style="171" bestFit="1" customWidth="1"/>
    <col min="10261" max="10261" width="9" style="171" bestFit="1" customWidth="1"/>
    <col min="10262" max="10262" width="8.5703125" style="171" bestFit="1" customWidth="1"/>
    <col min="10263" max="10263" width="7.85546875" style="171" bestFit="1" customWidth="1"/>
    <col min="10264" max="10264" width="10.28515625" style="171" bestFit="1" customWidth="1"/>
    <col min="10265" max="10265" width="11.85546875" style="171" bestFit="1" customWidth="1"/>
    <col min="10266" max="10266" width="11.7109375" style="171" bestFit="1" customWidth="1"/>
    <col min="10267" max="10267" width="13.140625" style="171" bestFit="1" customWidth="1"/>
    <col min="10268" max="10268" width="5.5703125" style="171" bestFit="1" customWidth="1"/>
    <col min="10269" max="10269" width="10" style="171" bestFit="1" customWidth="1"/>
    <col min="10270" max="10271" width="14" style="171" bestFit="1" customWidth="1"/>
    <col min="10272" max="10273" width="13.140625" style="171" bestFit="1" customWidth="1"/>
    <col min="10274" max="10274" width="14" style="171" bestFit="1" customWidth="1"/>
    <col min="10275" max="10278" width="9.28515625" style="171" bestFit="1" customWidth="1"/>
    <col min="10279" max="10280" width="11.7109375" style="171" bestFit="1" customWidth="1"/>
    <col min="10281" max="10281" width="9.28515625" style="171" bestFit="1" customWidth="1"/>
    <col min="10282" max="10282" width="11.7109375" style="171" bestFit="1" customWidth="1"/>
    <col min="10283" max="10283" width="13.140625" style="171" bestFit="1" customWidth="1"/>
    <col min="10284" max="10285" width="11.7109375" style="171" bestFit="1" customWidth="1"/>
    <col min="10286" max="10286" width="9.28515625" style="171" bestFit="1" customWidth="1"/>
    <col min="10287" max="10287" width="13.140625" style="171" bestFit="1" customWidth="1"/>
    <col min="10288" max="10288" width="9.28515625" style="171" bestFit="1" customWidth="1"/>
    <col min="10289" max="10290" width="13.140625" style="171" bestFit="1" customWidth="1"/>
    <col min="10291" max="10291" width="14.85546875" style="171" bestFit="1" customWidth="1"/>
    <col min="10292" max="10496" width="9.140625" style="171"/>
    <col min="10497" max="10497" width="9.28515625" style="171" customWidth="1"/>
    <col min="10498" max="10498" width="8.85546875" style="171" bestFit="1" customWidth="1"/>
    <col min="10499" max="10499" width="8.7109375" style="171" bestFit="1" customWidth="1"/>
    <col min="10500" max="10500" width="8.85546875" style="171" bestFit="1" customWidth="1"/>
    <col min="10501" max="10501" width="8" style="171" bestFit="1" customWidth="1"/>
    <col min="10502" max="10502" width="9" style="171" bestFit="1" customWidth="1"/>
    <col min="10503" max="10503" width="10.140625" style="171" customWidth="1"/>
    <col min="10504" max="10504" width="11" style="171" bestFit="1" customWidth="1"/>
    <col min="10505" max="10506" width="10.5703125" style="171" bestFit="1" customWidth="1"/>
    <col min="10507" max="10507" width="9.85546875" style="171" customWidth="1"/>
    <col min="10508" max="10508" width="11.5703125" style="171" customWidth="1"/>
    <col min="10509" max="10509" width="11.42578125" style="171" customWidth="1"/>
    <col min="10510" max="10510" width="10.140625" style="171" customWidth="1"/>
    <col min="10511" max="10511" width="10.28515625" style="171" bestFit="1" customWidth="1"/>
    <col min="10512" max="10512" width="12.140625" style="171" bestFit="1" customWidth="1"/>
    <col min="10513" max="10513" width="12" style="171" bestFit="1" customWidth="1"/>
    <col min="10514" max="10514" width="12.140625" style="171" customWidth="1"/>
    <col min="10515" max="10515" width="10.85546875" style="171" customWidth="1"/>
    <col min="10516" max="10516" width="8.85546875" style="171" bestFit="1" customWidth="1"/>
    <col min="10517" max="10517" width="9" style="171" bestFit="1" customWidth="1"/>
    <col min="10518" max="10518" width="8.5703125" style="171" bestFit="1" customWidth="1"/>
    <col min="10519" max="10519" width="7.85546875" style="171" bestFit="1" customWidth="1"/>
    <col min="10520" max="10520" width="10.28515625" style="171" bestFit="1" customWidth="1"/>
    <col min="10521" max="10521" width="11.85546875" style="171" bestFit="1" customWidth="1"/>
    <col min="10522" max="10522" width="11.7109375" style="171" bestFit="1" customWidth="1"/>
    <col min="10523" max="10523" width="13.140625" style="171" bestFit="1" customWidth="1"/>
    <col min="10524" max="10524" width="5.5703125" style="171" bestFit="1" customWidth="1"/>
    <col min="10525" max="10525" width="10" style="171" bestFit="1" customWidth="1"/>
    <col min="10526" max="10527" width="14" style="171" bestFit="1" customWidth="1"/>
    <col min="10528" max="10529" width="13.140625" style="171" bestFit="1" customWidth="1"/>
    <col min="10530" max="10530" width="14" style="171" bestFit="1" customWidth="1"/>
    <col min="10531" max="10534" width="9.28515625" style="171" bestFit="1" customWidth="1"/>
    <col min="10535" max="10536" width="11.7109375" style="171" bestFit="1" customWidth="1"/>
    <col min="10537" max="10537" width="9.28515625" style="171" bestFit="1" customWidth="1"/>
    <col min="10538" max="10538" width="11.7109375" style="171" bestFit="1" customWidth="1"/>
    <col min="10539" max="10539" width="13.140625" style="171" bestFit="1" customWidth="1"/>
    <col min="10540" max="10541" width="11.7109375" style="171" bestFit="1" customWidth="1"/>
    <col min="10542" max="10542" width="9.28515625" style="171" bestFit="1" customWidth="1"/>
    <col min="10543" max="10543" width="13.140625" style="171" bestFit="1" customWidth="1"/>
    <col min="10544" max="10544" width="9.28515625" style="171" bestFit="1" customWidth="1"/>
    <col min="10545" max="10546" width="13.140625" style="171" bestFit="1" customWidth="1"/>
    <col min="10547" max="10547" width="14.85546875" style="171" bestFit="1" customWidth="1"/>
    <col min="10548" max="10752" width="9.140625" style="171"/>
    <col min="10753" max="10753" width="9.28515625" style="171" customWidth="1"/>
    <col min="10754" max="10754" width="8.85546875" style="171" bestFit="1" customWidth="1"/>
    <col min="10755" max="10755" width="8.7109375" style="171" bestFit="1" customWidth="1"/>
    <col min="10756" max="10756" width="8.85546875" style="171" bestFit="1" customWidth="1"/>
    <col min="10757" max="10757" width="8" style="171" bestFit="1" customWidth="1"/>
    <col min="10758" max="10758" width="9" style="171" bestFit="1" customWidth="1"/>
    <col min="10759" max="10759" width="10.140625" style="171" customWidth="1"/>
    <col min="10760" max="10760" width="11" style="171" bestFit="1" customWidth="1"/>
    <col min="10761" max="10762" width="10.5703125" style="171" bestFit="1" customWidth="1"/>
    <col min="10763" max="10763" width="9.85546875" style="171" customWidth="1"/>
    <col min="10764" max="10764" width="11.5703125" style="171" customWidth="1"/>
    <col min="10765" max="10765" width="11.42578125" style="171" customWidth="1"/>
    <col min="10766" max="10766" width="10.140625" style="171" customWidth="1"/>
    <col min="10767" max="10767" width="10.28515625" style="171" bestFit="1" customWidth="1"/>
    <col min="10768" max="10768" width="12.140625" style="171" bestFit="1" customWidth="1"/>
    <col min="10769" max="10769" width="12" style="171" bestFit="1" customWidth="1"/>
    <col min="10770" max="10770" width="12.140625" style="171" customWidth="1"/>
    <col min="10771" max="10771" width="10.85546875" style="171" customWidth="1"/>
    <col min="10772" max="10772" width="8.85546875" style="171" bestFit="1" customWidth="1"/>
    <col min="10773" max="10773" width="9" style="171" bestFit="1" customWidth="1"/>
    <col min="10774" max="10774" width="8.5703125" style="171" bestFit="1" customWidth="1"/>
    <col min="10775" max="10775" width="7.85546875" style="171" bestFit="1" customWidth="1"/>
    <col min="10776" max="10776" width="10.28515625" style="171" bestFit="1" customWidth="1"/>
    <col min="10777" max="10777" width="11.85546875" style="171" bestFit="1" customWidth="1"/>
    <col min="10778" max="10778" width="11.7109375" style="171" bestFit="1" customWidth="1"/>
    <col min="10779" max="10779" width="13.140625" style="171" bestFit="1" customWidth="1"/>
    <col min="10780" max="10780" width="5.5703125" style="171" bestFit="1" customWidth="1"/>
    <col min="10781" max="10781" width="10" style="171" bestFit="1" customWidth="1"/>
    <col min="10782" max="10783" width="14" style="171" bestFit="1" customWidth="1"/>
    <col min="10784" max="10785" width="13.140625" style="171" bestFit="1" customWidth="1"/>
    <col min="10786" max="10786" width="14" style="171" bestFit="1" customWidth="1"/>
    <col min="10787" max="10790" width="9.28515625" style="171" bestFit="1" customWidth="1"/>
    <col min="10791" max="10792" width="11.7109375" style="171" bestFit="1" customWidth="1"/>
    <col min="10793" max="10793" width="9.28515625" style="171" bestFit="1" customWidth="1"/>
    <col min="10794" max="10794" width="11.7109375" style="171" bestFit="1" customWidth="1"/>
    <col min="10795" max="10795" width="13.140625" style="171" bestFit="1" customWidth="1"/>
    <col min="10796" max="10797" width="11.7109375" style="171" bestFit="1" customWidth="1"/>
    <col min="10798" max="10798" width="9.28515625" style="171" bestFit="1" customWidth="1"/>
    <col min="10799" max="10799" width="13.140625" style="171" bestFit="1" customWidth="1"/>
    <col min="10800" max="10800" width="9.28515625" style="171" bestFit="1" customWidth="1"/>
    <col min="10801" max="10802" width="13.140625" style="171" bestFit="1" customWidth="1"/>
    <col min="10803" max="10803" width="14.85546875" style="171" bestFit="1" customWidth="1"/>
    <col min="10804" max="11008" width="9.140625" style="171"/>
    <col min="11009" max="11009" width="9.28515625" style="171" customWidth="1"/>
    <col min="11010" max="11010" width="8.85546875" style="171" bestFit="1" customWidth="1"/>
    <col min="11011" max="11011" width="8.7109375" style="171" bestFit="1" customWidth="1"/>
    <col min="11012" max="11012" width="8.85546875" style="171" bestFit="1" customWidth="1"/>
    <col min="11013" max="11013" width="8" style="171" bestFit="1" customWidth="1"/>
    <col min="11014" max="11014" width="9" style="171" bestFit="1" customWidth="1"/>
    <col min="11015" max="11015" width="10.140625" style="171" customWidth="1"/>
    <col min="11016" max="11016" width="11" style="171" bestFit="1" customWidth="1"/>
    <col min="11017" max="11018" width="10.5703125" style="171" bestFit="1" customWidth="1"/>
    <col min="11019" max="11019" width="9.85546875" style="171" customWidth="1"/>
    <col min="11020" max="11020" width="11.5703125" style="171" customWidth="1"/>
    <col min="11021" max="11021" width="11.42578125" style="171" customWidth="1"/>
    <col min="11022" max="11022" width="10.140625" style="171" customWidth="1"/>
    <col min="11023" max="11023" width="10.28515625" style="171" bestFit="1" customWidth="1"/>
    <col min="11024" max="11024" width="12.140625" style="171" bestFit="1" customWidth="1"/>
    <col min="11025" max="11025" width="12" style="171" bestFit="1" customWidth="1"/>
    <col min="11026" max="11026" width="12.140625" style="171" customWidth="1"/>
    <col min="11027" max="11027" width="10.85546875" style="171" customWidth="1"/>
    <col min="11028" max="11028" width="8.85546875" style="171" bestFit="1" customWidth="1"/>
    <col min="11029" max="11029" width="9" style="171" bestFit="1" customWidth="1"/>
    <col min="11030" max="11030" width="8.5703125" style="171" bestFit="1" customWidth="1"/>
    <col min="11031" max="11031" width="7.85546875" style="171" bestFit="1" customWidth="1"/>
    <col min="11032" max="11032" width="10.28515625" style="171" bestFit="1" customWidth="1"/>
    <col min="11033" max="11033" width="11.85546875" style="171" bestFit="1" customWidth="1"/>
    <col min="11034" max="11034" width="11.7109375" style="171" bestFit="1" customWidth="1"/>
    <col min="11035" max="11035" width="13.140625" style="171" bestFit="1" customWidth="1"/>
    <col min="11036" max="11036" width="5.5703125" style="171" bestFit="1" customWidth="1"/>
    <col min="11037" max="11037" width="10" style="171" bestFit="1" customWidth="1"/>
    <col min="11038" max="11039" width="14" style="171" bestFit="1" customWidth="1"/>
    <col min="11040" max="11041" width="13.140625" style="171" bestFit="1" customWidth="1"/>
    <col min="11042" max="11042" width="14" style="171" bestFit="1" customWidth="1"/>
    <col min="11043" max="11046" width="9.28515625" style="171" bestFit="1" customWidth="1"/>
    <col min="11047" max="11048" width="11.7109375" style="171" bestFit="1" customWidth="1"/>
    <col min="11049" max="11049" width="9.28515625" style="171" bestFit="1" customWidth="1"/>
    <col min="11050" max="11050" width="11.7109375" style="171" bestFit="1" customWidth="1"/>
    <col min="11051" max="11051" width="13.140625" style="171" bestFit="1" customWidth="1"/>
    <col min="11052" max="11053" width="11.7109375" style="171" bestFit="1" customWidth="1"/>
    <col min="11054" max="11054" width="9.28515625" style="171" bestFit="1" customWidth="1"/>
    <col min="11055" max="11055" width="13.140625" style="171" bestFit="1" customWidth="1"/>
    <col min="11056" max="11056" width="9.28515625" style="171" bestFit="1" customWidth="1"/>
    <col min="11057" max="11058" width="13.140625" style="171" bestFit="1" customWidth="1"/>
    <col min="11059" max="11059" width="14.85546875" style="171" bestFit="1" customWidth="1"/>
    <col min="11060" max="11264" width="9.140625" style="171"/>
    <col min="11265" max="11265" width="9.28515625" style="171" customWidth="1"/>
    <col min="11266" max="11266" width="8.85546875" style="171" bestFit="1" customWidth="1"/>
    <col min="11267" max="11267" width="8.7109375" style="171" bestFit="1" customWidth="1"/>
    <col min="11268" max="11268" width="8.85546875" style="171" bestFit="1" customWidth="1"/>
    <col min="11269" max="11269" width="8" style="171" bestFit="1" customWidth="1"/>
    <col min="11270" max="11270" width="9" style="171" bestFit="1" customWidth="1"/>
    <col min="11271" max="11271" width="10.140625" style="171" customWidth="1"/>
    <col min="11272" max="11272" width="11" style="171" bestFit="1" customWidth="1"/>
    <col min="11273" max="11274" width="10.5703125" style="171" bestFit="1" customWidth="1"/>
    <col min="11275" max="11275" width="9.85546875" style="171" customWidth="1"/>
    <col min="11276" max="11276" width="11.5703125" style="171" customWidth="1"/>
    <col min="11277" max="11277" width="11.42578125" style="171" customWidth="1"/>
    <col min="11278" max="11278" width="10.140625" style="171" customWidth="1"/>
    <col min="11279" max="11279" width="10.28515625" style="171" bestFit="1" customWidth="1"/>
    <col min="11280" max="11280" width="12.140625" style="171" bestFit="1" customWidth="1"/>
    <col min="11281" max="11281" width="12" style="171" bestFit="1" customWidth="1"/>
    <col min="11282" max="11282" width="12.140625" style="171" customWidth="1"/>
    <col min="11283" max="11283" width="10.85546875" style="171" customWidth="1"/>
    <col min="11284" max="11284" width="8.85546875" style="171" bestFit="1" customWidth="1"/>
    <col min="11285" max="11285" width="9" style="171" bestFit="1" customWidth="1"/>
    <col min="11286" max="11286" width="8.5703125" style="171" bestFit="1" customWidth="1"/>
    <col min="11287" max="11287" width="7.85546875" style="171" bestFit="1" customWidth="1"/>
    <col min="11288" max="11288" width="10.28515625" style="171" bestFit="1" customWidth="1"/>
    <col min="11289" max="11289" width="11.85546875" style="171" bestFit="1" customWidth="1"/>
    <col min="11290" max="11290" width="11.7109375" style="171" bestFit="1" customWidth="1"/>
    <col min="11291" max="11291" width="13.140625" style="171" bestFit="1" customWidth="1"/>
    <col min="11292" max="11292" width="5.5703125" style="171" bestFit="1" customWidth="1"/>
    <col min="11293" max="11293" width="10" style="171" bestFit="1" customWidth="1"/>
    <col min="11294" max="11295" width="14" style="171" bestFit="1" customWidth="1"/>
    <col min="11296" max="11297" width="13.140625" style="171" bestFit="1" customWidth="1"/>
    <col min="11298" max="11298" width="14" style="171" bestFit="1" customWidth="1"/>
    <col min="11299" max="11302" width="9.28515625" style="171" bestFit="1" customWidth="1"/>
    <col min="11303" max="11304" width="11.7109375" style="171" bestFit="1" customWidth="1"/>
    <col min="11305" max="11305" width="9.28515625" style="171" bestFit="1" customWidth="1"/>
    <col min="11306" max="11306" width="11.7109375" style="171" bestFit="1" customWidth="1"/>
    <col min="11307" max="11307" width="13.140625" style="171" bestFit="1" customWidth="1"/>
    <col min="11308" max="11309" width="11.7109375" style="171" bestFit="1" customWidth="1"/>
    <col min="11310" max="11310" width="9.28515625" style="171" bestFit="1" customWidth="1"/>
    <col min="11311" max="11311" width="13.140625" style="171" bestFit="1" customWidth="1"/>
    <col min="11312" max="11312" width="9.28515625" style="171" bestFit="1" customWidth="1"/>
    <col min="11313" max="11314" width="13.140625" style="171" bestFit="1" customWidth="1"/>
    <col min="11315" max="11315" width="14.85546875" style="171" bestFit="1" customWidth="1"/>
    <col min="11316" max="11520" width="9.140625" style="171"/>
    <col min="11521" max="11521" width="9.28515625" style="171" customWidth="1"/>
    <col min="11522" max="11522" width="8.85546875" style="171" bestFit="1" customWidth="1"/>
    <col min="11523" max="11523" width="8.7109375" style="171" bestFit="1" customWidth="1"/>
    <col min="11524" max="11524" width="8.85546875" style="171" bestFit="1" customWidth="1"/>
    <col min="11525" max="11525" width="8" style="171" bestFit="1" customWidth="1"/>
    <col min="11526" max="11526" width="9" style="171" bestFit="1" customWidth="1"/>
    <col min="11527" max="11527" width="10.140625" style="171" customWidth="1"/>
    <col min="11528" max="11528" width="11" style="171" bestFit="1" customWidth="1"/>
    <col min="11529" max="11530" width="10.5703125" style="171" bestFit="1" customWidth="1"/>
    <col min="11531" max="11531" width="9.85546875" style="171" customWidth="1"/>
    <col min="11532" max="11532" width="11.5703125" style="171" customWidth="1"/>
    <col min="11533" max="11533" width="11.42578125" style="171" customWidth="1"/>
    <col min="11534" max="11534" width="10.140625" style="171" customWidth="1"/>
    <col min="11535" max="11535" width="10.28515625" style="171" bestFit="1" customWidth="1"/>
    <col min="11536" max="11536" width="12.140625" style="171" bestFit="1" customWidth="1"/>
    <col min="11537" max="11537" width="12" style="171" bestFit="1" customWidth="1"/>
    <col min="11538" max="11538" width="12.140625" style="171" customWidth="1"/>
    <col min="11539" max="11539" width="10.85546875" style="171" customWidth="1"/>
    <col min="11540" max="11540" width="8.85546875" style="171" bestFit="1" customWidth="1"/>
    <col min="11541" max="11541" width="9" style="171" bestFit="1" customWidth="1"/>
    <col min="11542" max="11542" width="8.5703125" style="171" bestFit="1" customWidth="1"/>
    <col min="11543" max="11543" width="7.85546875" style="171" bestFit="1" customWidth="1"/>
    <col min="11544" max="11544" width="10.28515625" style="171" bestFit="1" customWidth="1"/>
    <col min="11545" max="11545" width="11.85546875" style="171" bestFit="1" customWidth="1"/>
    <col min="11546" max="11546" width="11.7109375" style="171" bestFit="1" customWidth="1"/>
    <col min="11547" max="11547" width="13.140625" style="171" bestFit="1" customWidth="1"/>
    <col min="11548" max="11548" width="5.5703125" style="171" bestFit="1" customWidth="1"/>
    <col min="11549" max="11549" width="10" style="171" bestFit="1" customWidth="1"/>
    <col min="11550" max="11551" width="14" style="171" bestFit="1" customWidth="1"/>
    <col min="11552" max="11553" width="13.140625" style="171" bestFit="1" customWidth="1"/>
    <col min="11554" max="11554" width="14" style="171" bestFit="1" customWidth="1"/>
    <col min="11555" max="11558" width="9.28515625" style="171" bestFit="1" customWidth="1"/>
    <col min="11559" max="11560" width="11.7109375" style="171" bestFit="1" customWidth="1"/>
    <col min="11561" max="11561" width="9.28515625" style="171" bestFit="1" customWidth="1"/>
    <col min="11562" max="11562" width="11.7109375" style="171" bestFit="1" customWidth="1"/>
    <col min="11563" max="11563" width="13.140625" style="171" bestFit="1" customWidth="1"/>
    <col min="11564" max="11565" width="11.7109375" style="171" bestFit="1" customWidth="1"/>
    <col min="11566" max="11566" width="9.28515625" style="171" bestFit="1" customWidth="1"/>
    <col min="11567" max="11567" width="13.140625" style="171" bestFit="1" customWidth="1"/>
    <col min="11568" max="11568" width="9.28515625" style="171" bestFit="1" customWidth="1"/>
    <col min="11569" max="11570" width="13.140625" style="171" bestFit="1" customWidth="1"/>
    <col min="11571" max="11571" width="14.85546875" style="171" bestFit="1" customWidth="1"/>
    <col min="11572" max="11776" width="9.140625" style="171"/>
    <col min="11777" max="11777" width="9.28515625" style="171" customWidth="1"/>
    <col min="11778" max="11778" width="8.85546875" style="171" bestFit="1" customWidth="1"/>
    <col min="11779" max="11779" width="8.7109375" style="171" bestFit="1" customWidth="1"/>
    <col min="11780" max="11780" width="8.85546875" style="171" bestFit="1" customWidth="1"/>
    <col min="11781" max="11781" width="8" style="171" bestFit="1" customWidth="1"/>
    <col min="11782" max="11782" width="9" style="171" bestFit="1" customWidth="1"/>
    <col min="11783" max="11783" width="10.140625" style="171" customWidth="1"/>
    <col min="11784" max="11784" width="11" style="171" bestFit="1" customWidth="1"/>
    <col min="11785" max="11786" width="10.5703125" style="171" bestFit="1" customWidth="1"/>
    <col min="11787" max="11787" width="9.85546875" style="171" customWidth="1"/>
    <col min="11788" max="11788" width="11.5703125" style="171" customWidth="1"/>
    <col min="11789" max="11789" width="11.42578125" style="171" customWidth="1"/>
    <col min="11790" max="11790" width="10.140625" style="171" customWidth="1"/>
    <col min="11791" max="11791" width="10.28515625" style="171" bestFit="1" customWidth="1"/>
    <col min="11792" max="11792" width="12.140625" style="171" bestFit="1" customWidth="1"/>
    <col min="11793" max="11793" width="12" style="171" bestFit="1" customWidth="1"/>
    <col min="11794" max="11794" width="12.140625" style="171" customWidth="1"/>
    <col min="11795" max="11795" width="10.85546875" style="171" customWidth="1"/>
    <col min="11796" max="11796" width="8.85546875" style="171" bestFit="1" customWidth="1"/>
    <col min="11797" max="11797" width="9" style="171" bestFit="1" customWidth="1"/>
    <col min="11798" max="11798" width="8.5703125" style="171" bestFit="1" customWidth="1"/>
    <col min="11799" max="11799" width="7.85546875" style="171" bestFit="1" customWidth="1"/>
    <col min="11800" max="11800" width="10.28515625" style="171" bestFit="1" customWidth="1"/>
    <col min="11801" max="11801" width="11.85546875" style="171" bestFit="1" customWidth="1"/>
    <col min="11802" max="11802" width="11.7109375" style="171" bestFit="1" customWidth="1"/>
    <col min="11803" max="11803" width="13.140625" style="171" bestFit="1" customWidth="1"/>
    <col min="11804" max="11804" width="5.5703125" style="171" bestFit="1" customWidth="1"/>
    <col min="11805" max="11805" width="10" style="171" bestFit="1" customWidth="1"/>
    <col min="11806" max="11807" width="14" style="171" bestFit="1" customWidth="1"/>
    <col min="11808" max="11809" width="13.140625" style="171" bestFit="1" customWidth="1"/>
    <col min="11810" max="11810" width="14" style="171" bestFit="1" customWidth="1"/>
    <col min="11811" max="11814" width="9.28515625" style="171" bestFit="1" customWidth="1"/>
    <col min="11815" max="11816" width="11.7109375" style="171" bestFit="1" customWidth="1"/>
    <col min="11817" max="11817" width="9.28515625" style="171" bestFit="1" customWidth="1"/>
    <col min="11818" max="11818" width="11.7109375" style="171" bestFit="1" customWidth="1"/>
    <col min="11819" max="11819" width="13.140625" style="171" bestFit="1" customWidth="1"/>
    <col min="11820" max="11821" width="11.7109375" style="171" bestFit="1" customWidth="1"/>
    <col min="11822" max="11822" width="9.28515625" style="171" bestFit="1" customWidth="1"/>
    <col min="11823" max="11823" width="13.140625" style="171" bestFit="1" customWidth="1"/>
    <col min="11824" max="11824" width="9.28515625" style="171" bestFit="1" customWidth="1"/>
    <col min="11825" max="11826" width="13.140625" style="171" bestFit="1" customWidth="1"/>
    <col min="11827" max="11827" width="14.85546875" style="171" bestFit="1" customWidth="1"/>
    <col min="11828" max="12032" width="9.140625" style="171"/>
    <col min="12033" max="12033" width="9.28515625" style="171" customWidth="1"/>
    <col min="12034" max="12034" width="8.85546875" style="171" bestFit="1" customWidth="1"/>
    <col min="12035" max="12035" width="8.7109375" style="171" bestFit="1" customWidth="1"/>
    <col min="12036" max="12036" width="8.85546875" style="171" bestFit="1" customWidth="1"/>
    <col min="12037" max="12037" width="8" style="171" bestFit="1" customWidth="1"/>
    <col min="12038" max="12038" width="9" style="171" bestFit="1" customWidth="1"/>
    <col min="12039" max="12039" width="10.140625" style="171" customWidth="1"/>
    <col min="12040" max="12040" width="11" style="171" bestFit="1" customWidth="1"/>
    <col min="12041" max="12042" width="10.5703125" style="171" bestFit="1" customWidth="1"/>
    <col min="12043" max="12043" width="9.85546875" style="171" customWidth="1"/>
    <col min="12044" max="12044" width="11.5703125" style="171" customWidth="1"/>
    <col min="12045" max="12045" width="11.42578125" style="171" customWidth="1"/>
    <col min="12046" max="12046" width="10.140625" style="171" customWidth="1"/>
    <col min="12047" max="12047" width="10.28515625" style="171" bestFit="1" customWidth="1"/>
    <col min="12048" max="12048" width="12.140625" style="171" bestFit="1" customWidth="1"/>
    <col min="12049" max="12049" width="12" style="171" bestFit="1" customWidth="1"/>
    <col min="12050" max="12050" width="12.140625" style="171" customWidth="1"/>
    <col min="12051" max="12051" width="10.85546875" style="171" customWidth="1"/>
    <col min="12052" max="12052" width="8.85546875" style="171" bestFit="1" customWidth="1"/>
    <col min="12053" max="12053" width="9" style="171" bestFit="1" customWidth="1"/>
    <col min="12054" max="12054" width="8.5703125" style="171" bestFit="1" customWidth="1"/>
    <col min="12055" max="12055" width="7.85546875" style="171" bestFit="1" customWidth="1"/>
    <col min="12056" max="12056" width="10.28515625" style="171" bestFit="1" customWidth="1"/>
    <col min="12057" max="12057" width="11.85546875" style="171" bestFit="1" customWidth="1"/>
    <col min="12058" max="12058" width="11.7109375" style="171" bestFit="1" customWidth="1"/>
    <col min="12059" max="12059" width="13.140625" style="171" bestFit="1" customWidth="1"/>
    <col min="12060" max="12060" width="5.5703125" style="171" bestFit="1" customWidth="1"/>
    <col min="12061" max="12061" width="10" style="171" bestFit="1" customWidth="1"/>
    <col min="12062" max="12063" width="14" style="171" bestFit="1" customWidth="1"/>
    <col min="12064" max="12065" width="13.140625" style="171" bestFit="1" customWidth="1"/>
    <col min="12066" max="12066" width="14" style="171" bestFit="1" customWidth="1"/>
    <col min="12067" max="12070" width="9.28515625" style="171" bestFit="1" customWidth="1"/>
    <col min="12071" max="12072" width="11.7109375" style="171" bestFit="1" customWidth="1"/>
    <col min="12073" max="12073" width="9.28515625" style="171" bestFit="1" customWidth="1"/>
    <col min="12074" max="12074" width="11.7109375" style="171" bestFit="1" customWidth="1"/>
    <col min="12075" max="12075" width="13.140625" style="171" bestFit="1" customWidth="1"/>
    <col min="12076" max="12077" width="11.7109375" style="171" bestFit="1" customWidth="1"/>
    <col min="12078" max="12078" width="9.28515625" style="171" bestFit="1" customWidth="1"/>
    <col min="12079" max="12079" width="13.140625" style="171" bestFit="1" customWidth="1"/>
    <col min="12080" max="12080" width="9.28515625" style="171" bestFit="1" customWidth="1"/>
    <col min="12081" max="12082" width="13.140625" style="171" bestFit="1" customWidth="1"/>
    <col min="12083" max="12083" width="14.85546875" style="171" bestFit="1" customWidth="1"/>
    <col min="12084" max="12288" width="9.140625" style="171"/>
    <col min="12289" max="12289" width="9.28515625" style="171" customWidth="1"/>
    <col min="12290" max="12290" width="8.85546875" style="171" bestFit="1" customWidth="1"/>
    <col min="12291" max="12291" width="8.7109375" style="171" bestFit="1" customWidth="1"/>
    <col min="12292" max="12292" width="8.85546875" style="171" bestFit="1" customWidth="1"/>
    <col min="12293" max="12293" width="8" style="171" bestFit="1" customWidth="1"/>
    <col min="12294" max="12294" width="9" style="171" bestFit="1" customWidth="1"/>
    <col min="12295" max="12295" width="10.140625" style="171" customWidth="1"/>
    <col min="12296" max="12296" width="11" style="171" bestFit="1" customWidth="1"/>
    <col min="12297" max="12298" width="10.5703125" style="171" bestFit="1" customWidth="1"/>
    <col min="12299" max="12299" width="9.85546875" style="171" customWidth="1"/>
    <col min="12300" max="12300" width="11.5703125" style="171" customWidth="1"/>
    <col min="12301" max="12301" width="11.42578125" style="171" customWidth="1"/>
    <col min="12302" max="12302" width="10.140625" style="171" customWidth="1"/>
    <col min="12303" max="12303" width="10.28515625" style="171" bestFit="1" customWidth="1"/>
    <col min="12304" max="12304" width="12.140625" style="171" bestFit="1" customWidth="1"/>
    <col min="12305" max="12305" width="12" style="171" bestFit="1" customWidth="1"/>
    <col min="12306" max="12306" width="12.140625" style="171" customWidth="1"/>
    <col min="12307" max="12307" width="10.85546875" style="171" customWidth="1"/>
    <col min="12308" max="12308" width="8.85546875" style="171" bestFit="1" customWidth="1"/>
    <col min="12309" max="12309" width="9" style="171" bestFit="1" customWidth="1"/>
    <col min="12310" max="12310" width="8.5703125" style="171" bestFit="1" customWidth="1"/>
    <col min="12311" max="12311" width="7.85546875" style="171" bestFit="1" customWidth="1"/>
    <col min="12312" max="12312" width="10.28515625" style="171" bestFit="1" customWidth="1"/>
    <col min="12313" max="12313" width="11.85546875" style="171" bestFit="1" customWidth="1"/>
    <col min="12314" max="12314" width="11.7109375" style="171" bestFit="1" customWidth="1"/>
    <col min="12315" max="12315" width="13.140625" style="171" bestFit="1" customWidth="1"/>
    <col min="12316" max="12316" width="5.5703125" style="171" bestFit="1" customWidth="1"/>
    <col min="12317" max="12317" width="10" style="171" bestFit="1" customWidth="1"/>
    <col min="12318" max="12319" width="14" style="171" bestFit="1" customWidth="1"/>
    <col min="12320" max="12321" width="13.140625" style="171" bestFit="1" customWidth="1"/>
    <col min="12322" max="12322" width="14" style="171" bestFit="1" customWidth="1"/>
    <col min="12323" max="12326" width="9.28515625" style="171" bestFit="1" customWidth="1"/>
    <col min="12327" max="12328" width="11.7109375" style="171" bestFit="1" customWidth="1"/>
    <col min="12329" max="12329" width="9.28515625" style="171" bestFit="1" customWidth="1"/>
    <col min="12330" max="12330" width="11.7109375" style="171" bestFit="1" customWidth="1"/>
    <col min="12331" max="12331" width="13.140625" style="171" bestFit="1" customWidth="1"/>
    <col min="12332" max="12333" width="11.7109375" style="171" bestFit="1" customWidth="1"/>
    <col min="12334" max="12334" width="9.28515625" style="171" bestFit="1" customWidth="1"/>
    <col min="12335" max="12335" width="13.140625" style="171" bestFit="1" customWidth="1"/>
    <col min="12336" max="12336" width="9.28515625" style="171" bestFit="1" customWidth="1"/>
    <col min="12337" max="12338" width="13.140625" style="171" bestFit="1" customWidth="1"/>
    <col min="12339" max="12339" width="14.85546875" style="171" bestFit="1" customWidth="1"/>
    <col min="12340" max="12544" width="9.140625" style="171"/>
    <col min="12545" max="12545" width="9.28515625" style="171" customWidth="1"/>
    <col min="12546" max="12546" width="8.85546875" style="171" bestFit="1" customWidth="1"/>
    <col min="12547" max="12547" width="8.7109375" style="171" bestFit="1" customWidth="1"/>
    <col min="12548" max="12548" width="8.85546875" style="171" bestFit="1" customWidth="1"/>
    <col min="12549" max="12549" width="8" style="171" bestFit="1" customWidth="1"/>
    <col min="12550" max="12550" width="9" style="171" bestFit="1" customWidth="1"/>
    <col min="12551" max="12551" width="10.140625" style="171" customWidth="1"/>
    <col min="12552" max="12552" width="11" style="171" bestFit="1" customWidth="1"/>
    <col min="12553" max="12554" width="10.5703125" style="171" bestFit="1" customWidth="1"/>
    <col min="12555" max="12555" width="9.85546875" style="171" customWidth="1"/>
    <col min="12556" max="12556" width="11.5703125" style="171" customWidth="1"/>
    <col min="12557" max="12557" width="11.42578125" style="171" customWidth="1"/>
    <col min="12558" max="12558" width="10.140625" style="171" customWidth="1"/>
    <col min="12559" max="12559" width="10.28515625" style="171" bestFit="1" customWidth="1"/>
    <col min="12560" max="12560" width="12.140625" style="171" bestFit="1" customWidth="1"/>
    <col min="12561" max="12561" width="12" style="171" bestFit="1" customWidth="1"/>
    <col min="12562" max="12562" width="12.140625" style="171" customWidth="1"/>
    <col min="12563" max="12563" width="10.85546875" style="171" customWidth="1"/>
    <col min="12564" max="12564" width="8.85546875" style="171" bestFit="1" customWidth="1"/>
    <col min="12565" max="12565" width="9" style="171" bestFit="1" customWidth="1"/>
    <col min="12566" max="12566" width="8.5703125" style="171" bestFit="1" customWidth="1"/>
    <col min="12567" max="12567" width="7.85546875" style="171" bestFit="1" customWidth="1"/>
    <col min="12568" max="12568" width="10.28515625" style="171" bestFit="1" customWidth="1"/>
    <col min="12569" max="12569" width="11.85546875" style="171" bestFit="1" customWidth="1"/>
    <col min="12570" max="12570" width="11.7109375" style="171" bestFit="1" customWidth="1"/>
    <col min="12571" max="12571" width="13.140625" style="171" bestFit="1" customWidth="1"/>
    <col min="12572" max="12572" width="5.5703125" style="171" bestFit="1" customWidth="1"/>
    <col min="12573" max="12573" width="10" style="171" bestFit="1" customWidth="1"/>
    <col min="12574" max="12575" width="14" style="171" bestFit="1" customWidth="1"/>
    <col min="12576" max="12577" width="13.140625" style="171" bestFit="1" customWidth="1"/>
    <col min="12578" max="12578" width="14" style="171" bestFit="1" customWidth="1"/>
    <col min="12579" max="12582" width="9.28515625" style="171" bestFit="1" customWidth="1"/>
    <col min="12583" max="12584" width="11.7109375" style="171" bestFit="1" customWidth="1"/>
    <col min="12585" max="12585" width="9.28515625" style="171" bestFit="1" customWidth="1"/>
    <col min="12586" max="12586" width="11.7109375" style="171" bestFit="1" customWidth="1"/>
    <col min="12587" max="12587" width="13.140625" style="171" bestFit="1" customWidth="1"/>
    <col min="12588" max="12589" width="11.7109375" style="171" bestFit="1" customWidth="1"/>
    <col min="12590" max="12590" width="9.28515625" style="171" bestFit="1" customWidth="1"/>
    <col min="12591" max="12591" width="13.140625" style="171" bestFit="1" customWidth="1"/>
    <col min="12592" max="12592" width="9.28515625" style="171" bestFit="1" customWidth="1"/>
    <col min="12593" max="12594" width="13.140625" style="171" bestFit="1" customWidth="1"/>
    <col min="12595" max="12595" width="14.85546875" style="171" bestFit="1" customWidth="1"/>
    <col min="12596" max="12800" width="9.140625" style="171"/>
    <col min="12801" max="12801" width="9.28515625" style="171" customWidth="1"/>
    <col min="12802" max="12802" width="8.85546875" style="171" bestFit="1" customWidth="1"/>
    <col min="12803" max="12803" width="8.7109375" style="171" bestFit="1" customWidth="1"/>
    <col min="12804" max="12804" width="8.85546875" style="171" bestFit="1" customWidth="1"/>
    <col min="12805" max="12805" width="8" style="171" bestFit="1" customWidth="1"/>
    <col min="12806" max="12806" width="9" style="171" bestFit="1" customWidth="1"/>
    <col min="12807" max="12807" width="10.140625" style="171" customWidth="1"/>
    <col min="12808" max="12808" width="11" style="171" bestFit="1" customWidth="1"/>
    <col min="12809" max="12810" width="10.5703125" style="171" bestFit="1" customWidth="1"/>
    <col min="12811" max="12811" width="9.85546875" style="171" customWidth="1"/>
    <col min="12812" max="12812" width="11.5703125" style="171" customWidth="1"/>
    <col min="12813" max="12813" width="11.42578125" style="171" customWidth="1"/>
    <col min="12814" max="12814" width="10.140625" style="171" customWidth="1"/>
    <col min="12815" max="12815" width="10.28515625" style="171" bestFit="1" customWidth="1"/>
    <col min="12816" max="12816" width="12.140625" style="171" bestFit="1" customWidth="1"/>
    <col min="12817" max="12817" width="12" style="171" bestFit="1" customWidth="1"/>
    <col min="12818" max="12818" width="12.140625" style="171" customWidth="1"/>
    <col min="12819" max="12819" width="10.85546875" style="171" customWidth="1"/>
    <col min="12820" max="12820" width="8.85546875" style="171" bestFit="1" customWidth="1"/>
    <col min="12821" max="12821" width="9" style="171" bestFit="1" customWidth="1"/>
    <col min="12822" max="12822" width="8.5703125" style="171" bestFit="1" customWidth="1"/>
    <col min="12823" max="12823" width="7.85546875" style="171" bestFit="1" customWidth="1"/>
    <col min="12824" max="12824" width="10.28515625" style="171" bestFit="1" customWidth="1"/>
    <col min="12825" max="12825" width="11.85546875" style="171" bestFit="1" customWidth="1"/>
    <col min="12826" max="12826" width="11.7109375" style="171" bestFit="1" customWidth="1"/>
    <col min="12827" max="12827" width="13.140625" style="171" bestFit="1" customWidth="1"/>
    <col min="12828" max="12828" width="5.5703125" style="171" bestFit="1" customWidth="1"/>
    <col min="12829" max="12829" width="10" style="171" bestFit="1" customWidth="1"/>
    <col min="12830" max="12831" width="14" style="171" bestFit="1" customWidth="1"/>
    <col min="12832" max="12833" width="13.140625" style="171" bestFit="1" customWidth="1"/>
    <col min="12834" max="12834" width="14" style="171" bestFit="1" customWidth="1"/>
    <col min="12835" max="12838" width="9.28515625" style="171" bestFit="1" customWidth="1"/>
    <col min="12839" max="12840" width="11.7109375" style="171" bestFit="1" customWidth="1"/>
    <col min="12841" max="12841" width="9.28515625" style="171" bestFit="1" customWidth="1"/>
    <col min="12842" max="12842" width="11.7109375" style="171" bestFit="1" customWidth="1"/>
    <col min="12843" max="12843" width="13.140625" style="171" bestFit="1" customWidth="1"/>
    <col min="12844" max="12845" width="11.7109375" style="171" bestFit="1" customWidth="1"/>
    <col min="12846" max="12846" width="9.28515625" style="171" bestFit="1" customWidth="1"/>
    <col min="12847" max="12847" width="13.140625" style="171" bestFit="1" customWidth="1"/>
    <col min="12848" max="12848" width="9.28515625" style="171" bestFit="1" customWidth="1"/>
    <col min="12849" max="12850" width="13.140625" style="171" bestFit="1" customWidth="1"/>
    <col min="12851" max="12851" width="14.85546875" style="171" bestFit="1" customWidth="1"/>
    <col min="12852" max="13056" width="9.140625" style="171"/>
    <col min="13057" max="13057" width="9.28515625" style="171" customWidth="1"/>
    <col min="13058" max="13058" width="8.85546875" style="171" bestFit="1" customWidth="1"/>
    <col min="13059" max="13059" width="8.7109375" style="171" bestFit="1" customWidth="1"/>
    <col min="13060" max="13060" width="8.85546875" style="171" bestFit="1" customWidth="1"/>
    <col min="13061" max="13061" width="8" style="171" bestFit="1" customWidth="1"/>
    <col min="13062" max="13062" width="9" style="171" bestFit="1" customWidth="1"/>
    <col min="13063" max="13063" width="10.140625" style="171" customWidth="1"/>
    <col min="13064" max="13064" width="11" style="171" bestFit="1" customWidth="1"/>
    <col min="13065" max="13066" width="10.5703125" style="171" bestFit="1" customWidth="1"/>
    <col min="13067" max="13067" width="9.85546875" style="171" customWidth="1"/>
    <col min="13068" max="13068" width="11.5703125" style="171" customWidth="1"/>
    <col min="13069" max="13069" width="11.42578125" style="171" customWidth="1"/>
    <col min="13070" max="13070" width="10.140625" style="171" customWidth="1"/>
    <col min="13071" max="13071" width="10.28515625" style="171" bestFit="1" customWidth="1"/>
    <col min="13072" max="13072" width="12.140625" style="171" bestFit="1" customWidth="1"/>
    <col min="13073" max="13073" width="12" style="171" bestFit="1" customWidth="1"/>
    <col min="13074" max="13074" width="12.140625" style="171" customWidth="1"/>
    <col min="13075" max="13075" width="10.85546875" style="171" customWidth="1"/>
    <col min="13076" max="13076" width="8.85546875" style="171" bestFit="1" customWidth="1"/>
    <col min="13077" max="13077" width="9" style="171" bestFit="1" customWidth="1"/>
    <col min="13078" max="13078" width="8.5703125" style="171" bestFit="1" customWidth="1"/>
    <col min="13079" max="13079" width="7.85546875" style="171" bestFit="1" customWidth="1"/>
    <col min="13080" max="13080" width="10.28515625" style="171" bestFit="1" customWidth="1"/>
    <col min="13081" max="13081" width="11.85546875" style="171" bestFit="1" customWidth="1"/>
    <col min="13082" max="13082" width="11.7109375" style="171" bestFit="1" customWidth="1"/>
    <col min="13083" max="13083" width="13.140625" style="171" bestFit="1" customWidth="1"/>
    <col min="13084" max="13084" width="5.5703125" style="171" bestFit="1" customWidth="1"/>
    <col min="13085" max="13085" width="10" style="171" bestFit="1" customWidth="1"/>
    <col min="13086" max="13087" width="14" style="171" bestFit="1" customWidth="1"/>
    <col min="13088" max="13089" width="13.140625" style="171" bestFit="1" customWidth="1"/>
    <col min="13090" max="13090" width="14" style="171" bestFit="1" customWidth="1"/>
    <col min="13091" max="13094" width="9.28515625" style="171" bestFit="1" customWidth="1"/>
    <col min="13095" max="13096" width="11.7109375" style="171" bestFit="1" customWidth="1"/>
    <col min="13097" max="13097" width="9.28515625" style="171" bestFit="1" customWidth="1"/>
    <col min="13098" max="13098" width="11.7109375" style="171" bestFit="1" customWidth="1"/>
    <col min="13099" max="13099" width="13.140625" style="171" bestFit="1" customWidth="1"/>
    <col min="13100" max="13101" width="11.7109375" style="171" bestFit="1" customWidth="1"/>
    <col min="13102" max="13102" width="9.28515625" style="171" bestFit="1" customWidth="1"/>
    <col min="13103" max="13103" width="13.140625" style="171" bestFit="1" customWidth="1"/>
    <col min="13104" max="13104" width="9.28515625" style="171" bestFit="1" customWidth="1"/>
    <col min="13105" max="13106" width="13.140625" style="171" bestFit="1" customWidth="1"/>
    <col min="13107" max="13107" width="14.85546875" style="171" bestFit="1" customWidth="1"/>
    <col min="13108" max="13312" width="9.140625" style="171"/>
    <col min="13313" max="13313" width="9.28515625" style="171" customWidth="1"/>
    <col min="13314" max="13314" width="8.85546875" style="171" bestFit="1" customWidth="1"/>
    <col min="13315" max="13315" width="8.7109375" style="171" bestFit="1" customWidth="1"/>
    <col min="13316" max="13316" width="8.85546875" style="171" bestFit="1" customWidth="1"/>
    <col min="13317" max="13317" width="8" style="171" bestFit="1" customWidth="1"/>
    <col min="13318" max="13318" width="9" style="171" bestFit="1" customWidth="1"/>
    <col min="13319" max="13319" width="10.140625" style="171" customWidth="1"/>
    <col min="13320" max="13320" width="11" style="171" bestFit="1" customWidth="1"/>
    <col min="13321" max="13322" width="10.5703125" style="171" bestFit="1" customWidth="1"/>
    <col min="13323" max="13323" width="9.85546875" style="171" customWidth="1"/>
    <col min="13324" max="13324" width="11.5703125" style="171" customWidth="1"/>
    <col min="13325" max="13325" width="11.42578125" style="171" customWidth="1"/>
    <col min="13326" max="13326" width="10.140625" style="171" customWidth="1"/>
    <col min="13327" max="13327" width="10.28515625" style="171" bestFit="1" customWidth="1"/>
    <col min="13328" max="13328" width="12.140625" style="171" bestFit="1" customWidth="1"/>
    <col min="13329" max="13329" width="12" style="171" bestFit="1" customWidth="1"/>
    <col min="13330" max="13330" width="12.140625" style="171" customWidth="1"/>
    <col min="13331" max="13331" width="10.85546875" style="171" customWidth="1"/>
    <col min="13332" max="13332" width="8.85546875" style="171" bestFit="1" customWidth="1"/>
    <col min="13333" max="13333" width="9" style="171" bestFit="1" customWidth="1"/>
    <col min="13334" max="13334" width="8.5703125" style="171" bestFit="1" customWidth="1"/>
    <col min="13335" max="13335" width="7.85546875" style="171" bestFit="1" customWidth="1"/>
    <col min="13336" max="13336" width="10.28515625" style="171" bestFit="1" customWidth="1"/>
    <col min="13337" max="13337" width="11.85546875" style="171" bestFit="1" customWidth="1"/>
    <col min="13338" max="13338" width="11.7109375" style="171" bestFit="1" customWidth="1"/>
    <col min="13339" max="13339" width="13.140625" style="171" bestFit="1" customWidth="1"/>
    <col min="13340" max="13340" width="5.5703125" style="171" bestFit="1" customWidth="1"/>
    <col min="13341" max="13341" width="10" style="171" bestFit="1" customWidth="1"/>
    <col min="13342" max="13343" width="14" style="171" bestFit="1" customWidth="1"/>
    <col min="13344" max="13345" width="13.140625" style="171" bestFit="1" customWidth="1"/>
    <col min="13346" max="13346" width="14" style="171" bestFit="1" customWidth="1"/>
    <col min="13347" max="13350" width="9.28515625" style="171" bestFit="1" customWidth="1"/>
    <col min="13351" max="13352" width="11.7109375" style="171" bestFit="1" customWidth="1"/>
    <col min="13353" max="13353" width="9.28515625" style="171" bestFit="1" customWidth="1"/>
    <col min="13354" max="13354" width="11.7109375" style="171" bestFit="1" customWidth="1"/>
    <col min="13355" max="13355" width="13.140625" style="171" bestFit="1" customWidth="1"/>
    <col min="13356" max="13357" width="11.7109375" style="171" bestFit="1" customWidth="1"/>
    <col min="13358" max="13358" width="9.28515625" style="171" bestFit="1" customWidth="1"/>
    <col min="13359" max="13359" width="13.140625" style="171" bestFit="1" customWidth="1"/>
    <col min="13360" max="13360" width="9.28515625" style="171" bestFit="1" customWidth="1"/>
    <col min="13361" max="13362" width="13.140625" style="171" bestFit="1" customWidth="1"/>
    <col min="13363" max="13363" width="14.85546875" style="171" bestFit="1" customWidth="1"/>
    <col min="13364" max="13568" width="9.140625" style="171"/>
    <col min="13569" max="13569" width="9.28515625" style="171" customWidth="1"/>
    <col min="13570" max="13570" width="8.85546875" style="171" bestFit="1" customWidth="1"/>
    <col min="13571" max="13571" width="8.7109375" style="171" bestFit="1" customWidth="1"/>
    <col min="13572" max="13572" width="8.85546875" style="171" bestFit="1" customWidth="1"/>
    <col min="13573" max="13573" width="8" style="171" bestFit="1" customWidth="1"/>
    <col min="13574" max="13574" width="9" style="171" bestFit="1" customWidth="1"/>
    <col min="13575" max="13575" width="10.140625" style="171" customWidth="1"/>
    <col min="13576" max="13576" width="11" style="171" bestFit="1" customWidth="1"/>
    <col min="13577" max="13578" width="10.5703125" style="171" bestFit="1" customWidth="1"/>
    <col min="13579" max="13579" width="9.85546875" style="171" customWidth="1"/>
    <col min="13580" max="13580" width="11.5703125" style="171" customWidth="1"/>
    <col min="13581" max="13581" width="11.42578125" style="171" customWidth="1"/>
    <col min="13582" max="13582" width="10.140625" style="171" customWidth="1"/>
    <col min="13583" max="13583" width="10.28515625" style="171" bestFit="1" customWidth="1"/>
    <col min="13584" max="13584" width="12.140625" style="171" bestFit="1" customWidth="1"/>
    <col min="13585" max="13585" width="12" style="171" bestFit="1" customWidth="1"/>
    <col min="13586" max="13586" width="12.140625" style="171" customWidth="1"/>
    <col min="13587" max="13587" width="10.85546875" style="171" customWidth="1"/>
    <col min="13588" max="13588" width="8.85546875" style="171" bestFit="1" customWidth="1"/>
    <col min="13589" max="13589" width="9" style="171" bestFit="1" customWidth="1"/>
    <col min="13590" max="13590" width="8.5703125" style="171" bestFit="1" customWidth="1"/>
    <col min="13591" max="13591" width="7.85546875" style="171" bestFit="1" customWidth="1"/>
    <col min="13592" max="13592" width="10.28515625" style="171" bestFit="1" customWidth="1"/>
    <col min="13593" max="13593" width="11.85546875" style="171" bestFit="1" customWidth="1"/>
    <col min="13594" max="13594" width="11.7109375" style="171" bestFit="1" customWidth="1"/>
    <col min="13595" max="13595" width="13.140625" style="171" bestFit="1" customWidth="1"/>
    <col min="13596" max="13596" width="5.5703125" style="171" bestFit="1" customWidth="1"/>
    <col min="13597" max="13597" width="10" style="171" bestFit="1" customWidth="1"/>
    <col min="13598" max="13599" width="14" style="171" bestFit="1" customWidth="1"/>
    <col min="13600" max="13601" width="13.140625" style="171" bestFit="1" customWidth="1"/>
    <col min="13602" max="13602" width="14" style="171" bestFit="1" customWidth="1"/>
    <col min="13603" max="13606" width="9.28515625" style="171" bestFit="1" customWidth="1"/>
    <col min="13607" max="13608" width="11.7109375" style="171" bestFit="1" customWidth="1"/>
    <col min="13609" max="13609" width="9.28515625" style="171" bestFit="1" customWidth="1"/>
    <col min="13610" max="13610" width="11.7109375" style="171" bestFit="1" customWidth="1"/>
    <col min="13611" max="13611" width="13.140625" style="171" bestFit="1" customWidth="1"/>
    <col min="13612" max="13613" width="11.7109375" style="171" bestFit="1" customWidth="1"/>
    <col min="13614" max="13614" width="9.28515625" style="171" bestFit="1" customWidth="1"/>
    <col min="13615" max="13615" width="13.140625" style="171" bestFit="1" customWidth="1"/>
    <col min="13616" max="13616" width="9.28515625" style="171" bestFit="1" customWidth="1"/>
    <col min="13617" max="13618" width="13.140625" style="171" bestFit="1" customWidth="1"/>
    <col min="13619" max="13619" width="14.85546875" style="171" bestFit="1" customWidth="1"/>
    <col min="13620" max="13824" width="9.140625" style="171"/>
    <col min="13825" max="13825" width="9.28515625" style="171" customWidth="1"/>
    <col min="13826" max="13826" width="8.85546875" style="171" bestFit="1" customWidth="1"/>
    <col min="13827" max="13827" width="8.7109375" style="171" bestFit="1" customWidth="1"/>
    <col min="13828" max="13828" width="8.85546875" style="171" bestFit="1" customWidth="1"/>
    <col min="13829" max="13829" width="8" style="171" bestFit="1" customWidth="1"/>
    <col min="13830" max="13830" width="9" style="171" bestFit="1" customWidth="1"/>
    <col min="13831" max="13831" width="10.140625" style="171" customWidth="1"/>
    <col min="13832" max="13832" width="11" style="171" bestFit="1" customWidth="1"/>
    <col min="13833" max="13834" width="10.5703125" style="171" bestFit="1" customWidth="1"/>
    <col min="13835" max="13835" width="9.85546875" style="171" customWidth="1"/>
    <col min="13836" max="13836" width="11.5703125" style="171" customWidth="1"/>
    <col min="13837" max="13837" width="11.42578125" style="171" customWidth="1"/>
    <col min="13838" max="13838" width="10.140625" style="171" customWidth="1"/>
    <col min="13839" max="13839" width="10.28515625" style="171" bestFit="1" customWidth="1"/>
    <col min="13840" max="13840" width="12.140625" style="171" bestFit="1" customWidth="1"/>
    <col min="13841" max="13841" width="12" style="171" bestFit="1" customWidth="1"/>
    <col min="13842" max="13842" width="12.140625" style="171" customWidth="1"/>
    <col min="13843" max="13843" width="10.85546875" style="171" customWidth="1"/>
    <col min="13844" max="13844" width="8.85546875" style="171" bestFit="1" customWidth="1"/>
    <col min="13845" max="13845" width="9" style="171" bestFit="1" customWidth="1"/>
    <col min="13846" max="13846" width="8.5703125" style="171" bestFit="1" customWidth="1"/>
    <col min="13847" max="13847" width="7.85546875" style="171" bestFit="1" customWidth="1"/>
    <col min="13848" max="13848" width="10.28515625" style="171" bestFit="1" customWidth="1"/>
    <col min="13849" max="13849" width="11.85546875" style="171" bestFit="1" customWidth="1"/>
    <col min="13850" max="13850" width="11.7109375" style="171" bestFit="1" customWidth="1"/>
    <col min="13851" max="13851" width="13.140625" style="171" bestFit="1" customWidth="1"/>
    <col min="13852" max="13852" width="5.5703125" style="171" bestFit="1" customWidth="1"/>
    <col min="13853" max="13853" width="10" style="171" bestFit="1" customWidth="1"/>
    <col min="13854" max="13855" width="14" style="171" bestFit="1" customWidth="1"/>
    <col min="13856" max="13857" width="13.140625" style="171" bestFit="1" customWidth="1"/>
    <col min="13858" max="13858" width="14" style="171" bestFit="1" customWidth="1"/>
    <col min="13859" max="13862" width="9.28515625" style="171" bestFit="1" customWidth="1"/>
    <col min="13863" max="13864" width="11.7109375" style="171" bestFit="1" customWidth="1"/>
    <col min="13865" max="13865" width="9.28515625" style="171" bestFit="1" customWidth="1"/>
    <col min="13866" max="13866" width="11.7109375" style="171" bestFit="1" customWidth="1"/>
    <col min="13867" max="13867" width="13.140625" style="171" bestFit="1" customWidth="1"/>
    <col min="13868" max="13869" width="11.7109375" style="171" bestFit="1" customWidth="1"/>
    <col min="13870" max="13870" width="9.28515625" style="171" bestFit="1" customWidth="1"/>
    <col min="13871" max="13871" width="13.140625" style="171" bestFit="1" customWidth="1"/>
    <col min="13872" max="13872" width="9.28515625" style="171" bestFit="1" customWidth="1"/>
    <col min="13873" max="13874" width="13.140625" style="171" bestFit="1" customWidth="1"/>
    <col min="13875" max="13875" width="14.85546875" style="171" bestFit="1" customWidth="1"/>
    <col min="13876" max="14080" width="9.140625" style="171"/>
    <col min="14081" max="14081" width="9.28515625" style="171" customWidth="1"/>
    <col min="14082" max="14082" width="8.85546875" style="171" bestFit="1" customWidth="1"/>
    <col min="14083" max="14083" width="8.7109375" style="171" bestFit="1" customWidth="1"/>
    <col min="14084" max="14084" width="8.85546875" style="171" bestFit="1" customWidth="1"/>
    <col min="14085" max="14085" width="8" style="171" bestFit="1" customWidth="1"/>
    <col min="14086" max="14086" width="9" style="171" bestFit="1" customWidth="1"/>
    <col min="14087" max="14087" width="10.140625" style="171" customWidth="1"/>
    <col min="14088" max="14088" width="11" style="171" bestFit="1" customWidth="1"/>
    <col min="14089" max="14090" width="10.5703125" style="171" bestFit="1" customWidth="1"/>
    <col min="14091" max="14091" width="9.85546875" style="171" customWidth="1"/>
    <col min="14092" max="14092" width="11.5703125" style="171" customWidth="1"/>
    <col min="14093" max="14093" width="11.42578125" style="171" customWidth="1"/>
    <col min="14094" max="14094" width="10.140625" style="171" customWidth="1"/>
    <col min="14095" max="14095" width="10.28515625" style="171" bestFit="1" customWidth="1"/>
    <col min="14096" max="14096" width="12.140625" style="171" bestFit="1" customWidth="1"/>
    <col min="14097" max="14097" width="12" style="171" bestFit="1" customWidth="1"/>
    <col min="14098" max="14098" width="12.140625" style="171" customWidth="1"/>
    <col min="14099" max="14099" width="10.85546875" style="171" customWidth="1"/>
    <col min="14100" max="14100" width="8.85546875" style="171" bestFit="1" customWidth="1"/>
    <col min="14101" max="14101" width="9" style="171" bestFit="1" customWidth="1"/>
    <col min="14102" max="14102" width="8.5703125" style="171" bestFit="1" customWidth="1"/>
    <col min="14103" max="14103" width="7.85546875" style="171" bestFit="1" customWidth="1"/>
    <col min="14104" max="14104" width="10.28515625" style="171" bestFit="1" customWidth="1"/>
    <col min="14105" max="14105" width="11.85546875" style="171" bestFit="1" customWidth="1"/>
    <col min="14106" max="14106" width="11.7109375" style="171" bestFit="1" customWidth="1"/>
    <col min="14107" max="14107" width="13.140625" style="171" bestFit="1" customWidth="1"/>
    <col min="14108" max="14108" width="5.5703125" style="171" bestFit="1" customWidth="1"/>
    <col min="14109" max="14109" width="10" style="171" bestFit="1" customWidth="1"/>
    <col min="14110" max="14111" width="14" style="171" bestFit="1" customWidth="1"/>
    <col min="14112" max="14113" width="13.140625" style="171" bestFit="1" customWidth="1"/>
    <col min="14114" max="14114" width="14" style="171" bestFit="1" customWidth="1"/>
    <col min="14115" max="14118" width="9.28515625" style="171" bestFit="1" customWidth="1"/>
    <col min="14119" max="14120" width="11.7109375" style="171" bestFit="1" customWidth="1"/>
    <col min="14121" max="14121" width="9.28515625" style="171" bestFit="1" customWidth="1"/>
    <col min="14122" max="14122" width="11.7109375" style="171" bestFit="1" customWidth="1"/>
    <col min="14123" max="14123" width="13.140625" style="171" bestFit="1" customWidth="1"/>
    <col min="14124" max="14125" width="11.7109375" style="171" bestFit="1" customWidth="1"/>
    <col min="14126" max="14126" width="9.28515625" style="171" bestFit="1" customWidth="1"/>
    <col min="14127" max="14127" width="13.140625" style="171" bestFit="1" customWidth="1"/>
    <col min="14128" max="14128" width="9.28515625" style="171" bestFit="1" customWidth="1"/>
    <col min="14129" max="14130" width="13.140625" style="171" bestFit="1" customWidth="1"/>
    <col min="14131" max="14131" width="14.85546875" style="171" bestFit="1" customWidth="1"/>
    <col min="14132" max="14336" width="9.140625" style="171"/>
    <col min="14337" max="14337" width="9.28515625" style="171" customWidth="1"/>
    <col min="14338" max="14338" width="8.85546875" style="171" bestFit="1" customWidth="1"/>
    <col min="14339" max="14339" width="8.7109375" style="171" bestFit="1" customWidth="1"/>
    <col min="14340" max="14340" width="8.85546875" style="171" bestFit="1" customWidth="1"/>
    <col min="14341" max="14341" width="8" style="171" bestFit="1" customWidth="1"/>
    <col min="14342" max="14342" width="9" style="171" bestFit="1" customWidth="1"/>
    <col min="14343" max="14343" width="10.140625" style="171" customWidth="1"/>
    <col min="14344" max="14344" width="11" style="171" bestFit="1" customWidth="1"/>
    <col min="14345" max="14346" width="10.5703125" style="171" bestFit="1" customWidth="1"/>
    <col min="14347" max="14347" width="9.85546875" style="171" customWidth="1"/>
    <col min="14348" max="14348" width="11.5703125" style="171" customWidth="1"/>
    <col min="14349" max="14349" width="11.42578125" style="171" customWidth="1"/>
    <col min="14350" max="14350" width="10.140625" style="171" customWidth="1"/>
    <col min="14351" max="14351" width="10.28515625" style="171" bestFit="1" customWidth="1"/>
    <col min="14352" max="14352" width="12.140625" style="171" bestFit="1" customWidth="1"/>
    <col min="14353" max="14353" width="12" style="171" bestFit="1" customWidth="1"/>
    <col min="14354" max="14354" width="12.140625" style="171" customWidth="1"/>
    <col min="14355" max="14355" width="10.85546875" style="171" customWidth="1"/>
    <col min="14356" max="14356" width="8.85546875" style="171" bestFit="1" customWidth="1"/>
    <col min="14357" max="14357" width="9" style="171" bestFit="1" customWidth="1"/>
    <col min="14358" max="14358" width="8.5703125" style="171" bestFit="1" customWidth="1"/>
    <col min="14359" max="14359" width="7.85546875" style="171" bestFit="1" customWidth="1"/>
    <col min="14360" max="14360" width="10.28515625" style="171" bestFit="1" customWidth="1"/>
    <col min="14361" max="14361" width="11.85546875" style="171" bestFit="1" customWidth="1"/>
    <col min="14362" max="14362" width="11.7109375" style="171" bestFit="1" customWidth="1"/>
    <col min="14363" max="14363" width="13.140625" style="171" bestFit="1" customWidth="1"/>
    <col min="14364" max="14364" width="5.5703125" style="171" bestFit="1" customWidth="1"/>
    <col min="14365" max="14365" width="10" style="171" bestFit="1" customWidth="1"/>
    <col min="14366" max="14367" width="14" style="171" bestFit="1" customWidth="1"/>
    <col min="14368" max="14369" width="13.140625" style="171" bestFit="1" customWidth="1"/>
    <col min="14370" max="14370" width="14" style="171" bestFit="1" customWidth="1"/>
    <col min="14371" max="14374" width="9.28515625" style="171" bestFit="1" customWidth="1"/>
    <col min="14375" max="14376" width="11.7109375" style="171" bestFit="1" customWidth="1"/>
    <col min="14377" max="14377" width="9.28515625" style="171" bestFit="1" customWidth="1"/>
    <col min="14378" max="14378" width="11.7109375" style="171" bestFit="1" customWidth="1"/>
    <col min="14379" max="14379" width="13.140625" style="171" bestFit="1" customWidth="1"/>
    <col min="14380" max="14381" width="11.7109375" style="171" bestFit="1" customWidth="1"/>
    <col min="14382" max="14382" width="9.28515625" style="171" bestFit="1" customWidth="1"/>
    <col min="14383" max="14383" width="13.140625" style="171" bestFit="1" customWidth="1"/>
    <col min="14384" max="14384" width="9.28515625" style="171" bestFit="1" customWidth="1"/>
    <col min="14385" max="14386" width="13.140625" style="171" bestFit="1" customWidth="1"/>
    <col min="14387" max="14387" width="14.85546875" style="171" bestFit="1" customWidth="1"/>
    <col min="14388" max="14592" width="9.140625" style="171"/>
    <col min="14593" max="14593" width="9.28515625" style="171" customWidth="1"/>
    <col min="14594" max="14594" width="8.85546875" style="171" bestFit="1" customWidth="1"/>
    <col min="14595" max="14595" width="8.7109375" style="171" bestFit="1" customWidth="1"/>
    <col min="14596" max="14596" width="8.85546875" style="171" bestFit="1" customWidth="1"/>
    <col min="14597" max="14597" width="8" style="171" bestFit="1" customWidth="1"/>
    <col min="14598" max="14598" width="9" style="171" bestFit="1" customWidth="1"/>
    <col min="14599" max="14599" width="10.140625" style="171" customWidth="1"/>
    <col min="14600" max="14600" width="11" style="171" bestFit="1" customWidth="1"/>
    <col min="14601" max="14602" width="10.5703125" style="171" bestFit="1" customWidth="1"/>
    <col min="14603" max="14603" width="9.85546875" style="171" customWidth="1"/>
    <col min="14604" max="14604" width="11.5703125" style="171" customWidth="1"/>
    <col min="14605" max="14605" width="11.42578125" style="171" customWidth="1"/>
    <col min="14606" max="14606" width="10.140625" style="171" customWidth="1"/>
    <col min="14607" max="14607" width="10.28515625" style="171" bestFit="1" customWidth="1"/>
    <col min="14608" max="14608" width="12.140625" style="171" bestFit="1" customWidth="1"/>
    <col min="14609" max="14609" width="12" style="171" bestFit="1" customWidth="1"/>
    <col min="14610" max="14610" width="12.140625" style="171" customWidth="1"/>
    <col min="14611" max="14611" width="10.85546875" style="171" customWidth="1"/>
    <col min="14612" max="14612" width="8.85546875" style="171" bestFit="1" customWidth="1"/>
    <col min="14613" max="14613" width="9" style="171" bestFit="1" customWidth="1"/>
    <col min="14614" max="14614" width="8.5703125" style="171" bestFit="1" customWidth="1"/>
    <col min="14615" max="14615" width="7.85546875" style="171" bestFit="1" customWidth="1"/>
    <col min="14616" max="14616" width="10.28515625" style="171" bestFit="1" customWidth="1"/>
    <col min="14617" max="14617" width="11.85546875" style="171" bestFit="1" customWidth="1"/>
    <col min="14618" max="14618" width="11.7109375" style="171" bestFit="1" customWidth="1"/>
    <col min="14619" max="14619" width="13.140625" style="171" bestFit="1" customWidth="1"/>
    <col min="14620" max="14620" width="5.5703125" style="171" bestFit="1" customWidth="1"/>
    <col min="14621" max="14621" width="10" style="171" bestFit="1" customWidth="1"/>
    <col min="14622" max="14623" width="14" style="171" bestFit="1" customWidth="1"/>
    <col min="14624" max="14625" width="13.140625" style="171" bestFit="1" customWidth="1"/>
    <col min="14626" max="14626" width="14" style="171" bestFit="1" customWidth="1"/>
    <col min="14627" max="14630" width="9.28515625" style="171" bestFit="1" customWidth="1"/>
    <col min="14631" max="14632" width="11.7109375" style="171" bestFit="1" customWidth="1"/>
    <col min="14633" max="14633" width="9.28515625" style="171" bestFit="1" customWidth="1"/>
    <col min="14634" max="14634" width="11.7109375" style="171" bestFit="1" customWidth="1"/>
    <col min="14635" max="14635" width="13.140625" style="171" bestFit="1" customWidth="1"/>
    <col min="14636" max="14637" width="11.7109375" style="171" bestFit="1" customWidth="1"/>
    <col min="14638" max="14638" width="9.28515625" style="171" bestFit="1" customWidth="1"/>
    <col min="14639" max="14639" width="13.140625" style="171" bestFit="1" customWidth="1"/>
    <col min="14640" max="14640" width="9.28515625" style="171" bestFit="1" customWidth="1"/>
    <col min="14641" max="14642" width="13.140625" style="171" bestFit="1" customWidth="1"/>
    <col min="14643" max="14643" width="14.85546875" style="171" bestFit="1" customWidth="1"/>
    <col min="14644" max="14848" width="9.140625" style="171"/>
    <col min="14849" max="14849" width="9.28515625" style="171" customWidth="1"/>
    <col min="14850" max="14850" width="8.85546875" style="171" bestFit="1" customWidth="1"/>
    <col min="14851" max="14851" width="8.7109375" style="171" bestFit="1" customWidth="1"/>
    <col min="14852" max="14852" width="8.85546875" style="171" bestFit="1" customWidth="1"/>
    <col min="14853" max="14853" width="8" style="171" bestFit="1" customWidth="1"/>
    <col min="14854" max="14854" width="9" style="171" bestFit="1" customWidth="1"/>
    <col min="14855" max="14855" width="10.140625" style="171" customWidth="1"/>
    <col min="14856" max="14856" width="11" style="171" bestFit="1" customWidth="1"/>
    <col min="14857" max="14858" width="10.5703125" style="171" bestFit="1" customWidth="1"/>
    <col min="14859" max="14859" width="9.85546875" style="171" customWidth="1"/>
    <col min="14860" max="14860" width="11.5703125" style="171" customWidth="1"/>
    <col min="14861" max="14861" width="11.42578125" style="171" customWidth="1"/>
    <col min="14862" max="14862" width="10.140625" style="171" customWidth="1"/>
    <col min="14863" max="14863" width="10.28515625" style="171" bestFit="1" customWidth="1"/>
    <col min="14864" max="14864" width="12.140625" style="171" bestFit="1" customWidth="1"/>
    <col min="14865" max="14865" width="12" style="171" bestFit="1" customWidth="1"/>
    <col min="14866" max="14866" width="12.140625" style="171" customWidth="1"/>
    <col min="14867" max="14867" width="10.85546875" style="171" customWidth="1"/>
    <col min="14868" max="14868" width="8.85546875" style="171" bestFit="1" customWidth="1"/>
    <col min="14869" max="14869" width="9" style="171" bestFit="1" customWidth="1"/>
    <col min="14870" max="14870" width="8.5703125" style="171" bestFit="1" customWidth="1"/>
    <col min="14871" max="14871" width="7.85546875" style="171" bestFit="1" customWidth="1"/>
    <col min="14872" max="14872" width="10.28515625" style="171" bestFit="1" customWidth="1"/>
    <col min="14873" max="14873" width="11.85546875" style="171" bestFit="1" customWidth="1"/>
    <col min="14874" max="14874" width="11.7109375" style="171" bestFit="1" customWidth="1"/>
    <col min="14875" max="14875" width="13.140625" style="171" bestFit="1" customWidth="1"/>
    <col min="14876" max="14876" width="5.5703125" style="171" bestFit="1" customWidth="1"/>
    <col min="14877" max="14877" width="10" style="171" bestFit="1" customWidth="1"/>
    <col min="14878" max="14879" width="14" style="171" bestFit="1" customWidth="1"/>
    <col min="14880" max="14881" width="13.140625" style="171" bestFit="1" customWidth="1"/>
    <col min="14882" max="14882" width="14" style="171" bestFit="1" customWidth="1"/>
    <col min="14883" max="14886" width="9.28515625" style="171" bestFit="1" customWidth="1"/>
    <col min="14887" max="14888" width="11.7109375" style="171" bestFit="1" customWidth="1"/>
    <col min="14889" max="14889" width="9.28515625" style="171" bestFit="1" customWidth="1"/>
    <col min="14890" max="14890" width="11.7109375" style="171" bestFit="1" customWidth="1"/>
    <col min="14891" max="14891" width="13.140625" style="171" bestFit="1" customWidth="1"/>
    <col min="14892" max="14893" width="11.7109375" style="171" bestFit="1" customWidth="1"/>
    <col min="14894" max="14894" width="9.28515625" style="171" bestFit="1" customWidth="1"/>
    <col min="14895" max="14895" width="13.140625" style="171" bestFit="1" customWidth="1"/>
    <col min="14896" max="14896" width="9.28515625" style="171" bestFit="1" customWidth="1"/>
    <col min="14897" max="14898" width="13.140625" style="171" bestFit="1" customWidth="1"/>
    <col min="14899" max="14899" width="14.85546875" style="171" bestFit="1" customWidth="1"/>
    <col min="14900" max="15104" width="9.140625" style="171"/>
    <col min="15105" max="15105" width="9.28515625" style="171" customWidth="1"/>
    <col min="15106" max="15106" width="8.85546875" style="171" bestFit="1" customWidth="1"/>
    <col min="15107" max="15107" width="8.7109375" style="171" bestFit="1" customWidth="1"/>
    <col min="15108" max="15108" width="8.85546875" style="171" bestFit="1" customWidth="1"/>
    <col min="15109" max="15109" width="8" style="171" bestFit="1" customWidth="1"/>
    <col min="15110" max="15110" width="9" style="171" bestFit="1" customWidth="1"/>
    <col min="15111" max="15111" width="10.140625" style="171" customWidth="1"/>
    <col min="15112" max="15112" width="11" style="171" bestFit="1" customWidth="1"/>
    <col min="15113" max="15114" width="10.5703125" style="171" bestFit="1" customWidth="1"/>
    <col min="15115" max="15115" width="9.85546875" style="171" customWidth="1"/>
    <col min="15116" max="15116" width="11.5703125" style="171" customWidth="1"/>
    <col min="15117" max="15117" width="11.42578125" style="171" customWidth="1"/>
    <col min="15118" max="15118" width="10.140625" style="171" customWidth="1"/>
    <col min="15119" max="15119" width="10.28515625" style="171" bestFit="1" customWidth="1"/>
    <col min="15120" max="15120" width="12.140625" style="171" bestFit="1" customWidth="1"/>
    <col min="15121" max="15121" width="12" style="171" bestFit="1" customWidth="1"/>
    <col min="15122" max="15122" width="12.140625" style="171" customWidth="1"/>
    <col min="15123" max="15123" width="10.85546875" style="171" customWidth="1"/>
    <col min="15124" max="15124" width="8.85546875" style="171" bestFit="1" customWidth="1"/>
    <col min="15125" max="15125" width="9" style="171" bestFit="1" customWidth="1"/>
    <col min="15126" max="15126" width="8.5703125" style="171" bestFit="1" customWidth="1"/>
    <col min="15127" max="15127" width="7.85546875" style="171" bestFit="1" customWidth="1"/>
    <col min="15128" max="15128" width="10.28515625" style="171" bestFit="1" customWidth="1"/>
    <col min="15129" max="15129" width="11.85546875" style="171" bestFit="1" customWidth="1"/>
    <col min="15130" max="15130" width="11.7109375" style="171" bestFit="1" customWidth="1"/>
    <col min="15131" max="15131" width="13.140625" style="171" bestFit="1" customWidth="1"/>
    <col min="15132" max="15132" width="5.5703125" style="171" bestFit="1" customWidth="1"/>
    <col min="15133" max="15133" width="10" style="171" bestFit="1" customWidth="1"/>
    <col min="15134" max="15135" width="14" style="171" bestFit="1" customWidth="1"/>
    <col min="15136" max="15137" width="13.140625" style="171" bestFit="1" customWidth="1"/>
    <col min="15138" max="15138" width="14" style="171" bestFit="1" customWidth="1"/>
    <col min="15139" max="15142" width="9.28515625" style="171" bestFit="1" customWidth="1"/>
    <col min="15143" max="15144" width="11.7109375" style="171" bestFit="1" customWidth="1"/>
    <col min="15145" max="15145" width="9.28515625" style="171" bestFit="1" customWidth="1"/>
    <col min="15146" max="15146" width="11.7109375" style="171" bestFit="1" customWidth="1"/>
    <col min="15147" max="15147" width="13.140625" style="171" bestFit="1" customWidth="1"/>
    <col min="15148" max="15149" width="11.7109375" style="171" bestFit="1" customWidth="1"/>
    <col min="15150" max="15150" width="9.28515625" style="171" bestFit="1" customWidth="1"/>
    <col min="15151" max="15151" width="13.140625" style="171" bestFit="1" customWidth="1"/>
    <col min="15152" max="15152" width="9.28515625" style="171" bestFit="1" customWidth="1"/>
    <col min="15153" max="15154" width="13.140625" style="171" bestFit="1" customWidth="1"/>
    <col min="15155" max="15155" width="14.85546875" style="171" bestFit="1" customWidth="1"/>
    <col min="15156" max="15360" width="9.140625" style="171"/>
    <col min="15361" max="15361" width="9.28515625" style="171" customWidth="1"/>
    <col min="15362" max="15362" width="8.85546875" style="171" bestFit="1" customWidth="1"/>
    <col min="15363" max="15363" width="8.7109375" style="171" bestFit="1" customWidth="1"/>
    <col min="15364" max="15364" width="8.85546875" style="171" bestFit="1" customWidth="1"/>
    <col min="15365" max="15365" width="8" style="171" bestFit="1" customWidth="1"/>
    <col min="15366" max="15366" width="9" style="171" bestFit="1" customWidth="1"/>
    <col min="15367" max="15367" width="10.140625" style="171" customWidth="1"/>
    <col min="15368" max="15368" width="11" style="171" bestFit="1" customWidth="1"/>
    <col min="15369" max="15370" width="10.5703125" style="171" bestFit="1" customWidth="1"/>
    <col min="15371" max="15371" width="9.85546875" style="171" customWidth="1"/>
    <col min="15372" max="15372" width="11.5703125" style="171" customWidth="1"/>
    <col min="15373" max="15373" width="11.42578125" style="171" customWidth="1"/>
    <col min="15374" max="15374" width="10.140625" style="171" customWidth="1"/>
    <col min="15375" max="15375" width="10.28515625" style="171" bestFit="1" customWidth="1"/>
    <col min="15376" max="15376" width="12.140625" style="171" bestFit="1" customWidth="1"/>
    <col min="15377" max="15377" width="12" style="171" bestFit="1" customWidth="1"/>
    <col min="15378" max="15378" width="12.140625" style="171" customWidth="1"/>
    <col min="15379" max="15379" width="10.85546875" style="171" customWidth="1"/>
    <col min="15380" max="15380" width="8.85546875" style="171" bestFit="1" customWidth="1"/>
    <col min="15381" max="15381" width="9" style="171" bestFit="1" customWidth="1"/>
    <col min="15382" max="15382" width="8.5703125" style="171" bestFit="1" customWidth="1"/>
    <col min="15383" max="15383" width="7.85546875" style="171" bestFit="1" customWidth="1"/>
    <col min="15384" max="15384" width="10.28515625" style="171" bestFit="1" customWidth="1"/>
    <col min="15385" max="15385" width="11.85546875" style="171" bestFit="1" customWidth="1"/>
    <col min="15386" max="15386" width="11.7109375" style="171" bestFit="1" customWidth="1"/>
    <col min="15387" max="15387" width="13.140625" style="171" bestFit="1" customWidth="1"/>
    <col min="15388" max="15388" width="5.5703125" style="171" bestFit="1" customWidth="1"/>
    <col min="15389" max="15389" width="10" style="171" bestFit="1" customWidth="1"/>
    <col min="15390" max="15391" width="14" style="171" bestFit="1" customWidth="1"/>
    <col min="15392" max="15393" width="13.140625" style="171" bestFit="1" customWidth="1"/>
    <col min="15394" max="15394" width="14" style="171" bestFit="1" customWidth="1"/>
    <col min="15395" max="15398" width="9.28515625" style="171" bestFit="1" customWidth="1"/>
    <col min="15399" max="15400" width="11.7109375" style="171" bestFit="1" customWidth="1"/>
    <col min="15401" max="15401" width="9.28515625" style="171" bestFit="1" customWidth="1"/>
    <col min="15402" max="15402" width="11.7109375" style="171" bestFit="1" customWidth="1"/>
    <col min="15403" max="15403" width="13.140625" style="171" bestFit="1" customWidth="1"/>
    <col min="15404" max="15405" width="11.7109375" style="171" bestFit="1" customWidth="1"/>
    <col min="15406" max="15406" width="9.28515625" style="171" bestFit="1" customWidth="1"/>
    <col min="15407" max="15407" width="13.140625" style="171" bestFit="1" customWidth="1"/>
    <col min="15408" max="15408" width="9.28515625" style="171" bestFit="1" customWidth="1"/>
    <col min="15409" max="15410" width="13.140625" style="171" bestFit="1" customWidth="1"/>
    <col min="15411" max="15411" width="14.85546875" style="171" bestFit="1" customWidth="1"/>
    <col min="15412" max="15616" width="9.140625" style="171"/>
    <col min="15617" max="15617" width="9.28515625" style="171" customWidth="1"/>
    <col min="15618" max="15618" width="8.85546875" style="171" bestFit="1" customWidth="1"/>
    <col min="15619" max="15619" width="8.7109375" style="171" bestFit="1" customWidth="1"/>
    <col min="15620" max="15620" width="8.85546875" style="171" bestFit="1" customWidth="1"/>
    <col min="15621" max="15621" width="8" style="171" bestFit="1" customWidth="1"/>
    <col min="15622" max="15622" width="9" style="171" bestFit="1" customWidth="1"/>
    <col min="15623" max="15623" width="10.140625" style="171" customWidth="1"/>
    <col min="15624" max="15624" width="11" style="171" bestFit="1" customWidth="1"/>
    <col min="15625" max="15626" width="10.5703125" style="171" bestFit="1" customWidth="1"/>
    <col min="15627" max="15627" width="9.85546875" style="171" customWidth="1"/>
    <col min="15628" max="15628" width="11.5703125" style="171" customWidth="1"/>
    <col min="15629" max="15629" width="11.42578125" style="171" customWidth="1"/>
    <col min="15630" max="15630" width="10.140625" style="171" customWidth="1"/>
    <col min="15631" max="15631" width="10.28515625" style="171" bestFit="1" customWidth="1"/>
    <col min="15632" max="15632" width="12.140625" style="171" bestFit="1" customWidth="1"/>
    <col min="15633" max="15633" width="12" style="171" bestFit="1" customWidth="1"/>
    <col min="15634" max="15634" width="12.140625" style="171" customWidth="1"/>
    <col min="15635" max="15635" width="10.85546875" style="171" customWidth="1"/>
    <col min="15636" max="15636" width="8.85546875" style="171" bestFit="1" customWidth="1"/>
    <col min="15637" max="15637" width="9" style="171" bestFit="1" customWidth="1"/>
    <col min="15638" max="15638" width="8.5703125" style="171" bestFit="1" customWidth="1"/>
    <col min="15639" max="15639" width="7.85546875" style="171" bestFit="1" customWidth="1"/>
    <col min="15640" max="15640" width="10.28515625" style="171" bestFit="1" customWidth="1"/>
    <col min="15641" max="15641" width="11.85546875" style="171" bestFit="1" customWidth="1"/>
    <col min="15642" max="15642" width="11.7109375" style="171" bestFit="1" customWidth="1"/>
    <col min="15643" max="15643" width="13.140625" style="171" bestFit="1" customWidth="1"/>
    <col min="15644" max="15644" width="5.5703125" style="171" bestFit="1" customWidth="1"/>
    <col min="15645" max="15645" width="10" style="171" bestFit="1" customWidth="1"/>
    <col min="15646" max="15647" width="14" style="171" bestFit="1" customWidth="1"/>
    <col min="15648" max="15649" width="13.140625" style="171" bestFit="1" customWidth="1"/>
    <col min="15650" max="15650" width="14" style="171" bestFit="1" customWidth="1"/>
    <col min="15651" max="15654" width="9.28515625" style="171" bestFit="1" customWidth="1"/>
    <col min="15655" max="15656" width="11.7109375" style="171" bestFit="1" customWidth="1"/>
    <col min="15657" max="15657" width="9.28515625" style="171" bestFit="1" customWidth="1"/>
    <col min="15658" max="15658" width="11.7109375" style="171" bestFit="1" customWidth="1"/>
    <col min="15659" max="15659" width="13.140625" style="171" bestFit="1" customWidth="1"/>
    <col min="15660" max="15661" width="11.7109375" style="171" bestFit="1" customWidth="1"/>
    <col min="15662" max="15662" width="9.28515625" style="171" bestFit="1" customWidth="1"/>
    <col min="15663" max="15663" width="13.140625" style="171" bestFit="1" customWidth="1"/>
    <col min="15664" max="15664" width="9.28515625" style="171" bestFit="1" customWidth="1"/>
    <col min="15665" max="15666" width="13.140625" style="171" bestFit="1" customWidth="1"/>
    <col min="15667" max="15667" width="14.85546875" style="171" bestFit="1" customWidth="1"/>
    <col min="15668" max="15872" width="9.140625" style="171"/>
    <col min="15873" max="15873" width="9.28515625" style="171" customWidth="1"/>
    <col min="15874" max="15874" width="8.85546875" style="171" bestFit="1" customWidth="1"/>
    <col min="15875" max="15875" width="8.7109375" style="171" bestFit="1" customWidth="1"/>
    <col min="15876" max="15876" width="8.85546875" style="171" bestFit="1" customWidth="1"/>
    <col min="15877" max="15877" width="8" style="171" bestFit="1" customWidth="1"/>
    <col min="15878" max="15878" width="9" style="171" bestFit="1" customWidth="1"/>
    <col min="15879" max="15879" width="10.140625" style="171" customWidth="1"/>
    <col min="15880" max="15880" width="11" style="171" bestFit="1" customWidth="1"/>
    <col min="15881" max="15882" width="10.5703125" style="171" bestFit="1" customWidth="1"/>
    <col min="15883" max="15883" width="9.85546875" style="171" customWidth="1"/>
    <col min="15884" max="15884" width="11.5703125" style="171" customWidth="1"/>
    <col min="15885" max="15885" width="11.42578125" style="171" customWidth="1"/>
    <col min="15886" max="15886" width="10.140625" style="171" customWidth="1"/>
    <col min="15887" max="15887" width="10.28515625" style="171" bestFit="1" customWidth="1"/>
    <col min="15888" max="15888" width="12.140625" style="171" bestFit="1" customWidth="1"/>
    <col min="15889" max="15889" width="12" style="171" bestFit="1" customWidth="1"/>
    <col min="15890" max="15890" width="12.140625" style="171" customWidth="1"/>
    <col min="15891" max="15891" width="10.85546875" style="171" customWidth="1"/>
    <col min="15892" max="15892" width="8.85546875" style="171" bestFit="1" customWidth="1"/>
    <col min="15893" max="15893" width="9" style="171" bestFit="1" customWidth="1"/>
    <col min="15894" max="15894" width="8.5703125" style="171" bestFit="1" customWidth="1"/>
    <col min="15895" max="15895" width="7.85546875" style="171" bestFit="1" customWidth="1"/>
    <col min="15896" max="15896" width="10.28515625" style="171" bestFit="1" customWidth="1"/>
    <col min="15897" max="15897" width="11.85546875" style="171" bestFit="1" customWidth="1"/>
    <col min="15898" max="15898" width="11.7109375" style="171" bestFit="1" customWidth="1"/>
    <col min="15899" max="15899" width="13.140625" style="171" bestFit="1" customWidth="1"/>
    <col min="15900" max="15900" width="5.5703125" style="171" bestFit="1" customWidth="1"/>
    <col min="15901" max="15901" width="10" style="171" bestFit="1" customWidth="1"/>
    <col min="15902" max="15903" width="14" style="171" bestFit="1" customWidth="1"/>
    <col min="15904" max="15905" width="13.140625" style="171" bestFit="1" customWidth="1"/>
    <col min="15906" max="15906" width="14" style="171" bestFit="1" customWidth="1"/>
    <col min="15907" max="15910" width="9.28515625" style="171" bestFit="1" customWidth="1"/>
    <col min="15911" max="15912" width="11.7109375" style="171" bestFit="1" customWidth="1"/>
    <col min="15913" max="15913" width="9.28515625" style="171" bestFit="1" customWidth="1"/>
    <col min="15914" max="15914" width="11.7109375" style="171" bestFit="1" customWidth="1"/>
    <col min="15915" max="15915" width="13.140625" style="171" bestFit="1" customWidth="1"/>
    <col min="15916" max="15917" width="11.7109375" style="171" bestFit="1" customWidth="1"/>
    <col min="15918" max="15918" width="9.28515625" style="171" bestFit="1" customWidth="1"/>
    <col min="15919" max="15919" width="13.140625" style="171" bestFit="1" customWidth="1"/>
    <col min="15920" max="15920" width="9.28515625" style="171" bestFit="1" customWidth="1"/>
    <col min="15921" max="15922" width="13.140625" style="171" bestFit="1" customWidth="1"/>
    <col min="15923" max="15923" width="14.85546875" style="171" bestFit="1" customWidth="1"/>
    <col min="15924" max="16128" width="9.140625" style="171"/>
    <col min="16129" max="16129" width="9.28515625" style="171" customWidth="1"/>
    <col min="16130" max="16130" width="8.85546875" style="171" bestFit="1" customWidth="1"/>
    <col min="16131" max="16131" width="8.7109375" style="171" bestFit="1" customWidth="1"/>
    <col min="16132" max="16132" width="8.85546875" style="171" bestFit="1" customWidth="1"/>
    <col min="16133" max="16133" width="8" style="171" bestFit="1" customWidth="1"/>
    <col min="16134" max="16134" width="9" style="171" bestFit="1" customWidth="1"/>
    <col min="16135" max="16135" width="10.140625" style="171" customWidth="1"/>
    <col min="16136" max="16136" width="11" style="171" bestFit="1" customWidth="1"/>
    <col min="16137" max="16138" width="10.5703125" style="171" bestFit="1" customWidth="1"/>
    <col min="16139" max="16139" width="9.85546875" style="171" customWidth="1"/>
    <col min="16140" max="16140" width="11.5703125" style="171" customWidth="1"/>
    <col min="16141" max="16141" width="11.42578125" style="171" customWidth="1"/>
    <col min="16142" max="16142" width="10.140625" style="171" customWidth="1"/>
    <col min="16143" max="16143" width="10.28515625" style="171" bestFit="1" customWidth="1"/>
    <col min="16144" max="16144" width="12.140625" style="171" bestFit="1" customWidth="1"/>
    <col min="16145" max="16145" width="12" style="171" bestFit="1" customWidth="1"/>
    <col min="16146" max="16146" width="12.140625" style="171" customWidth="1"/>
    <col min="16147" max="16147" width="10.85546875" style="171" customWidth="1"/>
    <col min="16148" max="16148" width="8.85546875" style="171" bestFit="1" customWidth="1"/>
    <col min="16149" max="16149" width="9" style="171" bestFit="1" customWidth="1"/>
    <col min="16150" max="16150" width="8.5703125" style="171" bestFit="1" customWidth="1"/>
    <col min="16151" max="16151" width="7.85546875" style="171" bestFit="1" customWidth="1"/>
    <col min="16152" max="16152" width="10.28515625" style="171" bestFit="1" customWidth="1"/>
    <col min="16153" max="16153" width="11.85546875" style="171" bestFit="1" customWidth="1"/>
    <col min="16154" max="16154" width="11.7109375" style="171" bestFit="1" customWidth="1"/>
    <col min="16155" max="16155" width="13.140625" style="171" bestFit="1" customWidth="1"/>
    <col min="16156" max="16156" width="5.5703125" style="171" bestFit="1" customWidth="1"/>
    <col min="16157" max="16157" width="10" style="171" bestFit="1" customWidth="1"/>
    <col min="16158" max="16159" width="14" style="171" bestFit="1" customWidth="1"/>
    <col min="16160" max="16161" width="13.140625" style="171" bestFit="1" customWidth="1"/>
    <col min="16162" max="16162" width="14" style="171" bestFit="1" customWidth="1"/>
    <col min="16163" max="16166" width="9.28515625" style="171" bestFit="1" customWidth="1"/>
    <col min="16167" max="16168" width="11.7109375" style="171" bestFit="1" customWidth="1"/>
    <col min="16169" max="16169" width="9.28515625" style="171" bestFit="1" customWidth="1"/>
    <col min="16170" max="16170" width="11.7109375" style="171" bestFit="1" customWidth="1"/>
    <col min="16171" max="16171" width="13.140625" style="171" bestFit="1" customWidth="1"/>
    <col min="16172" max="16173" width="11.7109375" style="171" bestFit="1" customWidth="1"/>
    <col min="16174" max="16174" width="9.28515625" style="171" bestFit="1" customWidth="1"/>
    <col min="16175" max="16175" width="13.140625" style="171" bestFit="1" customWidth="1"/>
    <col min="16176" max="16176" width="9.28515625" style="171" bestFit="1" customWidth="1"/>
    <col min="16177" max="16178" width="13.140625" style="171" bestFit="1" customWidth="1"/>
    <col min="16179" max="16179" width="14.85546875" style="171" bestFit="1" customWidth="1"/>
    <col min="16180" max="16384" width="9.140625" style="171"/>
  </cols>
  <sheetData>
    <row r="1" spans="1:38" ht="24.75" customHeight="1">
      <c r="A1" s="3212" t="s">
        <v>183</v>
      </c>
      <c r="B1" s="3212"/>
      <c r="C1" s="3212"/>
      <c r="D1" s="3212"/>
      <c r="E1" s="3212"/>
      <c r="F1" s="3212"/>
      <c r="G1" s="3212"/>
      <c r="H1" s="3212"/>
      <c r="I1" s="3212"/>
      <c r="J1" s="3212"/>
      <c r="K1" s="3212"/>
      <c r="L1" s="3212"/>
      <c r="M1" s="3212"/>
      <c r="N1" s="3212"/>
      <c r="O1" s="3212"/>
      <c r="P1" s="3212"/>
      <c r="Q1" s="3212"/>
      <c r="R1" s="3212"/>
      <c r="S1" s="3212"/>
      <c r="T1" s="3212"/>
      <c r="U1" s="3212"/>
      <c r="V1" s="3212"/>
      <c r="W1" s="3212"/>
      <c r="X1" s="3212"/>
      <c r="Y1" s="3212"/>
    </row>
    <row r="2" spans="1:38" ht="15" hidden="1" customHeight="1">
      <c r="A2" s="172"/>
    </row>
    <row r="3" spans="1:38" ht="15.75" customHeight="1" thickBot="1">
      <c r="Y3" s="173" t="s">
        <v>74</v>
      </c>
    </row>
    <row r="4" spans="1:38" ht="18" customHeight="1" thickTop="1" thickBot="1">
      <c r="A4" s="174" t="s">
        <v>184</v>
      </c>
      <c r="B4" s="175" t="s">
        <v>185</v>
      </c>
      <c r="C4" s="176"/>
      <c r="D4" s="176"/>
      <c r="E4" s="177"/>
      <c r="F4" s="178" t="s">
        <v>186</v>
      </c>
      <c r="G4" s="176"/>
      <c r="H4" s="176"/>
      <c r="I4" s="176"/>
      <c r="J4" s="176"/>
      <c r="K4" s="177"/>
      <c r="L4" s="178" t="s">
        <v>187</v>
      </c>
      <c r="M4" s="176"/>
      <c r="N4" s="176"/>
      <c r="O4" s="177"/>
      <c r="P4" s="178" t="s">
        <v>188</v>
      </c>
      <c r="Q4" s="178"/>
      <c r="R4" s="178"/>
      <c r="S4" s="178"/>
      <c r="T4" s="179"/>
      <c r="U4" s="180" t="s">
        <v>189</v>
      </c>
      <c r="V4" s="181" t="s">
        <v>190</v>
      </c>
      <c r="W4" s="182" t="s">
        <v>191</v>
      </c>
      <c r="X4" s="183" t="s">
        <v>192</v>
      </c>
      <c r="Y4" s="183" t="s">
        <v>193</v>
      </c>
    </row>
    <row r="5" spans="1:38" ht="15" customHeight="1">
      <c r="A5" s="184" t="s">
        <v>194</v>
      </c>
      <c r="B5" s="185" t="s">
        <v>195</v>
      </c>
      <c r="C5" s="186" t="s">
        <v>196</v>
      </c>
      <c r="D5" s="186" t="s">
        <v>197</v>
      </c>
      <c r="E5" s="187" t="s">
        <v>198</v>
      </c>
      <c r="F5" s="188" t="s">
        <v>196</v>
      </c>
      <c r="G5" s="186" t="s">
        <v>199</v>
      </c>
      <c r="H5" s="186" t="s">
        <v>200</v>
      </c>
      <c r="I5" s="186" t="s">
        <v>200</v>
      </c>
      <c r="J5" s="186" t="s">
        <v>201</v>
      </c>
      <c r="K5" s="189" t="s">
        <v>198</v>
      </c>
      <c r="L5" s="188" t="s">
        <v>202</v>
      </c>
      <c r="M5" s="186" t="s">
        <v>203</v>
      </c>
      <c r="N5" s="185" t="s">
        <v>204</v>
      </c>
      <c r="O5" s="187" t="s">
        <v>198</v>
      </c>
      <c r="P5" s="188" t="s">
        <v>205</v>
      </c>
      <c r="Q5" s="186" t="s">
        <v>206</v>
      </c>
      <c r="R5" s="186" t="s">
        <v>201</v>
      </c>
      <c r="S5" s="186" t="s">
        <v>207</v>
      </c>
      <c r="T5" s="187" t="s">
        <v>198</v>
      </c>
      <c r="U5" s="190" t="s">
        <v>208</v>
      </c>
      <c r="V5" s="191" t="s">
        <v>209</v>
      </c>
      <c r="W5" s="192" t="s">
        <v>210</v>
      </c>
      <c r="X5" s="193" t="s">
        <v>7</v>
      </c>
      <c r="Y5" s="193" t="s">
        <v>211</v>
      </c>
    </row>
    <row r="6" spans="1:38" ht="15" customHeight="1">
      <c r="A6" s="184" t="s">
        <v>212</v>
      </c>
      <c r="B6" s="194" t="s">
        <v>213</v>
      </c>
      <c r="C6" s="195" t="s">
        <v>214</v>
      </c>
      <c r="D6" s="195" t="s">
        <v>215</v>
      </c>
      <c r="E6" s="196"/>
      <c r="F6" s="197" t="s">
        <v>216</v>
      </c>
      <c r="G6" s="195" t="s">
        <v>206</v>
      </c>
      <c r="H6" s="195" t="s">
        <v>217</v>
      </c>
      <c r="I6" s="195" t="s">
        <v>218</v>
      </c>
      <c r="J6" s="195" t="s">
        <v>219</v>
      </c>
      <c r="K6" s="196"/>
      <c r="L6" s="197" t="s">
        <v>206</v>
      </c>
      <c r="M6" s="195" t="s">
        <v>217</v>
      </c>
      <c r="N6" s="194"/>
      <c r="O6" s="198" t="s">
        <v>28</v>
      </c>
      <c r="P6" s="197" t="s">
        <v>220</v>
      </c>
      <c r="Q6" s="195" t="s">
        <v>221</v>
      </c>
      <c r="R6" s="195" t="s">
        <v>222</v>
      </c>
      <c r="S6" s="195" t="s">
        <v>223</v>
      </c>
      <c r="T6" s="198" t="s">
        <v>28</v>
      </c>
      <c r="U6" s="190" t="s">
        <v>224</v>
      </c>
      <c r="V6" s="199" t="s">
        <v>225</v>
      </c>
      <c r="W6" s="192"/>
      <c r="X6" s="193"/>
      <c r="Y6" s="193" t="s">
        <v>226</v>
      </c>
    </row>
    <row r="7" spans="1:38" ht="15" customHeight="1">
      <c r="A7" s="184"/>
      <c r="B7" s="194" t="s">
        <v>227</v>
      </c>
      <c r="C7" s="195" t="s">
        <v>197</v>
      </c>
      <c r="D7" s="195" t="s">
        <v>206</v>
      </c>
      <c r="E7" s="198"/>
      <c r="F7" s="197" t="s">
        <v>225</v>
      </c>
      <c r="G7" s="195" t="s">
        <v>228</v>
      </c>
      <c r="H7" s="195"/>
      <c r="I7" s="195" t="s">
        <v>222</v>
      </c>
      <c r="J7" s="195" t="s">
        <v>215</v>
      </c>
      <c r="K7" s="198"/>
      <c r="L7" s="197"/>
      <c r="M7" s="195"/>
      <c r="N7" s="194"/>
      <c r="O7" s="198"/>
      <c r="P7" s="197" t="s">
        <v>222</v>
      </c>
      <c r="Q7" s="195" t="s">
        <v>229</v>
      </c>
      <c r="R7" s="195" t="s">
        <v>204</v>
      </c>
      <c r="S7" s="195" t="s">
        <v>222</v>
      </c>
      <c r="T7" s="198"/>
      <c r="U7" s="190" t="s">
        <v>230</v>
      </c>
      <c r="V7" s="199" t="s">
        <v>213</v>
      </c>
      <c r="W7" s="192"/>
      <c r="X7" s="193"/>
      <c r="Y7" s="193" t="s">
        <v>231</v>
      </c>
    </row>
    <row r="8" spans="1:38" ht="15.75">
      <c r="A8" s="200"/>
      <c r="B8" s="201"/>
      <c r="C8" s="202" t="s">
        <v>215</v>
      </c>
      <c r="D8" s="202"/>
      <c r="E8" s="203"/>
      <c r="F8" s="204" t="s">
        <v>232</v>
      </c>
      <c r="G8" s="202"/>
      <c r="H8" s="202"/>
      <c r="I8" s="202" t="s">
        <v>233</v>
      </c>
      <c r="J8" s="202"/>
      <c r="K8" s="203"/>
      <c r="L8" s="204"/>
      <c r="M8" s="202"/>
      <c r="N8" s="201"/>
      <c r="O8" s="203"/>
      <c r="P8" s="204" t="s">
        <v>228</v>
      </c>
      <c r="Q8" s="202"/>
      <c r="R8" s="202"/>
      <c r="S8" s="202" t="s">
        <v>234</v>
      </c>
      <c r="T8" s="203"/>
      <c r="U8" s="205" t="s">
        <v>235</v>
      </c>
      <c r="V8" s="206" t="s">
        <v>215</v>
      </c>
      <c r="W8" s="207"/>
      <c r="X8" s="208"/>
      <c r="Y8" s="208"/>
    </row>
    <row r="9" spans="1:38" ht="17.100000000000001" hidden="1" customHeight="1">
      <c r="A9" s="209"/>
      <c r="B9" s="210"/>
      <c r="C9" s="211"/>
      <c r="D9" s="211"/>
      <c r="E9" s="212"/>
      <c r="F9" s="213"/>
      <c r="G9" s="211"/>
      <c r="H9" s="211"/>
      <c r="I9" s="211"/>
      <c r="J9" s="211"/>
      <c r="K9" s="212"/>
      <c r="L9" s="213"/>
      <c r="M9" s="211"/>
      <c r="N9" s="210"/>
      <c r="O9" s="212"/>
      <c r="P9" s="213"/>
      <c r="Q9" s="211"/>
      <c r="R9" s="211"/>
      <c r="S9" s="211"/>
      <c r="T9" s="212"/>
      <c r="U9" s="214"/>
      <c r="V9" s="210"/>
      <c r="W9" s="215"/>
      <c r="X9" s="216"/>
      <c r="Y9" s="217"/>
      <c r="Z9" s="218"/>
      <c r="AA9" s="218"/>
    </row>
    <row r="10" spans="1:38" ht="17.100000000000001" hidden="1" customHeight="1">
      <c r="A10" s="219">
        <v>38504</v>
      </c>
      <c r="B10" s="210">
        <v>2288.2717847100002</v>
      </c>
      <c r="C10" s="210">
        <v>5972.1277568715004</v>
      </c>
      <c r="D10" s="210">
        <v>4734.9080789999998</v>
      </c>
      <c r="E10" s="212">
        <f>B10+C10+D10</f>
        <v>12995.307620581501</v>
      </c>
      <c r="F10" s="210">
        <v>129366.85213971259</v>
      </c>
      <c r="G10" s="210">
        <v>2812.8223654527296</v>
      </c>
      <c r="H10" s="210">
        <v>15167.746466234499</v>
      </c>
      <c r="I10" s="210">
        <v>122.33018281741701</v>
      </c>
      <c r="J10" s="210">
        <v>82878.777472506103</v>
      </c>
      <c r="K10" s="212">
        <f>F10+G10+H10+I10+J10</f>
        <v>230348.52862672333</v>
      </c>
      <c r="L10" s="220">
        <v>35182.513720000003</v>
      </c>
      <c r="M10" s="210">
        <v>5783.6478650999898</v>
      </c>
      <c r="N10" s="210">
        <v>0</v>
      </c>
      <c r="O10" s="212">
        <f>L10+M10+N10</f>
        <v>40966.161585099995</v>
      </c>
      <c r="P10" s="210">
        <v>1116.7134366550001</v>
      </c>
      <c r="Q10" s="210">
        <v>2360.1966436374341</v>
      </c>
      <c r="R10" s="210">
        <f>26667.064+54006.021+13389.573</f>
        <v>94062.657999999996</v>
      </c>
      <c r="S10" s="210">
        <v>7526.8785190311874</v>
      </c>
      <c r="T10" s="221">
        <f>P10+Q10+R10+S10</f>
        <v>105066.44659932362</v>
      </c>
      <c r="U10" s="222">
        <v>7497.9530000000004</v>
      </c>
      <c r="V10" s="210">
        <v>1512.1059738003121</v>
      </c>
      <c r="W10" s="215">
        <v>18325.518465607453</v>
      </c>
      <c r="X10" s="216">
        <f>E10+K10+O10+T10+U10+V10+W10</f>
        <v>416712.02187113615</v>
      </c>
      <c r="Y10" s="217">
        <v>32121.923720025588</v>
      </c>
      <c r="Z10" s="223"/>
      <c r="AA10" s="224"/>
      <c r="AB10" s="225"/>
      <c r="AC10" s="226"/>
      <c r="AD10" s="223"/>
      <c r="AE10" s="223"/>
      <c r="AF10" s="223"/>
      <c r="AG10" s="223"/>
      <c r="AH10" s="226"/>
      <c r="AI10" s="223"/>
      <c r="AJ10" s="223"/>
      <c r="AK10" s="226"/>
      <c r="AL10" s="223"/>
    </row>
    <row r="11" spans="1:38" ht="17.100000000000001" hidden="1" customHeight="1">
      <c r="A11" s="219">
        <v>38534</v>
      </c>
      <c r="B11" s="210">
        <v>2182.6022840099904</v>
      </c>
      <c r="C11" s="210">
        <v>5537.2912004899999</v>
      </c>
      <c r="D11" s="210">
        <v>4648.4409097099997</v>
      </c>
      <c r="E11" s="212">
        <f>B11+C11+D11</f>
        <v>12368.334394209989</v>
      </c>
      <c r="F11" s="210">
        <v>106932.14125260898</v>
      </c>
      <c r="G11" s="210">
        <v>2728.8233098945484</v>
      </c>
      <c r="H11" s="210">
        <v>15628.423862450032</v>
      </c>
      <c r="I11" s="210">
        <v>191.66818607283855</v>
      </c>
      <c r="J11" s="210">
        <v>87298.249134641694</v>
      </c>
      <c r="K11" s="212">
        <f>F11+G11+H11+I11+J11</f>
        <v>212779.3057456681</v>
      </c>
      <c r="L11" s="220">
        <v>35570.310312699999</v>
      </c>
      <c r="M11" s="210">
        <v>5783.5782971000008</v>
      </c>
      <c r="N11" s="210">
        <v>0</v>
      </c>
      <c r="O11" s="212">
        <f>L11+M11+N11</f>
        <v>41353.8886098</v>
      </c>
      <c r="P11" s="210">
        <v>1175.4904637646</v>
      </c>
      <c r="Q11" s="210">
        <v>2339.9240077602749</v>
      </c>
      <c r="R11" s="210">
        <f>26896.664+54719.357+13590.666</f>
        <v>95206.687000000005</v>
      </c>
      <c r="S11" s="210">
        <v>7665.8803094183022</v>
      </c>
      <c r="T11" s="221">
        <f>P11+Q11+R11+S11</f>
        <v>106387.98178094317</v>
      </c>
      <c r="U11" s="222">
        <v>7801.2190000000001</v>
      </c>
      <c r="V11" s="210">
        <v>837.93906105580174</v>
      </c>
      <c r="W11" s="215">
        <v>18756.698307650244</v>
      </c>
      <c r="X11" s="216">
        <f>E11+K11+O11+T11+U11+V11+W11</f>
        <v>400285.36689932726</v>
      </c>
      <c r="Y11" s="217">
        <v>32038.359271389618</v>
      </c>
      <c r="Z11" s="223"/>
      <c r="AA11" s="224"/>
      <c r="AB11" s="225"/>
      <c r="AC11" s="226"/>
      <c r="AD11" s="223"/>
      <c r="AE11" s="223"/>
      <c r="AF11" s="223"/>
      <c r="AG11" s="223"/>
      <c r="AH11" s="226"/>
      <c r="AI11" s="223"/>
      <c r="AJ11" s="223"/>
      <c r="AK11" s="226"/>
      <c r="AL11" s="223"/>
    </row>
    <row r="12" spans="1:38" ht="17.100000000000001" hidden="1" customHeight="1">
      <c r="A12" s="219">
        <v>38565</v>
      </c>
      <c r="B12" s="210">
        <v>2489.22817979</v>
      </c>
      <c r="C12" s="210">
        <v>6434.5690999379904</v>
      </c>
      <c r="D12" s="210">
        <v>4358.4958489999999</v>
      </c>
      <c r="E12" s="212">
        <f>B12+C12+D12</f>
        <v>13282.29312872799</v>
      </c>
      <c r="F12" s="210">
        <v>122071.33286237679</v>
      </c>
      <c r="G12" s="210">
        <v>2622.5270386860398</v>
      </c>
      <c r="H12" s="210">
        <v>14175.601966948601</v>
      </c>
      <c r="I12" s="210">
        <v>200.20047463637101</v>
      </c>
      <c r="J12" s="210">
        <v>86794.200807258909</v>
      </c>
      <c r="K12" s="212">
        <f>F12+G12+H12+I12+J12</f>
        <v>225863.86314990668</v>
      </c>
      <c r="L12" s="220">
        <v>35102.264468000001</v>
      </c>
      <c r="M12" s="210">
        <v>6081.6695740999903</v>
      </c>
      <c r="N12" s="210">
        <v>0</v>
      </c>
      <c r="O12" s="212">
        <f>L12+M12+N12</f>
        <v>41183.934042099994</v>
      </c>
      <c r="P12" s="210">
        <v>1183.4456973280001</v>
      </c>
      <c r="Q12" s="210">
        <v>2433.1727125282878</v>
      </c>
      <c r="R12" s="210">
        <f>26419.928+55918.311+12165.275</f>
        <v>94503.513999999996</v>
      </c>
      <c r="S12" s="210">
        <v>7631.3093009293898</v>
      </c>
      <c r="T12" s="221">
        <f>P12+Q12+R12+S12</f>
        <v>105751.44171078567</v>
      </c>
      <c r="U12" s="222">
        <v>7108.7920000000004</v>
      </c>
      <c r="V12" s="210">
        <v>1354.0606180710001</v>
      </c>
      <c r="W12" s="215">
        <v>19246.723401501218</v>
      </c>
      <c r="X12" s="216">
        <f>E12+K12+O12+T12+U12+V12+W12</f>
        <v>413791.10805109254</v>
      </c>
      <c r="Y12" s="217">
        <v>32879.614792760636</v>
      </c>
      <c r="Z12" s="223"/>
      <c r="AA12" s="224"/>
      <c r="AB12" s="225"/>
      <c r="AC12" s="226"/>
      <c r="AD12" s="223"/>
      <c r="AE12" s="223"/>
      <c r="AF12" s="223"/>
      <c r="AG12" s="223"/>
      <c r="AH12" s="226"/>
      <c r="AI12" s="223"/>
      <c r="AJ12" s="223"/>
      <c r="AK12" s="226"/>
      <c r="AL12" s="223"/>
    </row>
    <row r="13" spans="1:38" ht="17.100000000000001" hidden="1" customHeight="1">
      <c r="A13" s="219">
        <v>38596</v>
      </c>
      <c r="B13" s="210">
        <v>2408.8757292600003</v>
      </c>
      <c r="C13" s="210">
        <v>7026.5167934139999</v>
      </c>
      <c r="D13" s="210">
        <v>3565.3916985800001</v>
      </c>
      <c r="E13" s="212">
        <v>13000.784221254</v>
      </c>
      <c r="F13" s="210">
        <v>131607.30286745905</v>
      </c>
      <c r="G13" s="210">
        <v>2496.7817463853999</v>
      </c>
      <c r="H13" s="210">
        <v>12163.4765707682</v>
      </c>
      <c r="I13" s="210">
        <v>200.45484380619999</v>
      </c>
      <c r="J13" s="210">
        <v>93288.476479194243</v>
      </c>
      <c r="K13" s="212">
        <v>239756.49250761306</v>
      </c>
      <c r="L13" s="220">
        <v>35203.212053270006</v>
      </c>
      <c r="M13" s="210">
        <v>6116.6651956800006</v>
      </c>
      <c r="N13" s="210">
        <v>0</v>
      </c>
      <c r="O13" s="212">
        <v>41319.877248950004</v>
      </c>
      <c r="P13" s="210">
        <v>1139.7882688926002</v>
      </c>
      <c r="Q13" s="210">
        <v>2444.50542632</v>
      </c>
      <c r="R13" s="210">
        <v>98050.858321134641</v>
      </c>
      <c r="S13" s="210">
        <v>7508.6622417702001</v>
      </c>
      <c r="T13" s="221">
        <v>109143.81425811745</v>
      </c>
      <c r="U13" s="222">
        <v>6592.9799866106259</v>
      </c>
      <c r="V13" s="210">
        <v>1030.93450178137</v>
      </c>
      <c r="W13" s="215">
        <v>20507.168710179547</v>
      </c>
      <c r="X13" s="216">
        <v>431352.04143450601</v>
      </c>
      <c r="Y13" s="217">
        <v>33981.7640653204</v>
      </c>
      <c r="Z13" s="223"/>
      <c r="AA13" s="224"/>
      <c r="AB13" s="225"/>
      <c r="AC13" s="226"/>
      <c r="AD13" s="223"/>
      <c r="AE13" s="223"/>
      <c r="AF13" s="223"/>
      <c r="AG13" s="223"/>
      <c r="AH13" s="226"/>
      <c r="AI13" s="223"/>
      <c r="AJ13" s="223"/>
      <c r="AK13" s="226"/>
      <c r="AL13" s="223"/>
    </row>
    <row r="14" spans="1:38" ht="17.100000000000001" hidden="1" customHeight="1">
      <c r="A14" s="219">
        <v>38626</v>
      </c>
      <c r="B14" s="210">
        <v>2520.6453239899997</v>
      </c>
      <c r="C14" s="210">
        <v>5859.529470456233</v>
      </c>
      <c r="D14" s="210">
        <v>3768.2101037799998</v>
      </c>
      <c r="E14" s="212">
        <v>12148.384898226233</v>
      </c>
      <c r="F14" s="210">
        <v>129248.02928813528</v>
      </c>
      <c r="G14" s="210">
        <v>2954.7450757151864</v>
      </c>
      <c r="H14" s="210">
        <v>11864.010638166543</v>
      </c>
      <c r="I14" s="210">
        <v>309.34550456390002</v>
      </c>
      <c r="J14" s="210">
        <v>91730.663426500119</v>
      </c>
      <c r="K14" s="212">
        <v>236106.79393308103</v>
      </c>
      <c r="L14" s="220">
        <v>34230.179441450004</v>
      </c>
      <c r="M14" s="210">
        <v>6806.6211435499999</v>
      </c>
      <c r="N14" s="210">
        <v>0</v>
      </c>
      <c r="O14" s="212">
        <v>41036.800585000005</v>
      </c>
      <c r="P14" s="210">
        <v>1136.0858658076334</v>
      </c>
      <c r="Q14" s="210">
        <v>2543.27141248</v>
      </c>
      <c r="R14" s="210">
        <v>99932.227386160303</v>
      </c>
      <c r="S14" s="210">
        <v>7395.3844091870642</v>
      </c>
      <c r="T14" s="221">
        <v>111006.969073635</v>
      </c>
      <c r="U14" s="222">
        <v>6877.6386364935524</v>
      </c>
      <c r="V14" s="210">
        <v>997.60526489737686</v>
      </c>
      <c r="W14" s="215">
        <v>22991.683188226856</v>
      </c>
      <c r="X14" s="216">
        <v>431165.87557956006</v>
      </c>
      <c r="Y14" s="217">
        <v>34587.292841753748</v>
      </c>
      <c r="Z14" s="223"/>
      <c r="AA14" s="224"/>
      <c r="AB14" s="225"/>
      <c r="AC14" s="226"/>
      <c r="AD14" s="223"/>
      <c r="AE14" s="223"/>
      <c r="AF14" s="223"/>
      <c r="AG14" s="223"/>
      <c r="AH14" s="226"/>
      <c r="AI14" s="223"/>
      <c r="AJ14" s="223"/>
      <c r="AK14" s="226"/>
      <c r="AL14" s="223"/>
    </row>
    <row r="15" spans="1:38" ht="17.100000000000001" hidden="1" customHeight="1">
      <c r="A15" s="219">
        <v>38657</v>
      </c>
      <c r="B15" s="210">
        <v>3146.5575425799998</v>
      </c>
      <c r="C15" s="210">
        <v>7077.8004051612006</v>
      </c>
      <c r="D15" s="210">
        <v>3187.9134588699999</v>
      </c>
      <c r="E15" s="212">
        <v>13412.2714066112</v>
      </c>
      <c r="F15" s="210">
        <v>145364.8285057008</v>
      </c>
      <c r="G15" s="210">
        <v>2701.2480393017313</v>
      </c>
      <c r="H15" s="210">
        <v>9738.345893302052</v>
      </c>
      <c r="I15" s="210">
        <v>275.80524239524999</v>
      </c>
      <c r="J15" s="210">
        <v>93714.865041671073</v>
      </c>
      <c r="K15" s="212">
        <v>251795.09272237093</v>
      </c>
      <c r="L15" s="220">
        <v>33624.241317849999</v>
      </c>
      <c r="M15" s="210">
        <v>7186.62554955</v>
      </c>
      <c r="N15" s="210">
        <v>0</v>
      </c>
      <c r="O15" s="212">
        <v>40810.8668674</v>
      </c>
      <c r="P15" s="210">
        <v>1232.7431208513999</v>
      </c>
      <c r="Q15" s="210">
        <v>2659.2428599999998</v>
      </c>
      <c r="R15" s="210">
        <v>101426.66208870323</v>
      </c>
      <c r="S15" s="210">
        <v>7314.8372427051636</v>
      </c>
      <c r="T15" s="221">
        <v>112633.48531225979</v>
      </c>
      <c r="U15" s="222">
        <v>7023.7911593629669</v>
      </c>
      <c r="V15" s="210">
        <v>1619.0114018049062</v>
      </c>
      <c r="W15" s="215">
        <v>23506.659763641754</v>
      </c>
      <c r="X15" s="216">
        <v>450801.17863345146</v>
      </c>
      <c r="Y15" s="217">
        <v>35652.400000000001</v>
      </c>
      <c r="Z15" s="223"/>
      <c r="AA15" s="224"/>
      <c r="AB15" s="225"/>
      <c r="AC15" s="226"/>
      <c r="AD15" s="223"/>
      <c r="AE15" s="223"/>
      <c r="AF15" s="223"/>
      <c r="AG15" s="223"/>
      <c r="AH15" s="226"/>
      <c r="AI15" s="223"/>
      <c r="AJ15" s="223"/>
      <c r="AK15" s="226"/>
      <c r="AL15" s="223"/>
    </row>
    <row r="16" spans="1:38" ht="17.100000000000001" hidden="1" customHeight="1">
      <c r="A16" s="219">
        <v>38687</v>
      </c>
      <c r="B16" s="210">
        <v>3479.7823776300002</v>
      </c>
      <c r="C16" s="210">
        <v>6541.8117668997247</v>
      </c>
      <c r="D16" s="210">
        <v>2998.0775980200001</v>
      </c>
      <c r="E16" s="212">
        <v>13019.671742549725</v>
      </c>
      <c r="F16" s="210">
        <v>130923.76840326407</v>
      </c>
      <c r="G16" s="210">
        <v>2448.8633409771737</v>
      </c>
      <c r="H16" s="210">
        <v>9787.2797315395528</v>
      </c>
      <c r="I16" s="210">
        <v>377.27212851357433</v>
      </c>
      <c r="J16" s="210">
        <v>92862.783091492121</v>
      </c>
      <c r="K16" s="212">
        <v>236399.96669578651</v>
      </c>
      <c r="L16" s="220">
        <v>32994.145168449999</v>
      </c>
      <c r="M16" s="210">
        <v>7928.2053893399998</v>
      </c>
      <c r="N16" s="210">
        <v>0</v>
      </c>
      <c r="O16" s="212">
        <v>40922.35055779</v>
      </c>
      <c r="P16" s="210">
        <v>1217.6658932</v>
      </c>
      <c r="Q16" s="210">
        <v>2675.6347144700003</v>
      </c>
      <c r="R16" s="210">
        <v>104878.50261707332</v>
      </c>
      <c r="S16" s="210">
        <v>7242.4994065856799</v>
      </c>
      <c r="T16" s="221">
        <v>116014.30263132899</v>
      </c>
      <c r="U16" s="222">
        <v>6878.7649459408667</v>
      </c>
      <c r="V16" s="210">
        <v>1505.3700467928934</v>
      </c>
      <c r="W16" s="215">
        <v>25054.77557092705</v>
      </c>
      <c r="X16" s="216">
        <v>439795.20219111606</v>
      </c>
      <c r="Y16" s="217">
        <v>36922.1</v>
      </c>
      <c r="Z16" s="223"/>
      <c r="AA16" s="224"/>
      <c r="AB16" s="225"/>
      <c r="AC16" s="226"/>
      <c r="AD16" s="223"/>
      <c r="AE16" s="223"/>
      <c r="AF16" s="223"/>
      <c r="AG16" s="223"/>
      <c r="AH16" s="226"/>
      <c r="AI16" s="223"/>
      <c r="AJ16" s="223"/>
      <c r="AK16" s="226"/>
      <c r="AL16" s="223"/>
    </row>
    <row r="17" spans="1:38" ht="17.100000000000001" hidden="1" customHeight="1">
      <c r="A17" s="219">
        <v>38718</v>
      </c>
      <c r="B17" s="210">
        <v>2461.2949634000001</v>
      </c>
      <c r="C17" s="210">
        <v>7203.3058494525949</v>
      </c>
      <c r="D17" s="210">
        <v>2232.5159364400001</v>
      </c>
      <c r="E17" s="212">
        <v>11897.116749292596</v>
      </c>
      <c r="F17" s="210">
        <v>135459.50282657592</v>
      </c>
      <c r="G17" s="210">
        <v>2249.3445342491195</v>
      </c>
      <c r="H17" s="210">
        <v>13527.118806693108</v>
      </c>
      <c r="I17" s="210">
        <v>373.37724705835461</v>
      </c>
      <c r="J17" s="210">
        <v>90555.058572084119</v>
      </c>
      <c r="K17" s="212">
        <v>242164.40198666064</v>
      </c>
      <c r="L17" s="220">
        <v>34044.442740749997</v>
      </c>
      <c r="M17" s="210">
        <v>8036.8259754400005</v>
      </c>
      <c r="N17" s="210">
        <v>0</v>
      </c>
      <c r="O17" s="212">
        <v>42081.268716189996</v>
      </c>
      <c r="P17" s="210">
        <v>1211.527538</v>
      </c>
      <c r="Q17" s="210">
        <v>2691.9382723099998</v>
      </c>
      <c r="R17" s="210">
        <v>104199.11284681392</v>
      </c>
      <c r="S17" s="210">
        <v>7262.4369091793042</v>
      </c>
      <c r="T17" s="221">
        <v>115365.01556630323</v>
      </c>
      <c r="U17" s="222">
        <v>6423.5101832495211</v>
      </c>
      <c r="V17" s="210">
        <v>466.67746763246646</v>
      </c>
      <c r="W17" s="215">
        <v>22200.424507039697</v>
      </c>
      <c r="X17" s="216">
        <v>440598.41517636814</v>
      </c>
      <c r="Y17" s="217">
        <v>35270.699999999997</v>
      </c>
      <c r="Z17" s="223"/>
      <c r="AA17" s="224"/>
      <c r="AB17" s="225"/>
      <c r="AC17" s="226"/>
      <c r="AD17" s="223"/>
      <c r="AE17" s="223"/>
      <c r="AF17" s="223"/>
      <c r="AG17" s="223"/>
      <c r="AH17" s="226"/>
      <c r="AI17" s="223"/>
      <c r="AJ17" s="223"/>
      <c r="AK17" s="226"/>
      <c r="AL17" s="223"/>
    </row>
    <row r="18" spans="1:38" ht="17.100000000000001" hidden="1" customHeight="1">
      <c r="A18" s="219">
        <v>38749</v>
      </c>
      <c r="B18" s="210">
        <v>2252.1387837399998</v>
      </c>
      <c r="C18" s="210">
        <v>8092.2151756751528</v>
      </c>
      <c r="D18" s="210">
        <v>2505.0295309899998</v>
      </c>
      <c r="E18" s="212">
        <v>12849.383490405151</v>
      </c>
      <c r="F18" s="210">
        <v>165153.8248474549</v>
      </c>
      <c r="G18" s="210">
        <v>2415.9080339599996</v>
      </c>
      <c r="H18" s="210">
        <v>13450.252800558426</v>
      </c>
      <c r="I18" s="210">
        <v>219.06443970835929</v>
      </c>
      <c r="J18" s="210">
        <v>87216.50841201414</v>
      </c>
      <c r="K18" s="212">
        <v>268455.55853369588</v>
      </c>
      <c r="L18" s="220">
        <v>33002.970195729999</v>
      </c>
      <c r="M18" s="210">
        <v>8707.7046634500002</v>
      </c>
      <c r="N18" s="210">
        <v>0</v>
      </c>
      <c r="O18" s="212">
        <v>41710.674859179999</v>
      </c>
      <c r="P18" s="210">
        <v>1100.9991600000001</v>
      </c>
      <c r="Q18" s="210">
        <v>2640.0586140100004</v>
      </c>
      <c r="R18" s="210">
        <v>104294.52666539834</v>
      </c>
      <c r="S18" s="210">
        <v>7339.2169396084591</v>
      </c>
      <c r="T18" s="221">
        <v>115374.8013790168</v>
      </c>
      <c r="U18" s="222">
        <v>7200.5380797475436</v>
      </c>
      <c r="V18" s="210">
        <v>423.12510398370335</v>
      </c>
      <c r="W18" s="215">
        <v>21634.279333711525</v>
      </c>
      <c r="X18" s="216">
        <v>467648.36077974056</v>
      </c>
      <c r="Y18" s="217">
        <v>35309.4</v>
      </c>
      <c r="Z18" s="223"/>
      <c r="AA18" s="224"/>
      <c r="AB18" s="225"/>
      <c r="AC18" s="226"/>
      <c r="AD18" s="223"/>
      <c r="AE18" s="223"/>
      <c r="AF18" s="223"/>
      <c r="AG18" s="223"/>
      <c r="AH18" s="226"/>
      <c r="AI18" s="223"/>
      <c r="AJ18" s="223"/>
      <c r="AK18" s="226"/>
      <c r="AL18" s="223"/>
    </row>
    <row r="19" spans="1:38" ht="17.100000000000001" hidden="1" customHeight="1">
      <c r="A19" s="219">
        <v>38777</v>
      </c>
      <c r="B19" s="210">
        <v>2081.6240740399999</v>
      </c>
      <c r="C19" s="210">
        <v>8270.0293390243696</v>
      </c>
      <c r="D19" s="210">
        <v>2682.1175181800004</v>
      </c>
      <c r="E19" s="212">
        <v>13033.770931244371</v>
      </c>
      <c r="F19" s="210">
        <v>171399.84189091963</v>
      </c>
      <c r="G19" s="210">
        <v>2254.3925486549997</v>
      </c>
      <c r="H19" s="210">
        <v>11717.867667511015</v>
      </c>
      <c r="I19" s="210">
        <v>161.25055004164199</v>
      </c>
      <c r="J19" s="210">
        <v>90013.443801400645</v>
      </c>
      <c r="K19" s="212">
        <v>275546.79645852797</v>
      </c>
      <c r="L19" s="220">
        <v>33098.899260500002</v>
      </c>
      <c r="M19" s="210">
        <v>9436.5372405100006</v>
      </c>
      <c r="N19" s="210">
        <v>0</v>
      </c>
      <c r="O19" s="212">
        <v>42535.436501010001</v>
      </c>
      <c r="P19" s="210">
        <v>1120.3172509999999</v>
      </c>
      <c r="Q19" s="210">
        <v>2481.0447944099997</v>
      </c>
      <c r="R19" s="210">
        <v>104103.73680890072</v>
      </c>
      <c r="S19" s="210">
        <v>7482.3336678182759</v>
      </c>
      <c r="T19" s="221">
        <v>115187.43252212901</v>
      </c>
      <c r="U19" s="222">
        <v>6845.9948785143124</v>
      </c>
      <c r="V19" s="210">
        <v>302.0573856692356</v>
      </c>
      <c r="W19" s="215">
        <v>21179.26149790686</v>
      </c>
      <c r="X19" s="216">
        <v>474630.7501750018</v>
      </c>
      <c r="Y19" s="217">
        <v>35490.6</v>
      </c>
      <c r="Z19" s="223"/>
      <c r="AA19" s="224"/>
      <c r="AB19" s="225"/>
      <c r="AC19" s="226"/>
      <c r="AD19" s="223"/>
      <c r="AE19" s="223"/>
      <c r="AF19" s="223"/>
      <c r="AG19" s="223"/>
      <c r="AH19" s="226"/>
      <c r="AI19" s="223"/>
      <c r="AJ19" s="223"/>
      <c r="AK19" s="226"/>
      <c r="AL19" s="223"/>
    </row>
    <row r="20" spans="1:38" ht="17.100000000000001" hidden="1" customHeight="1">
      <c r="A20" s="219">
        <v>38808</v>
      </c>
      <c r="B20" s="210">
        <v>2095.1863662300002</v>
      </c>
      <c r="C20" s="210">
        <v>7897.5823385438034</v>
      </c>
      <c r="D20" s="210">
        <v>2794.2032276</v>
      </c>
      <c r="E20" s="212">
        <v>12786.971932373803</v>
      </c>
      <c r="F20" s="210">
        <v>157516.93182815996</v>
      </c>
      <c r="G20" s="210">
        <v>2158.9802008124993</v>
      </c>
      <c r="H20" s="210">
        <v>8774.2584898367859</v>
      </c>
      <c r="I20" s="210">
        <v>230.56122725347973</v>
      </c>
      <c r="J20" s="210">
        <v>96038.493018348745</v>
      </c>
      <c r="K20" s="212">
        <v>264719.22476441151</v>
      </c>
      <c r="L20" s="220">
        <v>32176.16664784</v>
      </c>
      <c r="M20" s="210">
        <v>9773.8861174500016</v>
      </c>
      <c r="N20" s="210">
        <v>0</v>
      </c>
      <c r="O20" s="212">
        <v>41950.052765290005</v>
      </c>
      <c r="P20" s="210">
        <v>1082.3308818400001</v>
      </c>
      <c r="Q20" s="210">
        <v>2413.8414631400001</v>
      </c>
      <c r="R20" s="210">
        <v>106743.02829496887</v>
      </c>
      <c r="S20" s="210">
        <v>7570.2810992339346</v>
      </c>
      <c r="T20" s="221">
        <v>117809.48173918281</v>
      </c>
      <c r="U20" s="222">
        <v>7935.1336798474713</v>
      </c>
      <c r="V20" s="210">
        <v>118.76455065872383</v>
      </c>
      <c r="W20" s="215">
        <v>22076.794553791511</v>
      </c>
      <c r="X20" s="216">
        <v>467396.42398555577</v>
      </c>
      <c r="Y20" s="217">
        <v>35874.396131782443</v>
      </c>
      <c r="Z20" s="223"/>
      <c r="AA20" s="224"/>
      <c r="AB20" s="225"/>
      <c r="AC20" s="226"/>
      <c r="AD20" s="223"/>
      <c r="AE20" s="223"/>
      <c r="AF20" s="223"/>
      <c r="AG20" s="223"/>
      <c r="AH20" s="226"/>
      <c r="AI20" s="223"/>
      <c r="AJ20" s="223"/>
      <c r="AK20" s="226"/>
      <c r="AL20" s="223"/>
    </row>
    <row r="21" spans="1:38" ht="17.100000000000001" hidden="1" customHeight="1">
      <c r="A21" s="219">
        <v>38838</v>
      </c>
      <c r="B21" s="210">
        <v>1985.2538890300002</v>
      </c>
      <c r="C21" s="210">
        <v>7344.8499994176027</v>
      </c>
      <c r="D21" s="210">
        <v>3049.39452596</v>
      </c>
      <c r="E21" s="212">
        <v>12379.498414407604</v>
      </c>
      <c r="F21" s="210">
        <v>184300.19589145525</v>
      </c>
      <c r="G21" s="210">
        <v>2126.4444853499999</v>
      </c>
      <c r="H21" s="210">
        <v>8982.0539581761968</v>
      </c>
      <c r="I21" s="210">
        <v>215.8831748133762</v>
      </c>
      <c r="J21" s="210">
        <v>98353.389086602299</v>
      </c>
      <c r="K21" s="212">
        <v>293977.96659639711</v>
      </c>
      <c r="L21" s="220">
        <v>32810.932668200003</v>
      </c>
      <c r="M21" s="210">
        <v>10155.42716001</v>
      </c>
      <c r="N21" s="210">
        <v>0</v>
      </c>
      <c r="O21" s="212">
        <v>42966.359828209999</v>
      </c>
      <c r="P21" s="210">
        <v>1088.6062790000001</v>
      </c>
      <c r="Q21" s="210">
        <v>2316.5987149799998</v>
      </c>
      <c r="R21" s="210">
        <v>107501.42776152576</v>
      </c>
      <c r="S21" s="210">
        <v>7483.0098648244775</v>
      </c>
      <c r="T21" s="221">
        <v>118389.64262033024</v>
      </c>
      <c r="U21" s="222">
        <v>8482.3364656184967</v>
      </c>
      <c r="V21" s="210">
        <v>222.28086887724407</v>
      </c>
      <c r="W21" s="215">
        <v>22321.320009634943</v>
      </c>
      <c r="X21" s="216">
        <v>498739.40480347566</v>
      </c>
      <c r="Y21" s="217">
        <v>36509.806111381164</v>
      </c>
      <c r="Z21" s="223"/>
      <c r="AA21" s="224"/>
      <c r="AB21" s="225"/>
      <c r="AC21" s="226"/>
      <c r="AD21" s="223"/>
      <c r="AE21" s="223"/>
      <c r="AF21" s="223"/>
      <c r="AG21" s="223"/>
      <c r="AH21" s="226"/>
      <c r="AI21" s="223"/>
      <c r="AJ21" s="223"/>
      <c r="AK21" s="226"/>
      <c r="AL21" s="223"/>
    </row>
    <row r="22" spans="1:38" ht="17.100000000000001" hidden="1" customHeight="1">
      <c r="A22" s="219">
        <v>38869</v>
      </c>
      <c r="B22" s="210">
        <v>1815.8988274100002</v>
      </c>
      <c r="C22" s="210">
        <v>9046.8329878485292</v>
      </c>
      <c r="D22" s="210">
        <v>2552.4419674899996</v>
      </c>
      <c r="E22" s="212">
        <v>13415.173782748529</v>
      </c>
      <c r="F22" s="210">
        <v>174797.18126910381</v>
      </c>
      <c r="G22" s="210">
        <v>2612.9912649998523</v>
      </c>
      <c r="H22" s="210">
        <v>6878.5297952824349</v>
      </c>
      <c r="I22" s="210">
        <v>184.52600480943971</v>
      </c>
      <c r="J22" s="210">
        <v>96982.728589366408</v>
      </c>
      <c r="K22" s="212">
        <v>281455.95692356193</v>
      </c>
      <c r="L22" s="220">
        <v>34886.144281660003</v>
      </c>
      <c r="M22" s="210">
        <v>10506.655074876031</v>
      </c>
      <c r="N22" s="210">
        <v>0</v>
      </c>
      <c r="O22" s="212">
        <v>45392.799356536038</v>
      </c>
      <c r="P22" s="210">
        <v>1105.8289420000001</v>
      </c>
      <c r="Q22" s="210">
        <v>2352.58256205</v>
      </c>
      <c r="R22" s="210">
        <v>107966.47056874222</v>
      </c>
      <c r="S22" s="210">
        <v>8046.5671374670255</v>
      </c>
      <c r="T22" s="221">
        <v>119471.44921025925</v>
      </c>
      <c r="U22" s="222">
        <v>8907.0994827195409</v>
      </c>
      <c r="V22" s="210">
        <v>235.36751620336622</v>
      </c>
      <c r="W22" s="215">
        <v>22413.34311970248</v>
      </c>
      <c r="X22" s="216">
        <v>491291.18939173117</v>
      </c>
      <c r="Y22" s="217">
        <v>35292.62302713783</v>
      </c>
      <c r="Z22" s="223"/>
      <c r="AA22" s="224"/>
      <c r="AB22" s="225"/>
      <c r="AC22" s="226"/>
      <c r="AD22" s="223"/>
      <c r="AE22" s="223"/>
      <c r="AF22" s="223"/>
      <c r="AG22" s="223"/>
      <c r="AH22" s="226"/>
      <c r="AI22" s="223"/>
      <c r="AJ22" s="223"/>
      <c r="AK22" s="226"/>
      <c r="AL22" s="223"/>
    </row>
    <row r="23" spans="1:38" ht="17.100000000000001" hidden="1" customHeight="1">
      <c r="A23" s="219">
        <v>38899</v>
      </c>
      <c r="B23" s="210">
        <v>1950.48530966</v>
      </c>
      <c r="C23" s="210">
        <v>7931.5034352401208</v>
      </c>
      <c r="D23" s="210">
        <v>3191.2813256100003</v>
      </c>
      <c r="E23" s="212">
        <v>13073.270070510122</v>
      </c>
      <c r="F23" s="210">
        <v>187284.36806007076</v>
      </c>
      <c r="G23" s="210">
        <v>2767.24208477</v>
      </c>
      <c r="H23" s="210">
        <v>8023.7493317717226</v>
      </c>
      <c r="I23" s="210">
        <v>297.70733625568329</v>
      </c>
      <c r="J23" s="210">
        <v>100553.96158061695</v>
      </c>
      <c r="K23" s="212">
        <v>298927.02839348512</v>
      </c>
      <c r="L23" s="220">
        <v>34930.650997050005</v>
      </c>
      <c r="M23" s="210">
        <v>10504.02129948</v>
      </c>
      <c r="N23" s="210">
        <v>0</v>
      </c>
      <c r="O23" s="212">
        <v>45434.672296530007</v>
      </c>
      <c r="P23" s="210">
        <v>1107.0427609999999</v>
      </c>
      <c r="Q23" s="210">
        <v>2456.1347668400003</v>
      </c>
      <c r="R23" s="210">
        <v>110892.76220764808</v>
      </c>
      <c r="S23" s="210">
        <v>8033.7600748158566</v>
      </c>
      <c r="T23" s="221">
        <v>122489.69981030392</v>
      </c>
      <c r="U23" s="222">
        <v>7674.4347434444207</v>
      </c>
      <c r="V23" s="210">
        <v>441.39948618025528</v>
      </c>
      <c r="W23" s="215">
        <v>21741.710936061041</v>
      </c>
      <c r="X23" s="216">
        <v>509782.21573651489</v>
      </c>
      <c r="Y23" s="217">
        <v>34689.340472073476</v>
      </c>
      <c r="Z23" s="223"/>
      <c r="AA23" s="224"/>
      <c r="AB23" s="225"/>
      <c r="AC23" s="226"/>
      <c r="AD23" s="223"/>
      <c r="AE23" s="223"/>
      <c r="AF23" s="223"/>
      <c r="AG23" s="223"/>
      <c r="AH23" s="226"/>
      <c r="AI23" s="223"/>
      <c r="AJ23" s="223"/>
      <c r="AK23" s="226"/>
      <c r="AL23" s="223"/>
    </row>
    <row r="24" spans="1:38" ht="17.100000000000001" hidden="1" customHeight="1">
      <c r="A24" s="219">
        <v>38930</v>
      </c>
      <c r="B24" s="210">
        <v>2387.8872047</v>
      </c>
      <c r="C24" s="210">
        <v>6790.8747300999075</v>
      </c>
      <c r="D24" s="210">
        <v>3141.6905672399998</v>
      </c>
      <c r="E24" s="212">
        <v>12320.452502039909</v>
      </c>
      <c r="F24" s="210">
        <v>194052.40369667439</v>
      </c>
      <c r="G24" s="210">
        <v>2972.3376784899997</v>
      </c>
      <c r="H24" s="210">
        <v>7436.8821390129551</v>
      </c>
      <c r="I24" s="210">
        <v>223.36028357646668</v>
      </c>
      <c r="J24" s="210">
        <v>104621.03072211855</v>
      </c>
      <c r="K24" s="212">
        <v>309306.01451987238</v>
      </c>
      <c r="L24" s="220">
        <v>33990.530390559994</v>
      </c>
      <c r="M24" s="210">
        <v>10820.123690959999</v>
      </c>
      <c r="N24" s="210">
        <v>0</v>
      </c>
      <c r="O24" s="212">
        <v>44810.654081519991</v>
      </c>
      <c r="P24" s="210">
        <v>1104.3549949999999</v>
      </c>
      <c r="Q24" s="210">
        <v>2506.2908823400003</v>
      </c>
      <c r="R24" s="210">
        <v>112715.91859762072</v>
      </c>
      <c r="S24" s="210">
        <v>8147.1589311557182</v>
      </c>
      <c r="T24" s="221">
        <v>124473.72340611645</v>
      </c>
      <c r="U24" s="222">
        <v>7668.2701907859437</v>
      </c>
      <c r="V24" s="210">
        <v>254.75915136694312</v>
      </c>
      <c r="W24" s="215">
        <v>23415.738734225419</v>
      </c>
      <c r="X24" s="216">
        <v>522249.61258592707</v>
      </c>
      <c r="Y24" s="217">
        <v>36648.482637241075</v>
      </c>
      <c r="Z24" s="223"/>
      <c r="AA24" s="224"/>
      <c r="AB24" s="225"/>
      <c r="AC24" s="226"/>
      <c r="AD24" s="223"/>
      <c r="AE24" s="223"/>
      <c r="AF24" s="223"/>
      <c r="AG24" s="223"/>
      <c r="AH24" s="226"/>
      <c r="AI24" s="223"/>
      <c r="AJ24" s="223"/>
      <c r="AK24" s="226"/>
      <c r="AL24" s="223"/>
    </row>
    <row r="25" spans="1:38" ht="17.100000000000001" hidden="1" customHeight="1">
      <c r="A25" s="219">
        <v>38961</v>
      </c>
      <c r="B25" s="210">
        <v>1917.4352451</v>
      </c>
      <c r="C25" s="210">
        <v>8839.840139035563</v>
      </c>
      <c r="D25" s="210">
        <v>2648.6843897399999</v>
      </c>
      <c r="E25" s="212">
        <v>13405.959773875562</v>
      </c>
      <c r="F25" s="210">
        <v>217278.05033045693</v>
      </c>
      <c r="G25" s="210">
        <v>2905.08375015</v>
      </c>
      <c r="H25" s="210">
        <v>7482.4796439267011</v>
      </c>
      <c r="I25" s="210">
        <v>227.96490248440699</v>
      </c>
      <c r="J25" s="210">
        <v>106898.84727054389</v>
      </c>
      <c r="K25" s="212">
        <v>334792.42589756195</v>
      </c>
      <c r="L25" s="220">
        <v>30540.711378150001</v>
      </c>
      <c r="M25" s="210">
        <v>10820.03561268</v>
      </c>
      <c r="N25" s="210">
        <v>335.03197841150006</v>
      </c>
      <c r="O25" s="212">
        <v>41695.778969241495</v>
      </c>
      <c r="P25" s="210">
        <v>1109.789117</v>
      </c>
      <c r="Q25" s="210">
        <v>2451.2007821999996</v>
      </c>
      <c r="R25" s="210">
        <v>113711.63186690935</v>
      </c>
      <c r="S25" s="210">
        <v>8256.2922323632411</v>
      </c>
      <c r="T25" s="221">
        <v>125528.91399847259</v>
      </c>
      <c r="U25" s="222">
        <v>8508.1513695896629</v>
      </c>
      <c r="V25" s="210">
        <v>264.41726504195486</v>
      </c>
      <c r="W25" s="215">
        <v>23800.404927834639</v>
      </c>
      <c r="X25" s="216">
        <v>547996.05220161774</v>
      </c>
      <c r="Y25" s="217">
        <v>39072.778054220806</v>
      </c>
      <c r="Z25" s="223"/>
      <c r="AA25" s="224"/>
      <c r="AB25" s="225"/>
      <c r="AC25" s="226"/>
      <c r="AD25" s="223"/>
      <c r="AE25" s="223"/>
      <c r="AF25" s="223"/>
      <c r="AG25" s="223"/>
      <c r="AH25" s="226"/>
      <c r="AI25" s="223"/>
      <c r="AJ25" s="223"/>
      <c r="AK25" s="226"/>
      <c r="AL25" s="223"/>
    </row>
    <row r="26" spans="1:38" ht="17.100000000000001" hidden="1" customHeight="1">
      <c r="A26" s="219">
        <v>38991</v>
      </c>
      <c r="B26" s="210">
        <v>2196.8213237399996</v>
      </c>
      <c r="C26" s="210">
        <v>7297.352523042231</v>
      </c>
      <c r="D26" s="210">
        <v>1286.26126817</v>
      </c>
      <c r="E26" s="212">
        <v>10780.43511495223</v>
      </c>
      <c r="F26" s="210">
        <v>221086.59288619674</v>
      </c>
      <c r="G26" s="210">
        <v>2638.5369446700001</v>
      </c>
      <c r="H26" s="210">
        <v>7526.3819325544</v>
      </c>
      <c r="I26" s="210">
        <v>274.33078501170002</v>
      </c>
      <c r="J26" s="210">
        <v>109075.10279859723</v>
      </c>
      <c r="K26" s="212">
        <v>340600.94534703007</v>
      </c>
      <c r="L26" s="220">
        <v>29857.776498790001</v>
      </c>
      <c r="M26" s="210">
        <v>11034.522859049999</v>
      </c>
      <c r="N26" s="210">
        <v>414.48134621879996</v>
      </c>
      <c r="O26" s="212">
        <v>41306.780704058801</v>
      </c>
      <c r="P26" s="210">
        <v>1080.303242</v>
      </c>
      <c r="Q26" s="210">
        <v>2490.1641971399999</v>
      </c>
      <c r="R26" s="210">
        <v>115404.60567996529</v>
      </c>
      <c r="S26" s="210">
        <v>8547.6391383023383</v>
      </c>
      <c r="T26" s="221">
        <v>127522.71225740763</v>
      </c>
      <c r="U26" s="222">
        <v>8647.9885205006995</v>
      </c>
      <c r="V26" s="210">
        <v>238.78520371266455</v>
      </c>
      <c r="W26" s="215">
        <v>24584.318020053786</v>
      </c>
      <c r="X26" s="216">
        <v>553681.9651677158</v>
      </c>
      <c r="Y26" s="217">
        <v>41442.800618036963</v>
      </c>
      <c r="Z26" s="223"/>
      <c r="AA26" s="224"/>
      <c r="AB26" s="225"/>
      <c r="AC26" s="226"/>
      <c r="AD26" s="223"/>
      <c r="AE26" s="223"/>
      <c r="AF26" s="223"/>
      <c r="AG26" s="223"/>
      <c r="AH26" s="226"/>
      <c r="AI26" s="223"/>
      <c r="AJ26" s="223"/>
      <c r="AK26" s="226"/>
      <c r="AL26" s="223"/>
    </row>
    <row r="27" spans="1:38" ht="17.100000000000001" hidden="1" customHeight="1">
      <c r="A27" s="219">
        <v>39022</v>
      </c>
      <c r="B27" s="210">
        <v>2463.8257039800001</v>
      </c>
      <c r="C27" s="210">
        <v>6879.5283147995997</v>
      </c>
      <c r="D27" s="210">
        <v>902.27593045000003</v>
      </c>
      <c r="E27" s="212">
        <v>10245.629949229598</v>
      </c>
      <c r="F27" s="210">
        <v>239234.27996777685</v>
      </c>
      <c r="G27" s="210">
        <v>2997.0788100549998</v>
      </c>
      <c r="H27" s="210">
        <v>7507.6285572960014</v>
      </c>
      <c r="I27" s="210">
        <v>311.8470229006</v>
      </c>
      <c r="J27" s="210">
        <v>116058.20047292477</v>
      </c>
      <c r="K27" s="212">
        <v>366109.03483095323</v>
      </c>
      <c r="L27" s="220">
        <v>27978.27405955</v>
      </c>
      <c r="M27" s="210">
        <v>11440.4223284</v>
      </c>
      <c r="N27" s="210">
        <v>2111.956836927</v>
      </c>
      <c r="O27" s="212">
        <v>41530.653224876994</v>
      </c>
      <c r="P27" s="210">
        <v>1089.0257300000001</v>
      </c>
      <c r="Q27" s="210">
        <v>2904.55731646</v>
      </c>
      <c r="R27" s="210">
        <v>116003.42530642495</v>
      </c>
      <c r="S27" s="210">
        <v>9016.0410407728014</v>
      </c>
      <c r="T27" s="221">
        <v>129013.04939365775</v>
      </c>
      <c r="U27" s="222">
        <v>7537.1064833708524</v>
      </c>
      <c r="V27" s="210">
        <v>264.47455000556999</v>
      </c>
      <c r="W27" s="215">
        <v>25255.069085450054</v>
      </c>
      <c r="X27" s="216">
        <v>579955.01751754398</v>
      </c>
      <c r="Y27" s="217">
        <v>42102.873590325202</v>
      </c>
      <c r="Z27" s="223"/>
      <c r="AA27" s="224"/>
      <c r="AB27" s="225"/>
      <c r="AC27" s="226"/>
      <c r="AD27" s="223"/>
      <c r="AE27" s="223"/>
      <c r="AF27" s="223"/>
      <c r="AG27" s="223"/>
      <c r="AH27" s="226"/>
      <c r="AI27" s="223"/>
      <c r="AJ27" s="223"/>
      <c r="AK27" s="226"/>
      <c r="AL27" s="223"/>
    </row>
    <row r="28" spans="1:38" ht="17.100000000000001" hidden="1" customHeight="1">
      <c r="A28" s="219">
        <v>39052</v>
      </c>
      <c r="B28" s="210">
        <v>3322.1699084300003</v>
      </c>
      <c r="C28" s="210">
        <v>8087.3454520200003</v>
      </c>
      <c r="D28" s="210">
        <v>753.17265300999998</v>
      </c>
      <c r="E28" s="212">
        <v>12162.688013460001</v>
      </c>
      <c r="F28" s="210">
        <v>260408.99291418245</v>
      </c>
      <c r="G28" s="210">
        <v>3839.6829179349998</v>
      </c>
      <c r="H28" s="210">
        <v>7544.7366834527493</v>
      </c>
      <c r="I28" s="210">
        <v>411.22599549</v>
      </c>
      <c r="J28" s="210">
        <v>121864.79337401502</v>
      </c>
      <c r="K28" s="212">
        <v>394069.43188507517</v>
      </c>
      <c r="L28" s="220">
        <v>26725.891024925</v>
      </c>
      <c r="M28" s="210">
        <v>11842.53495917</v>
      </c>
      <c r="N28" s="210">
        <v>-8.0369999977847328E-5</v>
      </c>
      <c r="O28" s="212">
        <v>38568.425903724994</v>
      </c>
      <c r="P28" s="210">
        <v>1084.4074909999999</v>
      </c>
      <c r="Q28" s="210">
        <v>2819.1407391999996</v>
      </c>
      <c r="R28" s="210">
        <v>118515.29877739499</v>
      </c>
      <c r="S28" s="210">
        <v>8913.6834678313226</v>
      </c>
      <c r="T28" s="221">
        <v>131332.53047542632</v>
      </c>
      <c r="U28" s="222">
        <v>6819.801318715</v>
      </c>
      <c r="V28" s="210">
        <v>2081.7390948525249</v>
      </c>
      <c r="W28" s="215">
        <v>24240.174255596074</v>
      </c>
      <c r="X28" s="216">
        <v>609274.79094684997</v>
      </c>
      <c r="Y28" s="217">
        <v>42599.592504551256</v>
      </c>
      <c r="Z28" s="223"/>
      <c r="AA28" s="224"/>
      <c r="AB28" s="225"/>
      <c r="AC28" s="226"/>
      <c r="AD28" s="223"/>
      <c r="AE28" s="223"/>
      <c r="AF28" s="223"/>
      <c r="AG28" s="223"/>
      <c r="AH28" s="226"/>
      <c r="AI28" s="223"/>
      <c r="AJ28" s="223"/>
      <c r="AK28" s="226"/>
      <c r="AL28" s="223"/>
    </row>
    <row r="29" spans="1:38" ht="17.100000000000001" hidden="1" customHeight="1">
      <c r="A29" s="219">
        <v>39083</v>
      </c>
      <c r="B29" s="210">
        <v>2515.3464133100001</v>
      </c>
      <c r="C29" s="210">
        <v>7414.4585376428467</v>
      </c>
      <c r="D29" s="210">
        <v>676.60185935000004</v>
      </c>
      <c r="E29" s="212">
        <v>10606.406810302846</v>
      </c>
      <c r="F29" s="210">
        <v>230136.60145740758</v>
      </c>
      <c r="G29" s="210">
        <v>3724.7819607557499</v>
      </c>
      <c r="H29" s="210">
        <v>7327.66436744372</v>
      </c>
      <c r="I29" s="210">
        <v>252.97820390925</v>
      </c>
      <c r="J29" s="210">
        <v>125180.7345691118</v>
      </c>
      <c r="K29" s="212">
        <v>366622.76055862807</v>
      </c>
      <c r="L29" s="220">
        <v>25664.762182627001</v>
      </c>
      <c r="M29" s="210">
        <v>12028.993756299998</v>
      </c>
      <c r="N29" s="210">
        <v>-4.1354000001092572E-4</v>
      </c>
      <c r="O29" s="212">
        <v>37693.755525387001</v>
      </c>
      <c r="P29" s="210">
        <v>1072.9588510000001</v>
      </c>
      <c r="Q29" s="210">
        <v>2893.6342978899997</v>
      </c>
      <c r="R29" s="210">
        <v>118678.11048505992</v>
      </c>
      <c r="S29" s="210">
        <v>8772.9704113661664</v>
      </c>
      <c r="T29" s="221">
        <v>131417.67404531609</v>
      </c>
      <c r="U29" s="222">
        <v>7363.4912867653447</v>
      </c>
      <c r="V29" s="210">
        <v>398.52714633186253</v>
      </c>
      <c r="W29" s="215">
        <v>25075.740122407886</v>
      </c>
      <c r="X29" s="216">
        <v>579178.35549513903</v>
      </c>
      <c r="Y29" s="217">
        <v>48736.46711056654</v>
      </c>
      <c r="Z29" s="223"/>
      <c r="AA29" s="224"/>
      <c r="AB29" s="225"/>
      <c r="AC29" s="226"/>
      <c r="AD29" s="223"/>
      <c r="AE29" s="223"/>
      <c r="AF29" s="223"/>
      <c r="AG29" s="223"/>
      <c r="AH29" s="226"/>
      <c r="AI29" s="223"/>
      <c r="AJ29" s="223"/>
      <c r="AK29" s="226"/>
      <c r="AL29" s="223"/>
    </row>
    <row r="30" spans="1:38" ht="17.100000000000001" hidden="1" customHeight="1">
      <c r="A30" s="219">
        <v>39114</v>
      </c>
      <c r="B30" s="210">
        <v>2414.9337476700002</v>
      </c>
      <c r="C30" s="210">
        <v>7832.2335556766338</v>
      </c>
      <c r="D30" s="210">
        <v>612.57368073999999</v>
      </c>
      <c r="E30" s="212">
        <v>10859.740984086635</v>
      </c>
      <c r="F30" s="210">
        <v>227791.02271942954</v>
      </c>
      <c r="G30" s="210">
        <v>3601.2120139443336</v>
      </c>
      <c r="H30" s="210">
        <v>7334.3354544371141</v>
      </c>
      <c r="I30" s="210">
        <v>247.19983713568337</v>
      </c>
      <c r="J30" s="210">
        <v>130766.35077523388</v>
      </c>
      <c r="K30" s="212">
        <v>369740.12080018059</v>
      </c>
      <c r="L30" s="220">
        <v>26569.415282485865</v>
      </c>
      <c r="M30" s="210">
        <v>13063.85957493</v>
      </c>
      <c r="N30" s="210">
        <v>-1.8119999964483213E-5</v>
      </c>
      <c r="O30" s="212">
        <v>39633.27483929586</v>
      </c>
      <c r="P30" s="210">
        <v>1077.5142370000001</v>
      </c>
      <c r="Q30" s="210">
        <v>2494.6936243099999</v>
      </c>
      <c r="R30" s="210">
        <v>117889.33920970492</v>
      </c>
      <c r="S30" s="210">
        <v>8692.3294880369231</v>
      </c>
      <c r="T30" s="221">
        <v>130153.87655905186</v>
      </c>
      <c r="U30" s="222">
        <v>7094.0560488126694</v>
      </c>
      <c r="V30" s="210">
        <v>403.28780229192182</v>
      </c>
      <c r="W30" s="215">
        <v>24097.850198892575</v>
      </c>
      <c r="X30" s="216">
        <v>581982.20723261207</v>
      </c>
      <c r="Y30" s="217">
        <v>41472.545356895906</v>
      </c>
      <c r="Z30" s="223"/>
      <c r="AA30" s="224"/>
      <c r="AB30" s="225"/>
      <c r="AC30" s="226"/>
      <c r="AD30" s="223"/>
      <c r="AE30" s="223"/>
      <c r="AF30" s="223"/>
      <c r="AG30" s="223"/>
      <c r="AH30" s="226"/>
      <c r="AI30" s="223"/>
      <c r="AJ30" s="223"/>
      <c r="AK30" s="226"/>
      <c r="AL30" s="223"/>
    </row>
    <row r="31" spans="1:38" ht="17.100000000000001" hidden="1" customHeight="1">
      <c r="A31" s="219">
        <v>39142</v>
      </c>
      <c r="B31" s="210">
        <v>2208.3231896500001</v>
      </c>
      <c r="C31" s="210">
        <v>8904.3657820227272</v>
      </c>
      <c r="D31" s="210">
        <v>2105.5414529999998</v>
      </c>
      <c r="E31" s="212">
        <v>13218.230424672727</v>
      </c>
      <c r="F31" s="210">
        <v>225140.76979755628</v>
      </c>
      <c r="G31" s="210">
        <v>3630.5191048672</v>
      </c>
      <c r="H31" s="210">
        <v>7352.0210338474772</v>
      </c>
      <c r="I31" s="210">
        <v>235.5276032173</v>
      </c>
      <c r="J31" s="210">
        <v>144304.04291992958</v>
      </c>
      <c r="K31" s="212">
        <v>380662.88045941782</v>
      </c>
      <c r="L31" s="220">
        <v>24952.837351579001</v>
      </c>
      <c r="M31" s="210">
        <v>14092.84688375</v>
      </c>
      <c r="N31" s="210">
        <v>0</v>
      </c>
      <c r="O31" s="212">
        <v>39045.684235328998</v>
      </c>
      <c r="P31" s="210">
        <v>1075.812424</v>
      </c>
      <c r="Q31" s="210">
        <v>2257.97199946</v>
      </c>
      <c r="R31" s="210">
        <v>118137.90469128633</v>
      </c>
      <c r="S31" s="210">
        <v>8768.7419710967406</v>
      </c>
      <c r="T31" s="221">
        <v>130240.43108584307</v>
      </c>
      <c r="U31" s="222">
        <v>8165.0088607375055</v>
      </c>
      <c r="V31" s="210">
        <v>978.82724416072119</v>
      </c>
      <c r="W31" s="215">
        <v>25947.430952554627</v>
      </c>
      <c r="X31" s="216">
        <v>598258.49326271552</v>
      </c>
      <c r="Y31" s="217">
        <v>41381.45342137439</v>
      </c>
      <c r="Z31" s="223"/>
      <c r="AA31" s="224"/>
      <c r="AB31" s="225"/>
      <c r="AC31" s="226"/>
      <c r="AD31" s="223"/>
      <c r="AE31" s="223"/>
      <c r="AF31" s="223"/>
      <c r="AG31" s="223"/>
      <c r="AH31" s="226"/>
      <c r="AI31" s="223"/>
      <c r="AJ31" s="223"/>
      <c r="AK31" s="226"/>
      <c r="AL31" s="223"/>
    </row>
    <row r="32" spans="1:38" ht="17.100000000000001" hidden="1" customHeight="1">
      <c r="A32" s="219">
        <v>39173</v>
      </c>
      <c r="B32" s="210">
        <v>2125.5826604099998</v>
      </c>
      <c r="C32" s="210">
        <v>7847.8561931747163</v>
      </c>
      <c r="D32" s="210">
        <v>5257.0277167676331</v>
      </c>
      <c r="E32" s="212">
        <v>15230.46657035235</v>
      </c>
      <c r="F32" s="210">
        <v>215082.60306504028</v>
      </c>
      <c r="G32" s="210">
        <v>4334.9843284903</v>
      </c>
      <c r="H32" s="210">
        <v>7303.3037030172236</v>
      </c>
      <c r="I32" s="210">
        <v>322.76965492776668</v>
      </c>
      <c r="J32" s="210">
        <v>148055.78245203148</v>
      </c>
      <c r="K32" s="212">
        <v>375099.44320350705</v>
      </c>
      <c r="L32" s="220">
        <v>25293.477736169898</v>
      </c>
      <c r="M32" s="210">
        <v>15574.514234540002</v>
      </c>
      <c r="N32" s="210">
        <v>0</v>
      </c>
      <c r="O32" s="212">
        <v>40867.991970709903</v>
      </c>
      <c r="P32" s="210">
        <v>1078.1730700000001</v>
      </c>
      <c r="Q32" s="210">
        <v>2218.8029037699998</v>
      </c>
      <c r="R32" s="210">
        <v>118210.37517120109</v>
      </c>
      <c r="S32" s="210">
        <v>8660.3572854231279</v>
      </c>
      <c r="T32" s="221">
        <v>130167.70843039421</v>
      </c>
      <c r="U32" s="222">
        <v>8660.9238065104928</v>
      </c>
      <c r="V32" s="210">
        <v>1688.0475276701654</v>
      </c>
      <c r="W32" s="215">
        <v>25992.933192268578</v>
      </c>
      <c r="X32" s="216">
        <v>597707.51470141276</v>
      </c>
      <c r="Y32" s="217">
        <v>43027.069188998837</v>
      </c>
      <c r="Z32" s="223"/>
      <c r="AA32" s="224"/>
      <c r="AB32" s="225"/>
      <c r="AC32" s="226"/>
      <c r="AD32" s="223"/>
      <c r="AE32" s="223"/>
      <c r="AF32" s="223"/>
      <c r="AG32" s="223"/>
      <c r="AH32" s="226"/>
      <c r="AI32" s="223"/>
      <c r="AJ32" s="223"/>
      <c r="AK32" s="226"/>
      <c r="AL32" s="223"/>
    </row>
    <row r="33" spans="1:38" ht="17.100000000000001" hidden="1" customHeight="1">
      <c r="A33" s="219">
        <v>39203</v>
      </c>
      <c r="B33" s="210">
        <v>2132.2369624200001</v>
      </c>
      <c r="C33" s="210">
        <v>8213.7382512547811</v>
      </c>
      <c r="D33" s="210">
        <v>5194.0317928430004</v>
      </c>
      <c r="E33" s="212">
        <v>15540.007006517782</v>
      </c>
      <c r="F33" s="210">
        <v>210811.30682141753</v>
      </c>
      <c r="G33" s="210">
        <v>4849.4541941220996</v>
      </c>
      <c r="H33" s="210">
        <v>7608.925198039824</v>
      </c>
      <c r="I33" s="210">
        <v>217.83878093069998</v>
      </c>
      <c r="J33" s="210">
        <v>153617.53656456489</v>
      </c>
      <c r="K33" s="212">
        <v>377105.06155907502</v>
      </c>
      <c r="L33" s="220">
        <v>24445.060355806352</v>
      </c>
      <c r="M33" s="210">
        <v>16707.097049236538</v>
      </c>
      <c r="N33" s="210">
        <v>0</v>
      </c>
      <c r="O33" s="212">
        <v>41152.15740504289</v>
      </c>
      <c r="P33" s="210">
        <v>1089.939942</v>
      </c>
      <c r="Q33" s="210">
        <v>2118.7421031100002</v>
      </c>
      <c r="R33" s="210">
        <v>117500.46540026003</v>
      </c>
      <c r="S33" s="210">
        <v>8580.7756408828318</v>
      </c>
      <c r="T33" s="221">
        <v>129289.92308625285</v>
      </c>
      <c r="U33" s="222">
        <v>10905.860417076925</v>
      </c>
      <c r="V33" s="210">
        <v>3977.2725024767938</v>
      </c>
      <c r="W33" s="215">
        <v>26433.651059165473</v>
      </c>
      <c r="X33" s="216">
        <v>604403.93303560792</v>
      </c>
      <c r="Y33" s="217">
        <v>42355.84467817485</v>
      </c>
      <c r="Z33" s="223"/>
      <c r="AA33" s="224"/>
      <c r="AB33" s="225"/>
      <c r="AC33" s="226"/>
      <c r="AD33" s="223"/>
      <c r="AE33" s="223"/>
      <c r="AF33" s="223"/>
      <c r="AG33" s="223"/>
      <c r="AH33" s="226"/>
      <c r="AI33" s="223"/>
      <c r="AJ33" s="223"/>
      <c r="AK33" s="226"/>
      <c r="AL33" s="223"/>
    </row>
    <row r="34" spans="1:38" ht="17.100000000000001" hidden="1" customHeight="1">
      <c r="A34" s="219">
        <v>39234</v>
      </c>
      <c r="B34" s="210">
        <v>1914.3835437999999</v>
      </c>
      <c r="C34" s="210">
        <v>9480.1453692150008</v>
      </c>
      <c r="D34" s="210">
        <v>4691.9675605938</v>
      </c>
      <c r="E34" s="212">
        <v>16086.4964736088</v>
      </c>
      <c r="F34" s="210">
        <v>217616.93429659359</v>
      </c>
      <c r="G34" s="210">
        <v>5411.3473483185999</v>
      </c>
      <c r="H34" s="210">
        <v>7783.5589346520001</v>
      </c>
      <c r="I34" s="210">
        <v>265.45146247700001</v>
      </c>
      <c r="J34" s="210">
        <v>163878.31517461836</v>
      </c>
      <c r="K34" s="212">
        <v>394955.60721665958</v>
      </c>
      <c r="L34" s="220">
        <v>24396.883621944991</v>
      </c>
      <c r="M34" s="210">
        <v>16897.491593089999</v>
      </c>
      <c r="N34" s="210">
        <v>0</v>
      </c>
      <c r="O34" s="212">
        <v>41294.37521503499</v>
      </c>
      <c r="P34" s="210">
        <v>1099.76488079</v>
      </c>
      <c r="Q34" s="210">
        <v>2227.4444136100001</v>
      </c>
      <c r="R34" s="210">
        <v>119152.89904371851</v>
      </c>
      <c r="S34" s="210">
        <v>8900.9175206197997</v>
      </c>
      <c r="T34" s="221">
        <v>131381.02585873831</v>
      </c>
      <c r="U34" s="222">
        <v>10158.161028158476</v>
      </c>
      <c r="V34" s="210">
        <v>3244.5832823625142</v>
      </c>
      <c r="W34" s="215">
        <v>26778.654972009477</v>
      </c>
      <c r="X34" s="216">
        <v>623898.90404657216</v>
      </c>
      <c r="Y34" s="217">
        <v>44498.346003262959</v>
      </c>
      <c r="Z34" s="223"/>
      <c r="AA34" s="224"/>
      <c r="AB34" s="225"/>
      <c r="AC34" s="226"/>
      <c r="AD34" s="223"/>
      <c r="AE34" s="223"/>
      <c r="AF34" s="223"/>
      <c r="AG34" s="223"/>
      <c r="AH34" s="226"/>
      <c r="AI34" s="223"/>
      <c r="AJ34" s="223"/>
      <c r="AK34" s="226"/>
      <c r="AL34" s="223"/>
    </row>
    <row r="35" spans="1:38" ht="17.100000000000001" hidden="1" customHeight="1">
      <c r="A35" s="219">
        <v>39264</v>
      </c>
      <c r="B35" s="210">
        <v>2014.8065060399999</v>
      </c>
      <c r="C35" s="210">
        <v>9021.5165828757163</v>
      </c>
      <c r="D35" s="210">
        <v>4819.319127013533</v>
      </c>
      <c r="E35" s="212">
        <v>15855.642215929249</v>
      </c>
      <c r="F35" s="210">
        <v>246368.52680708843</v>
      </c>
      <c r="G35" s="210">
        <v>5462.061287730201</v>
      </c>
      <c r="H35" s="210">
        <v>7828.2780553821221</v>
      </c>
      <c r="I35" s="210">
        <v>416.10458528966672</v>
      </c>
      <c r="J35" s="210">
        <v>161104.63519252182</v>
      </c>
      <c r="K35" s="212">
        <v>421179.60592801229</v>
      </c>
      <c r="L35" s="220">
        <v>22283.833853537133</v>
      </c>
      <c r="M35" s="210">
        <v>17013.446356559998</v>
      </c>
      <c r="N35" s="210">
        <v>4.5999999986889861E-7</v>
      </c>
      <c r="O35" s="212">
        <v>39297.280210557132</v>
      </c>
      <c r="P35" s="210">
        <v>1068.3439860999999</v>
      </c>
      <c r="Q35" s="210">
        <v>2192.6113199599999</v>
      </c>
      <c r="R35" s="210">
        <v>119368.91926965519</v>
      </c>
      <c r="S35" s="210">
        <v>8717.0350228344687</v>
      </c>
      <c r="T35" s="221">
        <v>131346.90959854965</v>
      </c>
      <c r="U35" s="222">
        <v>9810.3960254848971</v>
      </c>
      <c r="V35" s="210">
        <v>880.42799964553251</v>
      </c>
      <c r="W35" s="215">
        <v>27132.725773042421</v>
      </c>
      <c r="X35" s="216">
        <v>645502.98775122128</v>
      </c>
      <c r="Y35" s="217">
        <v>43685.724462361926</v>
      </c>
      <c r="Z35" s="223"/>
      <c r="AA35" s="224"/>
      <c r="AB35" s="225"/>
      <c r="AC35" s="226"/>
      <c r="AD35" s="223"/>
      <c r="AE35" s="223"/>
      <c r="AF35" s="223"/>
      <c r="AG35" s="223"/>
      <c r="AH35" s="226"/>
      <c r="AI35" s="223"/>
      <c r="AJ35" s="223"/>
      <c r="AK35" s="226"/>
      <c r="AL35" s="223"/>
    </row>
    <row r="36" spans="1:38" ht="17.100000000000001" hidden="1" customHeight="1">
      <c r="A36" s="219">
        <v>39295</v>
      </c>
      <c r="B36" s="210">
        <v>2011.10480798</v>
      </c>
      <c r="C36" s="210">
        <v>8481.8115072663495</v>
      </c>
      <c r="D36" s="210">
        <v>5216.7296774125498</v>
      </c>
      <c r="E36" s="212">
        <v>15709.6459926589</v>
      </c>
      <c r="F36" s="210">
        <v>259388.24230521638</v>
      </c>
      <c r="G36" s="210">
        <v>6007.0261423409002</v>
      </c>
      <c r="H36" s="210">
        <v>7601.2171946560638</v>
      </c>
      <c r="I36" s="210">
        <v>261.76049446315</v>
      </c>
      <c r="J36" s="210">
        <v>159667.29979774318</v>
      </c>
      <c r="K36" s="212">
        <v>432925.54593441973</v>
      </c>
      <c r="L36" s="220">
        <v>22908.588889873197</v>
      </c>
      <c r="M36" s="210">
        <v>18499.399305909999</v>
      </c>
      <c r="N36" s="210">
        <v>2.2000000043931323E-7</v>
      </c>
      <c r="O36" s="212">
        <v>41407.9881960032</v>
      </c>
      <c r="P36" s="210">
        <v>1132.9250440000001</v>
      </c>
      <c r="Q36" s="210">
        <v>2160.6811183</v>
      </c>
      <c r="R36" s="210">
        <v>122829.11846436048</v>
      </c>
      <c r="S36" s="210">
        <v>8629.8742944286168</v>
      </c>
      <c r="T36" s="221">
        <v>134752.59892108911</v>
      </c>
      <c r="U36" s="222">
        <v>9212.4296975850866</v>
      </c>
      <c r="V36" s="210">
        <v>868.30367472517128</v>
      </c>
      <c r="W36" s="215">
        <v>27725.159713030804</v>
      </c>
      <c r="X36" s="216">
        <v>662601.67212951195</v>
      </c>
      <c r="Y36" s="217">
        <v>46193.440427783826</v>
      </c>
      <c r="Z36" s="223"/>
      <c r="AA36" s="224"/>
      <c r="AB36" s="225"/>
      <c r="AC36" s="226"/>
      <c r="AD36" s="223"/>
      <c r="AE36" s="223"/>
      <c r="AF36" s="223"/>
      <c r="AG36" s="223"/>
      <c r="AH36" s="226"/>
      <c r="AI36" s="223"/>
      <c r="AJ36" s="223"/>
      <c r="AK36" s="226"/>
      <c r="AL36" s="223"/>
    </row>
    <row r="37" spans="1:38" ht="17.100000000000001" hidden="1" customHeight="1">
      <c r="A37" s="219">
        <v>39326</v>
      </c>
      <c r="B37" s="210">
        <v>1960.2172360300003</v>
      </c>
      <c r="C37" s="210">
        <v>10752.856724423142</v>
      </c>
      <c r="D37" s="210">
        <v>4663.670147452267</v>
      </c>
      <c r="E37" s="212">
        <v>17376.744107905412</v>
      </c>
      <c r="F37" s="210">
        <v>260662.35806514396</v>
      </c>
      <c r="G37" s="210">
        <v>5343.910944753683</v>
      </c>
      <c r="H37" s="210">
        <v>7469.3276857146666</v>
      </c>
      <c r="I37" s="210">
        <v>276.64265776133328</v>
      </c>
      <c r="J37" s="210">
        <v>166839.87766627627</v>
      </c>
      <c r="K37" s="212">
        <v>440592.11701964994</v>
      </c>
      <c r="L37" s="220">
        <v>20612.010325687766</v>
      </c>
      <c r="M37" s="210">
        <v>19983.31721248</v>
      </c>
      <c r="N37" s="210">
        <v>7.5150000000689943E-5</v>
      </c>
      <c r="O37" s="212">
        <v>40595.327613317764</v>
      </c>
      <c r="P37" s="210">
        <v>1133.6218966399999</v>
      </c>
      <c r="Q37" s="210">
        <v>2027.9759141900001</v>
      </c>
      <c r="R37" s="210">
        <v>123705.25807635103</v>
      </c>
      <c r="S37" s="210">
        <v>8654.8850504650236</v>
      </c>
      <c r="T37" s="221">
        <v>135521.74093764607</v>
      </c>
      <c r="U37" s="222">
        <v>9457.1639098106734</v>
      </c>
      <c r="V37" s="210">
        <v>1019.1449508301178</v>
      </c>
      <c r="W37" s="215">
        <v>28104.131541509414</v>
      </c>
      <c r="X37" s="216">
        <v>672666.37008066941</v>
      </c>
      <c r="Y37" s="217">
        <v>48161.581159289839</v>
      </c>
      <c r="Z37" s="223"/>
      <c r="AA37" s="224"/>
      <c r="AB37" s="225"/>
      <c r="AC37" s="226"/>
      <c r="AD37" s="223"/>
      <c r="AE37" s="223"/>
      <c r="AF37" s="223"/>
      <c r="AG37" s="223"/>
      <c r="AH37" s="226"/>
      <c r="AI37" s="223"/>
      <c r="AJ37" s="223"/>
      <c r="AK37" s="226"/>
      <c r="AL37" s="223"/>
    </row>
    <row r="38" spans="1:38" ht="17.100000000000001" hidden="1" customHeight="1">
      <c r="A38" s="219">
        <v>39356</v>
      </c>
      <c r="B38" s="210">
        <v>2346.5860313099997</v>
      </c>
      <c r="C38" s="210">
        <v>10968.233673568699</v>
      </c>
      <c r="D38" s="210">
        <v>2997.9312813514666</v>
      </c>
      <c r="E38" s="212">
        <v>16312.750986230165</v>
      </c>
      <c r="F38" s="210">
        <v>248395.93669103415</v>
      </c>
      <c r="G38" s="210">
        <v>5088.1076727949676</v>
      </c>
      <c r="H38" s="210">
        <v>7479.3421063466667</v>
      </c>
      <c r="I38" s="210">
        <v>307.54111524266671</v>
      </c>
      <c r="J38" s="210">
        <v>174432.36334277573</v>
      </c>
      <c r="K38" s="212">
        <v>435703.29092819418</v>
      </c>
      <c r="L38" s="220">
        <v>19668.123301087442</v>
      </c>
      <c r="M38" s="210">
        <v>20873.125990680001</v>
      </c>
      <c r="N38" s="210">
        <v>1.092700000002722E-4</v>
      </c>
      <c r="O38" s="212">
        <v>40541.249401037436</v>
      </c>
      <c r="P38" s="210">
        <v>1131.3664725199999</v>
      </c>
      <c r="Q38" s="210">
        <v>2009.21994795</v>
      </c>
      <c r="R38" s="210">
        <v>126373.47756990437</v>
      </c>
      <c r="S38" s="210">
        <v>8737.2312516915008</v>
      </c>
      <c r="T38" s="221">
        <v>138251.29524206588</v>
      </c>
      <c r="U38" s="222">
        <v>10963.168767571573</v>
      </c>
      <c r="V38" s="210">
        <v>824.81357572699903</v>
      </c>
      <c r="W38" s="215">
        <v>27630.637751055678</v>
      </c>
      <c r="X38" s="216">
        <v>670227.20665188204</v>
      </c>
      <c r="Y38" s="217">
        <v>51121.216738404401</v>
      </c>
      <c r="Z38" s="223"/>
      <c r="AA38" s="224"/>
      <c r="AB38" s="225"/>
      <c r="AC38" s="226"/>
      <c r="AD38" s="223"/>
      <c r="AE38" s="223"/>
      <c r="AF38" s="223"/>
      <c r="AG38" s="223"/>
      <c r="AH38" s="226"/>
      <c r="AI38" s="223"/>
      <c r="AJ38" s="223"/>
      <c r="AK38" s="226"/>
      <c r="AL38" s="223"/>
    </row>
    <row r="39" spans="1:38" ht="17.100000000000001" hidden="1" customHeight="1">
      <c r="A39" s="219">
        <v>39387</v>
      </c>
      <c r="B39" s="210">
        <v>2335.0810954200001</v>
      </c>
      <c r="C39" s="210">
        <v>9072.5255402496496</v>
      </c>
      <c r="D39" s="210">
        <v>4049.1168429084669</v>
      </c>
      <c r="E39" s="212">
        <v>15456.723478578117</v>
      </c>
      <c r="F39" s="210">
        <v>280290.6856299573</v>
      </c>
      <c r="G39" s="210">
        <v>4676.7166330497994</v>
      </c>
      <c r="H39" s="210">
        <v>7232.2307066106669</v>
      </c>
      <c r="I39" s="210">
        <v>301.95758952616666</v>
      </c>
      <c r="J39" s="210">
        <v>182609.60810432321</v>
      </c>
      <c r="K39" s="212">
        <v>475111.19866346713</v>
      </c>
      <c r="L39" s="220">
        <v>21637.289586161154</v>
      </c>
      <c r="M39" s="210">
        <v>21735.456235169997</v>
      </c>
      <c r="N39" s="210">
        <v>-2.2800999999983418E-4</v>
      </c>
      <c r="O39" s="212">
        <v>43372.745593321146</v>
      </c>
      <c r="P39" s="210">
        <v>1089.59636252</v>
      </c>
      <c r="Q39" s="210">
        <v>2048.20135927</v>
      </c>
      <c r="R39" s="210">
        <v>128372.94160738832</v>
      </c>
      <c r="S39" s="210">
        <v>8650.377601534803</v>
      </c>
      <c r="T39" s="221">
        <v>140161.11693071312</v>
      </c>
      <c r="U39" s="222">
        <v>11087.178155837784</v>
      </c>
      <c r="V39" s="210">
        <v>680.45714326123436</v>
      </c>
      <c r="W39" s="215">
        <v>28640.954721062957</v>
      </c>
      <c r="X39" s="216">
        <v>714510.3746862415</v>
      </c>
      <c r="Y39" s="217">
        <v>48002.384289997499</v>
      </c>
      <c r="Z39" s="223"/>
      <c r="AA39" s="224"/>
      <c r="AB39" s="225"/>
      <c r="AC39" s="226"/>
      <c r="AD39" s="223"/>
      <c r="AE39" s="223"/>
      <c r="AF39" s="223"/>
      <c r="AG39" s="223"/>
      <c r="AH39" s="226"/>
      <c r="AI39" s="223"/>
      <c r="AJ39" s="223"/>
      <c r="AK39" s="226"/>
      <c r="AL39" s="223"/>
    </row>
    <row r="40" spans="1:38" ht="17.100000000000001" hidden="1" customHeight="1">
      <c r="A40" s="219">
        <v>39417</v>
      </c>
      <c r="B40" s="210">
        <v>3437.6939873999995</v>
      </c>
      <c r="C40" s="210">
        <v>9863.0216191368199</v>
      </c>
      <c r="D40" s="210">
        <v>3976.8479033787498</v>
      </c>
      <c r="E40" s="212">
        <v>17277.56350991557</v>
      </c>
      <c r="F40" s="210">
        <v>260511.6357855133</v>
      </c>
      <c r="G40" s="210">
        <v>4118.0492116762507</v>
      </c>
      <c r="H40" s="210">
        <v>6885.4501198575008</v>
      </c>
      <c r="I40" s="210">
        <v>641.13749332499708</v>
      </c>
      <c r="J40" s="210">
        <v>176635.38294263743</v>
      </c>
      <c r="K40" s="212">
        <v>448791.65555300948</v>
      </c>
      <c r="L40" s="220">
        <v>21664.27290035865</v>
      </c>
      <c r="M40" s="210">
        <v>22594.272678639998</v>
      </c>
      <c r="N40" s="210">
        <v>-2.9774999999965246E-4</v>
      </c>
      <c r="O40" s="212">
        <v>44258.545281248647</v>
      </c>
      <c r="P40" s="210">
        <v>1089.07226956</v>
      </c>
      <c r="Q40" s="210">
        <v>2270.71480092</v>
      </c>
      <c r="R40" s="210">
        <v>133682.22295601096</v>
      </c>
      <c r="S40" s="210">
        <v>8270.1528139521924</v>
      </c>
      <c r="T40" s="221">
        <v>145312.16284044314</v>
      </c>
      <c r="U40" s="222">
        <v>11746.750538212651</v>
      </c>
      <c r="V40" s="210">
        <v>598.51109833824785</v>
      </c>
      <c r="W40" s="215">
        <v>26773.146589845583</v>
      </c>
      <c r="X40" s="216">
        <v>694758.33541101334</v>
      </c>
      <c r="Y40" s="217">
        <v>47553.977614061354</v>
      </c>
      <c r="Z40" s="223"/>
      <c r="AA40" s="224"/>
      <c r="AB40" s="225"/>
      <c r="AC40" s="226"/>
      <c r="AD40" s="223"/>
      <c r="AE40" s="223"/>
      <c r="AF40" s="223"/>
      <c r="AG40" s="223"/>
      <c r="AH40" s="226"/>
      <c r="AI40" s="223"/>
      <c r="AJ40" s="223"/>
      <c r="AK40" s="226"/>
      <c r="AL40" s="223"/>
    </row>
    <row r="41" spans="1:38" ht="17.100000000000001" hidden="1" customHeight="1">
      <c r="A41" s="219">
        <v>39448</v>
      </c>
      <c r="B41" s="210">
        <v>2672.7012553899999</v>
      </c>
      <c r="C41" s="210">
        <v>9101.3633934848858</v>
      </c>
      <c r="D41" s="210">
        <v>4979.3602153649617</v>
      </c>
      <c r="E41" s="212">
        <v>16753.424864239849</v>
      </c>
      <c r="F41" s="210">
        <v>278083.12229679682</v>
      </c>
      <c r="G41" s="210">
        <v>2985.54288163</v>
      </c>
      <c r="H41" s="210">
        <v>7960.5022116748542</v>
      </c>
      <c r="I41" s="210">
        <v>511.39403093639197</v>
      </c>
      <c r="J41" s="210">
        <v>183812.49165768526</v>
      </c>
      <c r="K41" s="212">
        <v>473353.05307872337</v>
      </c>
      <c r="L41" s="220">
        <v>21097.350458134773</v>
      </c>
      <c r="M41" s="210">
        <v>23814.63066875</v>
      </c>
      <c r="N41" s="210">
        <v>-4.3875999999976045E-4</v>
      </c>
      <c r="O41" s="212">
        <v>44911.980688124771</v>
      </c>
      <c r="P41" s="210">
        <v>1069.47748028</v>
      </c>
      <c r="Q41" s="210">
        <v>2332.2654250700002</v>
      </c>
      <c r="R41" s="210">
        <v>135912.56850639411</v>
      </c>
      <c r="S41" s="210">
        <v>7998.2166152692434</v>
      </c>
      <c r="T41" s="221">
        <v>147312.52802701335</v>
      </c>
      <c r="U41" s="222">
        <v>12332.944233588576</v>
      </c>
      <c r="V41" s="210">
        <v>1526.7169042326746</v>
      </c>
      <c r="W41" s="215">
        <v>27278.246602030042</v>
      </c>
      <c r="X41" s="216">
        <v>723468.89439795259</v>
      </c>
      <c r="Y41" s="217">
        <v>50219.826724544429</v>
      </c>
      <c r="Z41" s="223"/>
      <c r="AA41" s="224"/>
      <c r="AB41" s="225"/>
      <c r="AC41" s="226"/>
      <c r="AD41" s="223"/>
      <c r="AE41" s="223"/>
      <c r="AF41" s="223"/>
      <c r="AG41" s="223"/>
      <c r="AH41" s="226"/>
      <c r="AI41" s="223"/>
      <c r="AJ41" s="223"/>
      <c r="AK41" s="226"/>
      <c r="AL41" s="223"/>
    </row>
    <row r="42" spans="1:38" ht="17.100000000000001" hidden="1" customHeight="1">
      <c r="A42" s="219">
        <v>39479</v>
      </c>
      <c r="B42" s="210">
        <v>2424.0370009200001</v>
      </c>
      <c r="C42" s="210">
        <v>10967.124580128238</v>
      </c>
      <c r="D42" s="210">
        <v>4933.2501050260325</v>
      </c>
      <c r="E42" s="212">
        <v>18324.411686074272</v>
      </c>
      <c r="F42" s="210">
        <v>251585.66700935026</v>
      </c>
      <c r="G42" s="210">
        <v>3285.1861993015</v>
      </c>
      <c r="H42" s="210">
        <v>7648.3108533562799</v>
      </c>
      <c r="I42" s="210">
        <v>254.20999625625194</v>
      </c>
      <c r="J42" s="210">
        <v>189341.47590797985</v>
      </c>
      <c r="K42" s="212">
        <v>452114.84996624419</v>
      </c>
      <c r="L42" s="220">
        <v>21906.339559148182</v>
      </c>
      <c r="M42" s="210">
        <v>24589.836544908958</v>
      </c>
      <c r="N42" s="210">
        <v>1.7836999999953917E-4</v>
      </c>
      <c r="O42" s="212">
        <v>46496.176282427143</v>
      </c>
      <c r="P42" s="210">
        <v>1056.3028387699999</v>
      </c>
      <c r="Q42" s="210">
        <v>2414.4564369200002</v>
      </c>
      <c r="R42" s="210">
        <v>136059.01663985953</v>
      </c>
      <c r="S42" s="210">
        <v>7626.1012571465171</v>
      </c>
      <c r="T42" s="221">
        <v>147155.87717269603</v>
      </c>
      <c r="U42" s="222">
        <v>11070.669779080248</v>
      </c>
      <c r="V42" s="210">
        <v>1520.2954186127527</v>
      </c>
      <c r="W42" s="215">
        <v>28151.00950580732</v>
      </c>
      <c r="X42" s="216">
        <v>704833.28981094202</v>
      </c>
      <c r="Y42" s="217">
        <v>47972.86983261953</v>
      </c>
      <c r="Z42" s="223"/>
      <c r="AA42" s="224"/>
      <c r="AB42" s="225"/>
      <c r="AC42" s="226"/>
      <c r="AD42" s="223"/>
      <c r="AE42" s="223"/>
      <c r="AF42" s="223"/>
      <c r="AG42" s="223"/>
      <c r="AH42" s="226"/>
      <c r="AI42" s="223"/>
      <c r="AJ42" s="223"/>
      <c r="AK42" s="226"/>
      <c r="AL42" s="223"/>
    </row>
    <row r="43" spans="1:38" ht="17.100000000000001" hidden="1" customHeight="1">
      <c r="A43" s="219">
        <v>39508</v>
      </c>
      <c r="B43" s="210">
        <v>2201.9510797799999</v>
      </c>
      <c r="C43" s="210">
        <v>14555.37568026287</v>
      </c>
      <c r="D43" s="210">
        <v>7073.177034695932</v>
      </c>
      <c r="E43" s="212">
        <v>23830.503794738801</v>
      </c>
      <c r="F43" s="210">
        <v>238858.28624454825</v>
      </c>
      <c r="G43" s="210">
        <v>4661.4297953231162</v>
      </c>
      <c r="H43" s="210">
        <v>7536.0658003864582</v>
      </c>
      <c r="I43" s="210">
        <v>269.08003209564436</v>
      </c>
      <c r="J43" s="210">
        <v>176601.72257507121</v>
      </c>
      <c r="K43" s="212">
        <v>427926.58444742463</v>
      </c>
      <c r="L43" s="220">
        <v>21673.967512363488</v>
      </c>
      <c r="M43" s="210">
        <v>25588.193436008445</v>
      </c>
      <c r="N43" s="210">
        <v>-1.5833999999959047E-4</v>
      </c>
      <c r="O43" s="212">
        <v>47262.160790031936</v>
      </c>
      <c r="P43" s="210">
        <v>1063.0708835800001</v>
      </c>
      <c r="Q43" s="210">
        <v>2389.9419238800001</v>
      </c>
      <c r="R43" s="210">
        <v>137084.01997187562</v>
      </c>
      <c r="S43" s="210">
        <v>7521.5893217049506</v>
      </c>
      <c r="T43" s="221">
        <v>148058.62210104059</v>
      </c>
      <c r="U43" s="222">
        <v>10935.915016716805</v>
      </c>
      <c r="V43" s="210">
        <v>1619.1119846285683</v>
      </c>
      <c r="W43" s="215">
        <v>33942.871550318763</v>
      </c>
      <c r="X43" s="216">
        <v>693575.76968490006</v>
      </c>
      <c r="Y43" s="217">
        <v>46960.889008693739</v>
      </c>
      <c r="Z43" s="223"/>
      <c r="AA43" s="224"/>
      <c r="AB43" s="225"/>
      <c r="AC43" s="226"/>
      <c r="AD43" s="223"/>
      <c r="AE43" s="223"/>
      <c r="AF43" s="223"/>
      <c r="AG43" s="223"/>
      <c r="AH43" s="226"/>
      <c r="AI43" s="223"/>
      <c r="AJ43" s="223"/>
      <c r="AK43" s="226"/>
      <c r="AL43" s="223"/>
    </row>
    <row r="44" spans="1:38" ht="17.100000000000001" hidden="1" customHeight="1">
      <c r="A44" s="219">
        <v>39539</v>
      </c>
      <c r="B44" s="210">
        <v>2358.4085955599999</v>
      </c>
      <c r="C44" s="210">
        <v>9964.8704470442699</v>
      </c>
      <c r="D44" s="210">
        <v>12244.675319002201</v>
      </c>
      <c r="E44" s="212">
        <v>24567.954361606469</v>
      </c>
      <c r="F44" s="210">
        <v>221764.32197804333</v>
      </c>
      <c r="G44" s="210">
        <v>5622.8709249567992</v>
      </c>
      <c r="H44" s="210">
        <v>8016.4115218397073</v>
      </c>
      <c r="I44" s="210">
        <v>251.92707597680001</v>
      </c>
      <c r="J44" s="210">
        <v>184214.10125262471</v>
      </c>
      <c r="K44" s="212">
        <v>419869.63275344134</v>
      </c>
      <c r="L44" s="220">
        <v>22228.460655816612</v>
      </c>
      <c r="M44" s="210">
        <v>26333.24978123049</v>
      </c>
      <c r="N44" s="210">
        <v>-1.4878999999989873E-4</v>
      </c>
      <c r="O44" s="212">
        <v>48561.710288257105</v>
      </c>
      <c r="P44" s="210">
        <v>1095.74375538</v>
      </c>
      <c r="Q44" s="210">
        <v>2340.88111798</v>
      </c>
      <c r="R44" s="210">
        <v>139454.69141706382</v>
      </c>
      <c r="S44" s="210">
        <v>7394.548411257917</v>
      </c>
      <c r="T44" s="221">
        <v>150285.86470168171</v>
      </c>
      <c r="U44" s="222">
        <v>10116.967438846819</v>
      </c>
      <c r="V44" s="210">
        <v>794.9471535303195</v>
      </c>
      <c r="W44" s="215">
        <v>26829.36222634044</v>
      </c>
      <c r="X44" s="216">
        <v>681026.43892370421</v>
      </c>
      <c r="Y44" s="217">
        <v>48043.421946344381</v>
      </c>
      <c r="Z44" s="223"/>
      <c r="AA44" s="224"/>
      <c r="AB44" s="225"/>
      <c r="AC44" s="226"/>
      <c r="AD44" s="223"/>
      <c r="AE44" s="223"/>
      <c r="AF44" s="223"/>
      <c r="AG44" s="223"/>
      <c r="AH44" s="226"/>
      <c r="AI44" s="223"/>
      <c r="AJ44" s="223"/>
      <c r="AK44" s="226"/>
      <c r="AL44" s="223"/>
    </row>
    <row r="45" spans="1:38" ht="17.100000000000001" hidden="1" customHeight="1">
      <c r="A45" s="219">
        <v>39569</v>
      </c>
      <c r="B45" s="210">
        <v>2269.0402082169207</v>
      </c>
      <c r="C45" s="210">
        <v>9256.6923596451925</v>
      </c>
      <c r="D45" s="210">
        <v>10349.277130566135</v>
      </c>
      <c r="E45" s="212">
        <v>21875.00969842825</v>
      </c>
      <c r="F45" s="210">
        <v>228933.02293828106</v>
      </c>
      <c r="G45" s="210">
        <v>5877.4702602167827</v>
      </c>
      <c r="H45" s="210">
        <v>15389.435257516521</v>
      </c>
      <c r="I45" s="210">
        <v>273.38995166077211</v>
      </c>
      <c r="J45" s="210">
        <v>199594.54282519111</v>
      </c>
      <c r="K45" s="212">
        <v>450067.86123286624</v>
      </c>
      <c r="L45" s="220">
        <v>24925.797162393166</v>
      </c>
      <c r="M45" s="210">
        <v>27350.790312355442</v>
      </c>
      <c r="N45" s="210">
        <v>6.1660000000074433E-5</v>
      </c>
      <c r="O45" s="212">
        <v>52276.58753640861</v>
      </c>
      <c r="P45" s="210">
        <v>1129.46102234</v>
      </c>
      <c r="Q45" s="210">
        <v>2571.1220143800001</v>
      </c>
      <c r="R45" s="210">
        <v>141685.22779280689</v>
      </c>
      <c r="S45" s="210">
        <v>7508.9594096469837</v>
      </c>
      <c r="T45" s="221">
        <v>152894.77023917387</v>
      </c>
      <c r="U45" s="222">
        <v>11784.059732644517</v>
      </c>
      <c r="V45" s="210">
        <v>800.19299686613954</v>
      </c>
      <c r="W45" s="215">
        <v>28222.322122595488</v>
      </c>
      <c r="X45" s="216">
        <v>717920.80355898314</v>
      </c>
      <c r="Y45" s="217">
        <v>52965.345273467399</v>
      </c>
      <c r="Z45" s="223"/>
      <c r="AA45" s="224"/>
      <c r="AB45" s="225"/>
      <c r="AC45" s="226"/>
      <c r="AD45" s="223"/>
      <c r="AE45" s="223"/>
      <c r="AF45" s="223"/>
      <c r="AG45" s="223"/>
      <c r="AH45" s="226"/>
      <c r="AI45" s="223"/>
      <c r="AJ45" s="223"/>
      <c r="AK45" s="226"/>
      <c r="AL45" s="223"/>
    </row>
    <row r="46" spans="1:38" ht="17.100000000000001" hidden="1" customHeight="1">
      <c r="A46" s="219">
        <v>39600</v>
      </c>
      <c r="B46" s="210">
        <v>2093.6949126229083</v>
      </c>
      <c r="C46" s="210">
        <v>11917.527635432281</v>
      </c>
      <c r="D46" s="210">
        <v>6028.3278035419671</v>
      </c>
      <c r="E46" s="212">
        <v>20039.550351597158</v>
      </c>
      <c r="F46" s="210">
        <v>238514.52868853731</v>
      </c>
      <c r="G46" s="210">
        <v>5679.6793979248996</v>
      </c>
      <c r="H46" s="210">
        <v>21876.520966455992</v>
      </c>
      <c r="I46" s="210">
        <v>324.72733536491711</v>
      </c>
      <c r="J46" s="210">
        <v>189585.33833895801</v>
      </c>
      <c r="K46" s="212">
        <v>455980.79472724115</v>
      </c>
      <c r="L46" s="220">
        <v>31615.389150853753</v>
      </c>
      <c r="M46" s="210">
        <v>24098.958682945289</v>
      </c>
      <c r="N46" s="210">
        <v>-2.8074999999994077E-4</v>
      </c>
      <c r="O46" s="212">
        <v>55714.34755304904</v>
      </c>
      <c r="P46" s="210">
        <v>1145.2529159800001</v>
      </c>
      <c r="Q46" s="210">
        <v>2776.4430720199998</v>
      </c>
      <c r="R46" s="210">
        <v>143939.97020545643</v>
      </c>
      <c r="S46" s="210">
        <v>7985.3756967621675</v>
      </c>
      <c r="T46" s="221">
        <v>155847.04189021862</v>
      </c>
      <c r="U46" s="222">
        <v>11264.00901455368</v>
      </c>
      <c r="V46" s="210">
        <v>1546.7104122140499</v>
      </c>
      <c r="W46" s="215">
        <v>28950.01467207012</v>
      </c>
      <c r="X46" s="216">
        <v>729342.46862094384</v>
      </c>
      <c r="Y46" s="217">
        <v>53777.498538158587</v>
      </c>
      <c r="Z46" s="223"/>
      <c r="AA46" s="224"/>
      <c r="AB46" s="225"/>
      <c r="AC46" s="226"/>
      <c r="AD46" s="223"/>
      <c r="AE46" s="223"/>
      <c r="AF46" s="223"/>
      <c r="AG46" s="223"/>
      <c r="AH46" s="226"/>
      <c r="AI46" s="223"/>
      <c r="AJ46" s="223"/>
      <c r="AK46" s="226"/>
      <c r="AL46" s="223"/>
    </row>
    <row r="47" spans="1:38" ht="17.100000000000001" hidden="1" customHeight="1">
      <c r="A47" s="219">
        <v>39630</v>
      </c>
      <c r="B47" s="210">
        <v>2540.0269665742103</v>
      </c>
      <c r="C47" s="210">
        <v>10422.370499647193</v>
      </c>
      <c r="D47" s="210">
        <v>6713.4462060155047</v>
      </c>
      <c r="E47" s="212">
        <v>19675.843672236908</v>
      </c>
      <c r="F47" s="210">
        <v>264159.23422725609</v>
      </c>
      <c r="G47" s="210">
        <v>5522.9706076592502</v>
      </c>
      <c r="H47" s="210">
        <v>7999.0178695369041</v>
      </c>
      <c r="I47" s="210">
        <v>287.55060331437738</v>
      </c>
      <c r="J47" s="210">
        <v>190533.11796317811</v>
      </c>
      <c r="K47" s="212">
        <v>468501.89127094473</v>
      </c>
      <c r="L47" s="220">
        <v>33273.304561080164</v>
      </c>
      <c r="M47" s="210">
        <v>24118.832183374077</v>
      </c>
      <c r="N47" s="210">
        <v>-3.6637999999999948E-4</v>
      </c>
      <c r="O47" s="212">
        <v>57392.136378074239</v>
      </c>
      <c r="P47" s="210">
        <v>1083.1352314100002</v>
      </c>
      <c r="Q47" s="210">
        <v>2862.4089365599998</v>
      </c>
      <c r="R47" s="210">
        <v>146939.09164869069</v>
      </c>
      <c r="S47" s="210">
        <v>8273.3994280029692</v>
      </c>
      <c r="T47" s="221">
        <v>159158.03524466365</v>
      </c>
      <c r="U47" s="222">
        <v>11572.967654640182</v>
      </c>
      <c r="V47" s="210">
        <v>623.58049228652715</v>
      </c>
      <c r="W47" s="215">
        <v>30516.084042990184</v>
      </c>
      <c r="X47" s="216">
        <v>747440.53875583643</v>
      </c>
      <c r="Y47" s="217">
        <v>54041.731312599033</v>
      </c>
      <c r="Z47" s="223"/>
      <c r="AA47" s="224"/>
      <c r="AB47" s="225"/>
      <c r="AC47" s="226"/>
      <c r="AD47" s="223"/>
      <c r="AE47" s="223"/>
      <c r="AF47" s="223"/>
      <c r="AG47" s="223"/>
      <c r="AH47" s="226"/>
      <c r="AI47" s="223"/>
      <c r="AJ47" s="223"/>
      <c r="AK47" s="226"/>
      <c r="AL47" s="223"/>
    </row>
    <row r="48" spans="1:38" ht="17.100000000000001" hidden="1" customHeight="1">
      <c r="A48" s="219">
        <v>39661</v>
      </c>
      <c r="B48" s="210">
        <v>2330.8301665273989</v>
      </c>
      <c r="C48" s="210">
        <v>13858.918584288294</v>
      </c>
      <c r="D48" s="210">
        <v>4688.5191478660145</v>
      </c>
      <c r="E48" s="212">
        <v>20878.267898681708</v>
      </c>
      <c r="F48" s="210">
        <v>237567.22583443843</v>
      </c>
      <c r="G48" s="210">
        <v>5688.8756878684317</v>
      </c>
      <c r="H48" s="210">
        <v>8179.3759853822385</v>
      </c>
      <c r="I48" s="210">
        <v>303.71493699407176</v>
      </c>
      <c r="J48" s="210">
        <v>205602.19688474454</v>
      </c>
      <c r="K48" s="212">
        <v>457341.38932942774</v>
      </c>
      <c r="L48" s="220">
        <v>32144.488714235267</v>
      </c>
      <c r="M48" s="210">
        <v>23848.262998669601</v>
      </c>
      <c r="N48" s="210">
        <v>-4.8785999999978458E-4</v>
      </c>
      <c r="O48" s="212">
        <v>55992.751225044864</v>
      </c>
      <c r="P48" s="210">
        <v>1086.0350964300001</v>
      </c>
      <c r="Q48" s="210">
        <v>3048.44142465</v>
      </c>
      <c r="R48" s="210">
        <v>147602.49727391874</v>
      </c>
      <c r="S48" s="210">
        <v>8224.9688931516685</v>
      </c>
      <c r="T48" s="221">
        <v>159961.94268815042</v>
      </c>
      <c r="U48" s="222">
        <v>12792.744413992465</v>
      </c>
      <c r="V48" s="210">
        <v>681.47702268810929</v>
      </c>
      <c r="W48" s="215">
        <v>30051.046868614994</v>
      </c>
      <c r="X48" s="216">
        <v>737699.61944660032</v>
      </c>
      <c r="Y48" s="217">
        <v>55378.727578099315</v>
      </c>
      <c r="Z48" s="223"/>
      <c r="AA48" s="224"/>
      <c r="AB48" s="225"/>
      <c r="AC48" s="226"/>
      <c r="AD48" s="223"/>
      <c r="AE48" s="223"/>
      <c r="AF48" s="223"/>
      <c r="AG48" s="223"/>
      <c r="AH48" s="226"/>
      <c r="AI48" s="223"/>
      <c r="AJ48" s="223"/>
      <c r="AK48" s="226"/>
      <c r="AL48" s="223"/>
    </row>
    <row r="49" spans="1:38" ht="17.100000000000001" hidden="1" customHeight="1">
      <c r="A49" s="219">
        <v>39692</v>
      </c>
      <c r="B49" s="210">
        <v>2165.4800203127957</v>
      </c>
      <c r="C49" s="210">
        <v>16172.88831085914</v>
      </c>
      <c r="D49" s="210">
        <v>2787.791941509769</v>
      </c>
      <c r="E49" s="212">
        <v>21126.160272681704</v>
      </c>
      <c r="F49" s="210">
        <v>213219.77804946093</v>
      </c>
      <c r="G49" s="210">
        <v>5304.6612177331008</v>
      </c>
      <c r="H49" s="210">
        <v>8062.8351972511973</v>
      </c>
      <c r="I49" s="210">
        <v>266.53875668510699</v>
      </c>
      <c r="J49" s="210">
        <v>209448.33783405254</v>
      </c>
      <c r="K49" s="212">
        <v>436302.15105518291</v>
      </c>
      <c r="L49" s="220">
        <v>31227.295692822572</v>
      </c>
      <c r="M49" s="210">
        <v>23781.468128684701</v>
      </c>
      <c r="N49" s="210">
        <v>2.4497000000023306E-4</v>
      </c>
      <c r="O49" s="212">
        <v>55008.76406647727</v>
      </c>
      <c r="P49" s="210">
        <v>1070.8965004300001</v>
      </c>
      <c r="Q49" s="210">
        <v>3136.7050023500001</v>
      </c>
      <c r="R49" s="210">
        <v>154317.00286401354</v>
      </c>
      <c r="S49" s="210">
        <v>8131.5334977911634</v>
      </c>
      <c r="T49" s="221">
        <v>166656.13786458471</v>
      </c>
      <c r="U49" s="222">
        <v>14425.78791244451</v>
      </c>
      <c r="V49" s="210">
        <v>312.0929967865585</v>
      </c>
      <c r="W49" s="215">
        <v>30967.81678563328</v>
      </c>
      <c r="X49" s="216">
        <v>724798.910953791</v>
      </c>
      <c r="Y49" s="217">
        <v>51651.726738731762</v>
      </c>
      <c r="Z49" s="223"/>
      <c r="AA49" s="224"/>
      <c r="AB49" s="225"/>
      <c r="AC49" s="226"/>
      <c r="AD49" s="223"/>
      <c r="AE49" s="223"/>
      <c r="AF49" s="223"/>
      <c r="AG49" s="223"/>
      <c r="AH49" s="226"/>
      <c r="AI49" s="223"/>
      <c r="AJ49" s="223"/>
      <c r="AK49" s="226"/>
      <c r="AL49" s="223"/>
    </row>
    <row r="50" spans="1:38" ht="17.100000000000001" hidden="1" customHeight="1">
      <c r="A50" s="219">
        <v>39722</v>
      </c>
      <c r="B50" s="210">
        <v>2379.3819424453268</v>
      </c>
      <c r="C50" s="210">
        <v>13792.778389704335</v>
      </c>
      <c r="D50" s="210">
        <v>2841.0368130070192</v>
      </c>
      <c r="E50" s="212">
        <v>19013.197145156682</v>
      </c>
      <c r="F50" s="210">
        <v>223825.06784749537</v>
      </c>
      <c r="G50" s="210">
        <v>4396.4388643791999</v>
      </c>
      <c r="H50" s="210">
        <v>8028.5299916077174</v>
      </c>
      <c r="I50" s="210">
        <v>346.56312498704125</v>
      </c>
      <c r="J50" s="210">
        <v>235943.9231158811</v>
      </c>
      <c r="K50" s="212">
        <v>472540.52294435038</v>
      </c>
      <c r="L50" s="220">
        <v>28713.383077025894</v>
      </c>
      <c r="M50" s="210">
        <v>23672.815762212838</v>
      </c>
      <c r="N50" s="210">
        <v>-4.4821999999999917E-4</v>
      </c>
      <c r="O50" s="212">
        <v>52386.198391018726</v>
      </c>
      <c r="P50" s="210">
        <v>1050.1244843500001</v>
      </c>
      <c r="Q50" s="210">
        <v>3446.5393478536002</v>
      </c>
      <c r="R50" s="210">
        <v>157480.31692227343</v>
      </c>
      <c r="S50" s="210">
        <v>8013.7406906213637</v>
      </c>
      <c r="T50" s="221">
        <v>169990.7214450984</v>
      </c>
      <c r="U50" s="222">
        <v>12741.019459554294</v>
      </c>
      <c r="V50" s="210">
        <v>714.71846404604003</v>
      </c>
      <c r="W50" s="215">
        <v>31561.204727308781</v>
      </c>
      <c r="X50" s="216">
        <v>758947.58257653331</v>
      </c>
      <c r="Y50" s="217">
        <v>48692.646656937119</v>
      </c>
      <c r="Z50" s="223"/>
      <c r="AA50" s="224"/>
      <c r="AB50" s="225"/>
      <c r="AC50" s="226"/>
      <c r="AD50" s="223"/>
      <c r="AE50" s="223"/>
      <c r="AF50" s="223"/>
      <c r="AG50" s="223"/>
      <c r="AH50" s="226"/>
      <c r="AI50" s="223"/>
      <c r="AJ50" s="223"/>
      <c r="AK50" s="226"/>
      <c r="AL50" s="223"/>
    </row>
    <row r="51" spans="1:38" ht="17.100000000000001" hidden="1" customHeight="1">
      <c r="A51" s="219">
        <v>39753</v>
      </c>
      <c r="B51" s="210">
        <v>2426.0069267817598</v>
      </c>
      <c r="C51" s="210">
        <v>11839.211663592405</v>
      </c>
      <c r="D51" s="210">
        <v>2526.2581809930002</v>
      </c>
      <c r="E51" s="212">
        <v>16791.476771367164</v>
      </c>
      <c r="F51" s="210">
        <v>226166.62212156894</v>
      </c>
      <c r="G51" s="210">
        <v>4749.7367745856</v>
      </c>
      <c r="H51" s="210">
        <v>7816.0557844121058</v>
      </c>
      <c r="I51" s="210">
        <v>309.81763434782636</v>
      </c>
      <c r="J51" s="210">
        <v>230550.74400361252</v>
      </c>
      <c r="K51" s="212">
        <v>469592.97631852701</v>
      </c>
      <c r="L51" s="220">
        <v>26493.599587561555</v>
      </c>
      <c r="M51" s="210">
        <v>24862.692887959987</v>
      </c>
      <c r="N51" s="210">
        <v>4.1674999999985474E-4</v>
      </c>
      <c r="O51" s="212">
        <v>51356.292892271544</v>
      </c>
      <c r="P51" s="210">
        <v>1065.3069274500001</v>
      </c>
      <c r="Q51" s="210">
        <v>3597.6496724499998</v>
      </c>
      <c r="R51" s="210">
        <v>161653.33032716202</v>
      </c>
      <c r="S51" s="210">
        <v>7910.8474440010632</v>
      </c>
      <c r="T51" s="221">
        <v>174227.13437106309</v>
      </c>
      <c r="U51" s="222">
        <v>16099.842255742053</v>
      </c>
      <c r="V51" s="210">
        <v>225.48798605749073</v>
      </c>
      <c r="W51" s="215">
        <v>29574.350188921951</v>
      </c>
      <c r="X51" s="216">
        <v>757867.56078395038</v>
      </c>
      <c r="Y51" s="217">
        <v>48322.9</v>
      </c>
      <c r="Z51" s="223"/>
      <c r="AA51" s="224"/>
      <c r="AB51" s="225"/>
      <c r="AC51" s="226"/>
      <c r="AD51" s="223"/>
      <c r="AE51" s="223"/>
      <c r="AF51" s="223"/>
      <c r="AG51" s="223"/>
      <c r="AH51" s="226"/>
      <c r="AI51" s="223"/>
      <c r="AJ51" s="223"/>
      <c r="AK51" s="226"/>
      <c r="AL51" s="223"/>
    </row>
    <row r="52" spans="1:38" ht="17.100000000000001" hidden="1" customHeight="1">
      <c r="A52" s="219">
        <v>39783</v>
      </c>
      <c r="B52" s="210">
        <v>3783.0592854020174</v>
      </c>
      <c r="C52" s="210">
        <v>10394.993497201907</v>
      </c>
      <c r="D52" s="210">
        <v>2541.0424579692003</v>
      </c>
      <c r="E52" s="212">
        <v>16719.095240573126</v>
      </c>
      <c r="F52" s="210">
        <v>203182.19218566112</v>
      </c>
      <c r="G52" s="210">
        <v>5310.6540325869255</v>
      </c>
      <c r="H52" s="210">
        <v>22688.764497200602</v>
      </c>
      <c r="I52" s="210">
        <v>1132.6000492887999</v>
      </c>
      <c r="J52" s="210">
        <v>228452.5511462024</v>
      </c>
      <c r="K52" s="212">
        <v>460766.76191093982</v>
      </c>
      <c r="L52" s="220">
        <v>23280.255137392684</v>
      </c>
      <c r="M52" s="210">
        <v>25751.112212908149</v>
      </c>
      <c r="N52" s="210">
        <v>4.7807999999882611E-4</v>
      </c>
      <c r="O52" s="212">
        <v>49031.367828380833</v>
      </c>
      <c r="P52" s="210">
        <v>1090.1521998399999</v>
      </c>
      <c r="Q52" s="210">
        <v>3656.7621346087999</v>
      </c>
      <c r="R52" s="210">
        <v>166182.04483788076</v>
      </c>
      <c r="S52" s="210">
        <v>7995.5971949037094</v>
      </c>
      <c r="T52" s="221">
        <v>178924.55636723328</v>
      </c>
      <c r="U52" s="222">
        <v>16653.694320612474</v>
      </c>
      <c r="V52" s="210">
        <v>2117.0507981807914</v>
      </c>
      <c r="W52" s="215">
        <v>30251.38394660729</v>
      </c>
      <c r="X52" s="216">
        <v>754463.9104125275</v>
      </c>
      <c r="Y52" s="217">
        <v>48878.898620351341</v>
      </c>
      <c r="Z52" s="223"/>
      <c r="AA52" s="224"/>
      <c r="AB52" s="225"/>
      <c r="AC52" s="226"/>
      <c r="AD52" s="223"/>
      <c r="AE52" s="223"/>
      <c r="AF52" s="223"/>
      <c r="AG52" s="223"/>
      <c r="AH52" s="226"/>
      <c r="AI52" s="223"/>
      <c r="AJ52" s="223"/>
      <c r="AK52" s="226"/>
      <c r="AL52" s="223"/>
    </row>
    <row r="53" spans="1:38" ht="17.100000000000001" hidden="1" customHeight="1">
      <c r="A53" s="219">
        <v>39814</v>
      </c>
      <c r="B53" s="210">
        <v>2675.7389597870447</v>
      </c>
      <c r="C53" s="210">
        <v>13379.207433003125</v>
      </c>
      <c r="D53" s="210">
        <v>380.77639803999995</v>
      </c>
      <c r="E53" s="212">
        <v>16435.722790830168</v>
      </c>
      <c r="F53" s="210">
        <v>225786.97255809806</v>
      </c>
      <c r="G53" s="210">
        <v>5190.6907075664994</v>
      </c>
      <c r="H53" s="210">
        <v>8078.9133931259994</v>
      </c>
      <c r="I53" s="210">
        <v>480.09728371768034</v>
      </c>
      <c r="J53" s="210">
        <v>227797.31664818362</v>
      </c>
      <c r="K53" s="212">
        <v>467333.99059069186</v>
      </c>
      <c r="L53" s="220">
        <v>23998.769675405998</v>
      </c>
      <c r="M53" s="210">
        <v>27017.695396631778</v>
      </c>
      <c r="N53" s="210">
        <v>-4.9128999999936696E-4</v>
      </c>
      <c r="O53" s="212">
        <v>51016.464580747779</v>
      </c>
      <c r="P53" s="210">
        <v>1061.28539701</v>
      </c>
      <c r="Q53" s="210">
        <v>3500.8257505799997</v>
      </c>
      <c r="R53" s="210">
        <v>165899.77785732009</v>
      </c>
      <c r="S53" s="210">
        <v>7951.1167554333133</v>
      </c>
      <c r="T53" s="221">
        <v>178413.0057603434</v>
      </c>
      <c r="U53" s="222">
        <v>17631.288317367616</v>
      </c>
      <c r="V53" s="210">
        <v>512.6855123126312</v>
      </c>
      <c r="W53" s="215">
        <v>28620.276546667668</v>
      </c>
      <c r="X53" s="216">
        <v>759963.43409896118</v>
      </c>
      <c r="Y53" s="217">
        <v>49759.327407828569</v>
      </c>
      <c r="Z53" s="223"/>
      <c r="AA53" s="224"/>
      <c r="AB53" s="225"/>
      <c r="AC53" s="226"/>
      <c r="AD53" s="223"/>
      <c r="AE53" s="223"/>
      <c r="AF53" s="223"/>
      <c r="AG53" s="223"/>
      <c r="AH53" s="226"/>
      <c r="AI53" s="223"/>
      <c r="AJ53" s="223"/>
      <c r="AK53" s="226"/>
      <c r="AL53" s="223"/>
    </row>
    <row r="54" spans="1:38" ht="17.100000000000001" hidden="1" customHeight="1">
      <c r="A54" s="219">
        <v>39845</v>
      </c>
      <c r="B54" s="210">
        <v>2497.5814256836143</v>
      </c>
      <c r="C54" s="210">
        <v>13867.034989832977</v>
      </c>
      <c r="D54" s="210">
        <v>282.00428603999995</v>
      </c>
      <c r="E54" s="212">
        <v>16646.620701556592</v>
      </c>
      <c r="F54" s="210">
        <v>232392.74545033125</v>
      </c>
      <c r="G54" s="210">
        <v>5070.0398237406007</v>
      </c>
      <c r="H54" s="210">
        <v>8279.3339173969216</v>
      </c>
      <c r="I54" s="210">
        <v>433.06136312867392</v>
      </c>
      <c r="J54" s="210">
        <v>226385.32490131841</v>
      </c>
      <c r="K54" s="212">
        <v>472560.50545591587</v>
      </c>
      <c r="L54" s="220">
        <v>24219.074579512748</v>
      </c>
      <c r="M54" s="210">
        <v>27646.859557035648</v>
      </c>
      <c r="N54" s="210">
        <v>-7.9700000004123694E-6</v>
      </c>
      <c r="O54" s="212">
        <v>51865.934128578403</v>
      </c>
      <c r="P54" s="210">
        <v>1057.94213595</v>
      </c>
      <c r="Q54" s="210">
        <v>3422.6618740120002</v>
      </c>
      <c r="R54" s="210">
        <v>166875.29295453912</v>
      </c>
      <c r="S54" s="210">
        <v>7659.1320728619648</v>
      </c>
      <c r="T54" s="221">
        <v>179015.0290373631</v>
      </c>
      <c r="U54" s="222">
        <v>20040.492262257463</v>
      </c>
      <c r="V54" s="210">
        <v>282.33236353717592</v>
      </c>
      <c r="W54" s="215">
        <v>29421.016526551521</v>
      </c>
      <c r="X54" s="216">
        <v>769831.93047576025</v>
      </c>
      <c r="Y54" s="217">
        <v>48867.042645488633</v>
      </c>
      <c r="Z54" s="223"/>
      <c r="AA54" s="224"/>
      <c r="AB54" s="225"/>
      <c r="AC54" s="226"/>
      <c r="AD54" s="223"/>
      <c r="AE54" s="223"/>
      <c r="AF54" s="223"/>
      <c r="AG54" s="223"/>
      <c r="AH54" s="226"/>
      <c r="AI54" s="223"/>
      <c r="AJ54" s="223"/>
      <c r="AK54" s="226"/>
      <c r="AL54" s="223"/>
    </row>
    <row r="55" spans="1:38" ht="17.100000000000001" hidden="1" customHeight="1">
      <c r="A55" s="219">
        <v>39873</v>
      </c>
      <c r="B55" s="210">
        <v>2264.4616649219997</v>
      </c>
      <c r="C55" s="210">
        <v>12747.319282000841</v>
      </c>
      <c r="D55" s="210">
        <v>4.0000000000000001E-8</v>
      </c>
      <c r="E55" s="212">
        <v>15011.780946962841</v>
      </c>
      <c r="F55" s="210">
        <v>237236.27037212986</v>
      </c>
      <c r="G55" s="210">
        <v>4856.2030848407003</v>
      </c>
      <c r="H55" s="210">
        <v>7876.1644982471453</v>
      </c>
      <c r="I55" s="210">
        <v>370.91701422731433</v>
      </c>
      <c r="J55" s="210">
        <v>210811.13141488214</v>
      </c>
      <c r="K55" s="212">
        <v>461150.68638432713</v>
      </c>
      <c r="L55" s="220">
        <v>26831.974253313623</v>
      </c>
      <c r="M55" s="210">
        <v>27111.490435063748</v>
      </c>
      <c r="N55" s="210">
        <v>-7.4789999999325119E-5</v>
      </c>
      <c r="O55" s="212">
        <v>53943.46461358737</v>
      </c>
      <c r="P55" s="210">
        <v>998.22311665999996</v>
      </c>
      <c r="Q55" s="210">
        <v>3159.8908053024002</v>
      </c>
      <c r="R55" s="210">
        <v>168301.965432039</v>
      </c>
      <c r="S55" s="210">
        <v>7770.7349989924351</v>
      </c>
      <c r="T55" s="221">
        <v>180230.81435299385</v>
      </c>
      <c r="U55" s="222">
        <v>19553.94470994316</v>
      </c>
      <c r="V55" s="210">
        <v>1805.0989710415895</v>
      </c>
      <c r="W55" s="215">
        <v>31078.724354309787</v>
      </c>
      <c r="X55" s="216">
        <v>762774.51433316572</v>
      </c>
      <c r="Y55" s="217">
        <v>48784.739912675665</v>
      </c>
      <c r="Z55" s="223"/>
      <c r="AA55" s="224"/>
      <c r="AB55" s="225"/>
      <c r="AC55" s="226"/>
      <c r="AD55" s="223"/>
      <c r="AE55" s="223"/>
      <c r="AF55" s="223"/>
      <c r="AG55" s="223"/>
      <c r="AH55" s="226"/>
      <c r="AI55" s="223"/>
      <c r="AJ55" s="223"/>
      <c r="AK55" s="226"/>
      <c r="AL55" s="223"/>
    </row>
    <row r="56" spans="1:38" ht="17.100000000000001" hidden="1" customHeight="1">
      <c r="A56" s="219">
        <v>39904</v>
      </c>
      <c r="B56" s="210">
        <v>2463.1134872777097</v>
      </c>
      <c r="C56" s="210">
        <v>11824.772782456308</v>
      </c>
      <c r="D56" s="210">
        <v>4.0000000000000001E-8</v>
      </c>
      <c r="E56" s="212">
        <v>14287.886269774017</v>
      </c>
      <c r="F56" s="210">
        <v>228482.2480247574</v>
      </c>
      <c r="G56" s="210">
        <v>5067.3277950452502</v>
      </c>
      <c r="H56" s="210">
        <v>8258.3054765771394</v>
      </c>
      <c r="I56" s="210">
        <v>338.99840662755787</v>
      </c>
      <c r="J56" s="210">
        <v>210655.14549361699</v>
      </c>
      <c r="K56" s="212">
        <v>452802.02519662434</v>
      </c>
      <c r="L56" s="220">
        <v>28072.351401838172</v>
      </c>
      <c r="M56" s="210">
        <v>26762.608963309631</v>
      </c>
      <c r="N56" s="210">
        <v>-8.4830000000479799E-5</v>
      </c>
      <c r="O56" s="212">
        <v>54834.960280317806</v>
      </c>
      <c r="P56" s="210">
        <v>991.61189808000006</v>
      </c>
      <c r="Q56" s="210">
        <v>3221.8510688430001</v>
      </c>
      <c r="R56" s="210">
        <v>168519.4823612709</v>
      </c>
      <c r="S56" s="210">
        <v>7826.246119297638</v>
      </c>
      <c r="T56" s="221">
        <v>180559.19144749152</v>
      </c>
      <c r="U56" s="222">
        <v>19389.474546375186</v>
      </c>
      <c r="V56" s="210">
        <v>314.58034841185736</v>
      </c>
      <c r="W56" s="215">
        <v>30306.392474187531</v>
      </c>
      <c r="X56" s="216">
        <v>752494.5105631823</v>
      </c>
      <c r="Y56" s="217">
        <v>49862.04350363397</v>
      </c>
      <c r="Z56" s="223"/>
      <c r="AA56" s="224"/>
      <c r="AB56" s="225"/>
      <c r="AC56" s="226"/>
      <c r="AD56" s="223"/>
      <c r="AE56" s="223"/>
      <c r="AF56" s="223"/>
      <c r="AG56" s="223"/>
      <c r="AH56" s="226"/>
      <c r="AI56" s="223"/>
      <c r="AJ56" s="223"/>
      <c r="AK56" s="226"/>
      <c r="AL56" s="223"/>
    </row>
    <row r="57" spans="1:38" ht="17.100000000000001" hidden="1" customHeight="1">
      <c r="A57" s="219">
        <v>39934</v>
      </c>
      <c r="B57" s="210">
        <v>2134.2768452576752</v>
      </c>
      <c r="C57" s="210">
        <v>12447.787419058641</v>
      </c>
      <c r="D57" s="210">
        <v>4.0000000000000001E-8</v>
      </c>
      <c r="E57" s="212">
        <v>14582.064264356315</v>
      </c>
      <c r="F57" s="210">
        <v>223617.89176332875</v>
      </c>
      <c r="G57" s="210">
        <v>4919.5237761268263</v>
      </c>
      <c r="H57" s="210">
        <v>8071.5132469356449</v>
      </c>
      <c r="I57" s="210">
        <v>366.52847937110874</v>
      </c>
      <c r="J57" s="210">
        <v>205761.98706390473</v>
      </c>
      <c r="K57" s="212">
        <v>442737.44432966702</v>
      </c>
      <c r="L57" s="220">
        <v>29247.743368734173</v>
      </c>
      <c r="M57" s="210">
        <v>27136.253292309444</v>
      </c>
      <c r="N57" s="210">
        <v>4.8944999999989136E-4</v>
      </c>
      <c r="O57" s="212">
        <v>56383.997150493618</v>
      </c>
      <c r="P57" s="210">
        <v>1010.94572082</v>
      </c>
      <c r="Q57" s="210">
        <v>3058.5106933265602</v>
      </c>
      <c r="R57" s="210">
        <v>168810.88039717983</v>
      </c>
      <c r="S57" s="210">
        <v>8042.5445242420328</v>
      </c>
      <c r="T57" s="221">
        <v>180922.88133556844</v>
      </c>
      <c r="U57" s="222">
        <v>19944.588779338719</v>
      </c>
      <c r="V57" s="210">
        <v>1528.2840473124318</v>
      </c>
      <c r="W57" s="215">
        <v>28214.629935298603</v>
      </c>
      <c r="X57" s="216">
        <v>744313.88984203513</v>
      </c>
      <c r="Y57" s="217">
        <v>47618.664987821256</v>
      </c>
      <c r="Z57" s="223"/>
      <c r="AA57" s="224"/>
      <c r="AB57" s="225"/>
      <c r="AC57" s="226"/>
      <c r="AD57" s="223"/>
      <c r="AE57" s="223"/>
      <c r="AF57" s="223"/>
      <c r="AG57" s="223"/>
      <c r="AH57" s="226"/>
      <c r="AI57" s="223"/>
      <c r="AJ57" s="223"/>
      <c r="AK57" s="226"/>
      <c r="AL57" s="223"/>
    </row>
    <row r="58" spans="1:38" ht="17.100000000000001" hidden="1" customHeight="1">
      <c r="A58" s="219">
        <v>39965</v>
      </c>
      <c r="B58" s="210">
        <v>2255.9685788402012</v>
      </c>
      <c r="C58" s="210">
        <v>12786.85931183191</v>
      </c>
      <c r="D58" s="210">
        <v>4.0000000000000001E-8</v>
      </c>
      <c r="E58" s="212">
        <v>15042.827890712109</v>
      </c>
      <c r="F58" s="210">
        <v>207502.74957028162</v>
      </c>
      <c r="G58" s="210">
        <v>5052.3078610472485</v>
      </c>
      <c r="H58" s="210">
        <v>7615.4593083677919</v>
      </c>
      <c r="I58" s="210">
        <v>383.15109864010952</v>
      </c>
      <c r="J58" s="210">
        <v>208546.10496076485</v>
      </c>
      <c r="K58" s="212">
        <v>429099.77279910166</v>
      </c>
      <c r="L58" s="220">
        <v>32168.969940872732</v>
      </c>
      <c r="M58" s="210">
        <v>26179.035048477239</v>
      </c>
      <c r="N58" s="210">
        <v>-4.4300999999968838E-4</v>
      </c>
      <c r="O58" s="212">
        <v>58348.004546339966</v>
      </c>
      <c r="P58" s="210">
        <v>1027.92067477</v>
      </c>
      <c r="Q58" s="210">
        <v>2943.699858404304</v>
      </c>
      <c r="R58" s="210">
        <v>170563.23934842905</v>
      </c>
      <c r="S58" s="210">
        <v>8146.5689852514415</v>
      </c>
      <c r="T58" s="221">
        <v>182681.42886685481</v>
      </c>
      <c r="U58" s="222">
        <v>18644.906622961866</v>
      </c>
      <c r="V58" s="210">
        <v>9612.7558061164764</v>
      </c>
      <c r="W58" s="215">
        <v>29924.710750678842</v>
      </c>
      <c r="X58" s="216">
        <v>743354.40728276572</v>
      </c>
      <c r="Y58" s="217">
        <v>52679.091929149792</v>
      </c>
      <c r="Z58" s="223"/>
      <c r="AA58" s="224"/>
      <c r="AB58" s="225"/>
      <c r="AC58" s="226"/>
      <c r="AD58" s="223"/>
      <c r="AE58" s="223"/>
      <c r="AF58" s="223"/>
      <c r="AG58" s="223"/>
      <c r="AH58" s="226"/>
      <c r="AI58" s="223"/>
      <c r="AJ58" s="223"/>
      <c r="AK58" s="226"/>
      <c r="AL58" s="223"/>
    </row>
    <row r="59" spans="1:38" ht="17.100000000000001" hidden="1" customHeight="1">
      <c r="A59" s="219">
        <v>39995</v>
      </c>
      <c r="B59" s="210">
        <v>2382.8695062672741</v>
      </c>
      <c r="C59" s="210">
        <v>13048.835097213314</v>
      </c>
      <c r="D59" s="210">
        <v>4.0000000000000001E-8</v>
      </c>
      <c r="E59" s="212">
        <v>15431.704603520588</v>
      </c>
      <c r="F59" s="210">
        <v>199585.28677568611</v>
      </c>
      <c r="G59" s="210">
        <v>5340.5929018179913</v>
      </c>
      <c r="H59" s="210">
        <v>7465.6337234712064</v>
      </c>
      <c r="I59" s="210">
        <v>379.55498977126678</v>
      </c>
      <c r="J59" s="210">
        <v>220170.1837117885</v>
      </c>
      <c r="K59" s="212">
        <v>432941.2521025351</v>
      </c>
      <c r="L59" s="220">
        <v>33229.447500481634</v>
      </c>
      <c r="M59" s="210">
        <v>26523.371390975357</v>
      </c>
      <c r="N59" s="210">
        <v>-4.4595000000047236E-4</v>
      </c>
      <c r="O59" s="212">
        <v>59752.818445506993</v>
      </c>
      <c r="P59" s="210">
        <v>1005.70229095</v>
      </c>
      <c r="Q59" s="210">
        <v>2848.741702572057</v>
      </c>
      <c r="R59" s="210">
        <v>171246.85957813429</v>
      </c>
      <c r="S59" s="210">
        <v>8239.6431219971782</v>
      </c>
      <c r="T59" s="221">
        <v>183340.9466936535</v>
      </c>
      <c r="U59" s="222">
        <v>17930.454582945833</v>
      </c>
      <c r="V59" s="210">
        <v>1007.347995254158</v>
      </c>
      <c r="W59" s="215">
        <v>28325.579542666805</v>
      </c>
      <c r="X59" s="216">
        <v>738730.10396608291</v>
      </c>
      <c r="Y59" s="217">
        <v>53516.95281016775</v>
      </c>
      <c r="Z59" s="223"/>
      <c r="AA59" s="224"/>
      <c r="AB59" s="225"/>
      <c r="AC59" s="226"/>
      <c r="AD59" s="223"/>
      <c r="AE59" s="223"/>
      <c r="AF59" s="223"/>
      <c r="AG59" s="223"/>
      <c r="AH59" s="226"/>
      <c r="AI59" s="223"/>
      <c r="AJ59" s="223"/>
      <c r="AK59" s="226"/>
      <c r="AL59" s="223"/>
    </row>
    <row r="60" spans="1:38" ht="17.100000000000001" hidden="1" customHeight="1">
      <c r="A60" s="219">
        <v>40026</v>
      </c>
      <c r="B60" s="210">
        <v>2372.0640500348227</v>
      </c>
      <c r="C60" s="210">
        <v>12911.904016429913</v>
      </c>
      <c r="D60" s="210">
        <v>4.0000000000000001E-8</v>
      </c>
      <c r="E60" s="212">
        <v>15283.968066504734</v>
      </c>
      <c r="F60" s="210">
        <v>186924.74211456391</v>
      </c>
      <c r="G60" s="210">
        <v>6197.6560840047568</v>
      </c>
      <c r="H60" s="210">
        <v>7537.4695722724546</v>
      </c>
      <c r="I60" s="210">
        <v>391.12560458193701</v>
      </c>
      <c r="J60" s="210">
        <v>227479.78483927526</v>
      </c>
      <c r="K60" s="212">
        <v>428530.77821469831</v>
      </c>
      <c r="L60" s="220">
        <v>32852.730225507803</v>
      </c>
      <c r="M60" s="210">
        <v>26467.544237391921</v>
      </c>
      <c r="N60" s="210">
        <v>-1.9421000000008348E-4</v>
      </c>
      <c r="O60" s="212">
        <v>59320.274268689725</v>
      </c>
      <c r="P60" s="210">
        <v>978.69550494000009</v>
      </c>
      <c r="Q60" s="210">
        <v>2676.6677089507698</v>
      </c>
      <c r="R60" s="210">
        <v>171377.22431020188</v>
      </c>
      <c r="S60" s="210">
        <v>8224.6596805202153</v>
      </c>
      <c r="T60" s="221">
        <v>183257.24720461285</v>
      </c>
      <c r="U60" s="222">
        <v>17577.421130833947</v>
      </c>
      <c r="V60" s="210">
        <v>3511.7865561100925</v>
      </c>
      <c r="W60" s="215">
        <v>28883.94029621116</v>
      </c>
      <c r="X60" s="216">
        <v>736365.41573766083</v>
      </c>
      <c r="Y60" s="217">
        <v>56770.427401974914</v>
      </c>
      <c r="Z60" s="223"/>
      <c r="AA60" s="224"/>
      <c r="AB60" s="225"/>
      <c r="AC60" s="226"/>
      <c r="AD60" s="223"/>
      <c r="AE60" s="223"/>
      <c r="AF60" s="223"/>
      <c r="AG60" s="223"/>
      <c r="AH60" s="226"/>
      <c r="AI60" s="223"/>
      <c r="AJ60" s="223"/>
      <c r="AK60" s="226"/>
      <c r="AL60" s="223"/>
    </row>
    <row r="61" spans="1:38" ht="17.100000000000001" hidden="1" customHeight="1">
      <c r="A61" s="219">
        <v>40057</v>
      </c>
      <c r="B61" s="210">
        <v>2270.9747407396544</v>
      </c>
      <c r="C61" s="210">
        <v>13777.350565277988</v>
      </c>
      <c r="D61" s="210">
        <v>-4.0000000000000001E-8</v>
      </c>
      <c r="E61" s="212">
        <v>16048.325305977643</v>
      </c>
      <c r="F61" s="210">
        <v>184838.73397185601</v>
      </c>
      <c r="G61" s="210">
        <v>6738.7880661553581</v>
      </c>
      <c r="H61" s="210">
        <v>7527.2274972112864</v>
      </c>
      <c r="I61" s="210">
        <v>316.60675063207026</v>
      </c>
      <c r="J61" s="210">
        <v>225519.13353736146</v>
      </c>
      <c r="K61" s="212">
        <v>424940.48982321622</v>
      </c>
      <c r="L61" s="220">
        <v>31410.713395976705</v>
      </c>
      <c r="M61" s="210">
        <v>25349.573196798981</v>
      </c>
      <c r="N61" s="210">
        <v>-3.0500999999993894E-4</v>
      </c>
      <c r="O61" s="212">
        <v>56760.286287765688</v>
      </c>
      <c r="P61" s="210">
        <v>1003.63630024</v>
      </c>
      <c r="Q61" s="210">
        <v>2666.1609599262438</v>
      </c>
      <c r="R61" s="210">
        <v>169781.51646839036</v>
      </c>
      <c r="S61" s="210">
        <v>8376.7548721581443</v>
      </c>
      <c r="T61" s="221">
        <v>181828.06860071473</v>
      </c>
      <c r="U61" s="222">
        <v>17626.810904858539</v>
      </c>
      <c r="V61" s="210">
        <v>12700.115883948552</v>
      </c>
      <c r="W61" s="215">
        <v>28715.308075073539</v>
      </c>
      <c r="X61" s="216">
        <v>738619.40488155489</v>
      </c>
      <c r="Y61" s="217">
        <v>54026.892020260661</v>
      </c>
      <c r="Z61" s="223"/>
      <c r="AA61" s="224"/>
      <c r="AB61" s="225"/>
      <c r="AC61" s="226"/>
      <c r="AD61" s="223"/>
      <c r="AE61" s="223"/>
      <c r="AF61" s="223"/>
      <c r="AG61" s="223"/>
      <c r="AH61" s="226"/>
      <c r="AI61" s="223"/>
      <c r="AJ61" s="223"/>
      <c r="AK61" s="226"/>
      <c r="AL61" s="223"/>
    </row>
    <row r="62" spans="1:38" ht="17.100000000000001" hidden="1" customHeight="1">
      <c r="A62" s="219">
        <v>40087</v>
      </c>
      <c r="B62" s="210">
        <v>2307.4481992813303</v>
      </c>
      <c r="C62" s="210">
        <v>12206.56754091081</v>
      </c>
      <c r="D62" s="210">
        <v>-4.0000000000000001E-8</v>
      </c>
      <c r="E62" s="212">
        <v>14514.015740152141</v>
      </c>
      <c r="F62" s="210">
        <v>202144.01002198004</v>
      </c>
      <c r="G62" s="210">
        <v>7192.2973099495439</v>
      </c>
      <c r="H62" s="210">
        <v>7117.570719177349</v>
      </c>
      <c r="I62" s="210">
        <v>308.52558731316196</v>
      </c>
      <c r="J62" s="210">
        <v>210244.65961331848</v>
      </c>
      <c r="K62" s="212">
        <v>427007.06325173855</v>
      </c>
      <c r="L62" s="220">
        <v>33837.09297920455</v>
      </c>
      <c r="M62" s="210">
        <v>25366.706530736421</v>
      </c>
      <c r="N62" s="210">
        <v>2.802200000000532E-4</v>
      </c>
      <c r="O62" s="212">
        <v>59203.799790160978</v>
      </c>
      <c r="P62" s="210">
        <v>985.16581940999993</v>
      </c>
      <c r="Q62" s="210">
        <v>2682.929596335558</v>
      </c>
      <c r="R62" s="210">
        <v>169967.0147723952</v>
      </c>
      <c r="S62" s="210">
        <v>8302.3558300640834</v>
      </c>
      <c r="T62" s="221">
        <v>181937.46601820481</v>
      </c>
      <c r="U62" s="222">
        <v>16983.12483957535</v>
      </c>
      <c r="V62" s="210">
        <v>5216.054096469702</v>
      </c>
      <c r="W62" s="215">
        <v>29008.10477487617</v>
      </c>
      <c r="X62" s="216">
        <v>733869.62851117773</v>
      </c>
      <c r="Y62" s="217">
        <v>50243.165164153106</v>
      </c>
      <c r="Z62" s="223"/>
      <c r="AA62" s="224"/>
      <c r="AB62" s="225"/>
      <c r="AC62" s="226"/>
      <c r="AD62" s="223"/>
      <c r="AE62" s="223"/>
      <c r="AF62" s="223"/>
      <c r="AG62" s="223"/>
      <c r="AH62" s="226"/>
      <c r="AI62" s="223"/>
      <c r="AJ62" s="223"/>
      <c r="AK62" s="226"/>
      <c r="AL62" s="223"/>
    </row>
    <row r="63" spans="1:38" ht="17.100000000000001" hidden="1" customHeight="1">
      <c r="A63" s="219">
        <v>40118</v>
      </c>
      <c r="B63" s="210">
        <v>2500.8570033545293</v>
      </c>
      <c r="C63" s="210">
        <v>11629.663041222699</v>
      </c>
      <c r="D63" s="210">
        <v>0</v>
      </c>
      <c r="E63" s="212">
        <v>14130.520044577228</v>
      </c>
      <c r="F63" s="210">
        <v>199170.51935747339</v>
      </c>
      <c r="G63" s="210">
        <v>7443.4449799937865</v>
      </c>
      <c r="H63" s="210">
        <v>7567.9710630006502</v>
      </c>
      <c r="I63" s="210">
        <v>405.0909730760464</v>
      </c>
      <c r="J63" s="210">
        <v>204768.65731873107</v>
      </c>
      <c r="K63" s="212">
        <v>419355.68369227491</v>
      </c>
      <c r="L63" s="220">
        <v>33739.09375096234</v>
      </c>
      <c r="M63" s="210">
        <v>26156.280986041489</v>
      </c>
      <c r="N63" s="210">
        <v>8.7879999999929126E-5</v>
      </c>
      <c r="O63" s="212">
        <v>59895.374824883831</v>
      </c>
      <c r="P63" s="210">
        <v>1054.47010301</v>
      </c>
      <c r="Q63" s="210">
        <v>2566.5865455100002</v>
      </c>
      <c r="R63" s="210">
        <v>170630.26088054583</v>
      </c>
      <c r="S63" s="210">
        <v>8224.0762259592466</v>
      </c>
      <c r="T63" s="221">
        <v>182475.39375502508</v>
      </c>
      <c r="U63" s="222">
        <v>17191.143801646955</v>
      </c>
      <c r="V63" s="210">
        <v>4432.900399316125</v>
      </c>
      <c r="W63" s="215">
        <v>28934.693953399681</v>
      </c>
      <c r="X63" s="216">
        <v>726415.71047112392</v>
      </c>
      <c r="Y63" s="217">
        <v>52485.028766634619</v>
      </c>
      <c r="Z63" s="223"/>
      <c r="AA63" s="224"/>
      <c r="AB63" s="225"/>
      <c r="AC63" s="226"/>
      <c r="AD63" s="223"/>
      <c r="AE63" s="223"/>
      <c r="AF63" s="223"/>
      <c r="AG63" s="223"/>
      <c r="AH63" s="226"/>
      <c r="AI63" s="223"/>
      <c r="AJ63" s="223"/>
      <c r="AK63" s="226"/>
      <c r="AL63" s="223"/>
    </row>
    <row r="64" spans="1:38" ht="17.100000000000001" hidden="1" customHeight="1">
      <c r="A64" s="219">
        <v>40148</v>
      </c>
      <c r="B64" s="210">
        <v>3915.8101919802457</v>
      </c>
      <c r="C64" s="210">
        <v>14707.723298127281</v>
      </c>
      <c r="D64" s="210">
        <v>0</v>
      </c>
      <c r="E64" s="212">
        <v>18623.533490107526</v>
      </c>
      <c r="F64" s="210">
        <v>212882.82959792399</v>
      </c>
      <c r="G64" s="210">
        <v>9093.3874310360261</v>
      </c>
      <c r="H64" s="210">
        <v>7498.5332594366319</v>
      </c>
      <c r="I64" s="210">
        <v>624.59062635668545</v>
      </c>
      <c r="J64" s="210">
        <v>207189.02804542537</v>
      </c>
      <c r="K64" s="212">
        <v>437288.36896017869</v>
      </c>
      <c r="L64" s="220">
        <v>31694.190140637886</v>
      </c>
      <c r="M64" s="210">
        <v>26919.051777879555</v>
      </c>
      <c r="N64" s="210">
        <v>-2.1651000000000309E-4</v>
      </c>
      <c r="O64" s="212">
        <v>58613.241702007435</v>
      </c>
      <c r="P64" s="210">
        <v>1177.93864641</v>
      </c>
      <c r="Q64" s="210">
        <v>2597.0991705868482</v>
      </c>
      <c r="R64" s="210">
        <v>172902.19421826309</v>
      </c>
      <c r="S64" s="210">
        <v>7972.4800924038027</v>
      </c>
      <c r="T64" s="221">
        <v>184649.71212766369</v>
      </c>
      <c r="U64" s="222">
        <v>16984.090662227558</v>
      </c>
      <c r="V64" s="210">
        <v>3287.5360248108141</v>
      </c>
      <c r="W64" s="215">
        <v>31811.096855997894</v>
      </c>
      <c r="X64" s="216">
        <v>751257.57982299372</v>
      </c>
      <c r="Y64" s="217">
        <v>54541.08962479265</v>
      </c>
      <c r="Z64" s="223"/>
      <c r="AA64" s="224"/>
      <c r="AB64" s="225"/>
      <c r="AC64" s="226"/>
      <c r="AD64" s="223"/>
      <c r="AE64" s="223"/>
      <c r="AF64" s="223"/>
      <c r="AG64" s="223"/>
      <c r="AH64" s="226"/>
      <c r="AI64" s="223"/>
      <c r="AJ64" s="223"/>
      <c r="AK64" s="226"/>
      <c r="AL64" s="223"/>
    </row>
    <row r="65" spans="1:38" ht="24" hidden="1" customHeight="1">
      <c r="A65" s="219">
        <v>40179</v>
      </c>
      <c r="B65" s="210">
        <v>2780.023530206854</v>
      </c>
      <c r="C65" s="210">
        <v>13099.832837444601</v>
      </c>
      <c r="D65" s="210">
        <v>0</v>
      </c>
      <c r="E65" s="212">
        <v>15879.8</v>
      </c>
      <c r="F65" s="210">
        <v>221541.48925304678</v>
      </c>
      <c r="G65" s="210">
        <v>8266.5488434896215</v>
      </c>
      <c r="H65" s="210">
        <v>7503.3040874088001</v>
      </c>
      <c r="I65" s="210">
        <v>413.23181624107394</v>
      </c>
      <c r="J65" s="210">
        <v>208179.88808915144</v>
      </c>
      <c r="K65" s="212">
        <v>445904.4</v>
      </c>
      <c r="L65" s="220">
        <v>31832.421237908544</v>
      </c>
      <c r="M65" s="210">
        <v>27560.216865669645</v>
      </c>
      <c r="N65" s="210">
        <v>-1.5917999999981447E-4</v>
      </c>
      <c r="O65" s="212">
        <v>59392.637944398186</v>
      </c>
      <c r="P65" s="210">
        <v>1212.2202783599998</v>
      </c>
      <c r="Q65" s="210">
        <v>2590.5182837234652</v>
      </c>
      <c r="R65" s="210">
        <v>173058.13845241221</v>
      </c>
      <c r="S65" s="210">
        <v>7977.7670005267792</v>
      </c>
      <c r="T65" s="221">
        <v>184838.64401502244</v>
      </c>
      <c r="U65" s="222">
        <v>15314.753493705786</v>
      </c>
      <c r="V65" s="210">
        <v>7187.1286817944583</v>
      </c>
      <c r="W65" s="215">
        <v>32297.178702546567</v>
      </c>
      <c r="X65" s="216">
        <v>760814.66129445657</v>
      </c>
      <c r="Y65" s="217">
        <v>55548.169799877942</v>
      </c>
      <c r="Z65" s="223"/>
      <c r="AA65" s="224"/>
      <c r="AB65" s="225"/>
      <c r="AC65" s="226"/>
      <c r="AD65" s="223"/>
      <c r="AE65" s="223"/>
      <c r="AF65" s="223"/>
      <c r="AG65" s="223"/>
      <c r="AH65" s="226"/>
      <c r="AI65" s="223"/>
      <c r="AJ65" s="223"/>
      <c r="AK65" s="226"/>
      <c r="AL65" s="223"/>
    </row>
    <row r="66" spans="1:38" ht="24" hidden="1" customHeight="1">
      <c r="A66" s="219">
        <v>40210</v>
      </c>
      <c r="B66" s="210">
        <v>2660.6673514488489</v>
      </c>
      <c r="C66" s="210">
        <v>15436.769076361817</v>
      </c>
      <c r="D66" s="210">
        <v>0</v>
      </c>
      <c r="E66" s="212">
        <v>18097.436427810666</v>
      </c>
      <c r="F66" s="210">
        <v>213703.5873042364</v>
      </c>
      <c r="G66" s="210">
        <v>8110.8323936700262</v>
      </c>
      <c r="H66" s="210">
        <v>7349.2890265812584</v>
      </c>
      <c r="I66" s="210">
        <v>349.26166424818439</v>
      </c>
      <c r="J66" s="210">
        <v>223495.03616576595</v>
      </c>
      <c r="K66" s="212">
        <v>453008.00655450183</v>
      </c>
      <c r="L66" s="220">
        <v>31567.891394918039</v>
      </c>
      <c r="M66" s="210">
        <v>27710.946615091565</v>
      </c>
      <c r="N66" s="210">
        <v>0</v>
      </c>
      <c r="O66" s="212">
        <v>59278.838010009604</v>
      </c>
      <c r="P66" s="210">
        <v>1288.46467721</v>
      </c>
      <c r="Q66" s="210">
        <v>2676.7205614137247</v>
      </c>
      <c r="R66" s="210">
        <v>174117.69026635069</v>
      </c>
      <c r="S66" s="210">
        <v>7635.6720307078194</v>
      </c>
      <c r="T66" s="221">
        <v>185718.54753568224</v>
      </c>
      <c r="U66" s="222">
        <v>16513.464361601295</v>
      </c>
      <c r="V66" s="210">
        <v>6180.9169583330468</v>
      </c>
      <c r="W66" s="215">
        <v>30253.935396580069</v>
      </c>
      <c r="X66" s="216">
        <v>769051.14524451864</v>
      </c>
      <c r="Y66" s="217">
        <v>61589.256488542735</v>
      </c>
      <c r="Z66" s="223"/>
      <c r="AA66" s="224"/>
      <c r="AB66" s="225"/>
      <c r="AC66" s="226"/>
      <c r="AD66" s="223"/>
      <c r="AE66" s="223"/>
      <c r="AF66" s="223"/>
      <c r="AG66" s="223"/>
      <c r="AH66" s="226"/>
      <c r="AI66" s="223"/>
      <c r="AJ66" s="223"/>
      <c r="AK66" s="226"/>
      <c r="AL66" s="223"/>
    </row>
    <row r="67" spans="1:38" ht="24" hidden="1" customHeight="1">
      <c r="A67" s="219">
        <v>40238</v>
      </c>
      <c r="B67" s="210">
        <v>2897.6108960383258</v>
      </c>
      <c r="C67" s="210">
        <v>19037.869672340148</v>
      </c>
      <c r="D67" s="210">
        <v>0</v>
      </c>
      <c r="E67" s="212">
        <v>21935.480568378473</v>
      </c>
      <c r="F67" s="210">
        <v>226059.96133473181</v>
      </c>
      <c r="G67" s="210">
        <v>6403.4290238830799</v>
      </c>
      <c r="H67" s="210">
        <v>7068.583263869994</v>
      </c>
      <c r="I67" s="210">
        <v>428.86692854623249</v>
      </c>
      <c r="J67" s="210">
        <v>222838.09629763025</v>
      </c>
      <c r="K67" s="212">
        <v>462798.9368486614</v>
      </c>
      <c r="L67" s="220">
        <v>29082.739201372719</v>
      </c>
      <c r="M67" s="210">
        <v>27109.517113115129</v>
      </c>
      <c r="N67" s="210">
        <v>0</v>
      </c>
      <c r="O67" s="212">
        <v>56192.256314487851</v>
      </c>
      <c r="P67" s="210">
        <v>1341.65357657</v>
      </c>
      <c r="Q67" s="210">
        <v>2917.25126198</v>
      </c>
      <c r="R67" s="210">
        <v>176575.92054715083</v>
      </c>
      <c r="S67" s="210">
        <v>7692.3967565473622</v>
      </c>
      <c r="T67" s="221">
        <v>188527.22214224821</v>
      </c>
      <c r="U67" s="222">
        <v>16240.204882827016</v>
      </c>
      <c r="V67" s="210">
        <v>1368.2558203355959</v>
      </c>
      <c r="W67" s="215">
        <v>29527.425442278138</v>
      </c>
      <c r="X67" s="216">
        <v>776589.78201921657</v>
      </c>
      <c r="Y67" s="217">
        <v>60393.458922994294</v>
      </c>
      <c r="Z67" s="223"/>
      <c r="AA67" s="224"/>
      <c r="AB67" s="225"/>
      <c r="AC67" s="226"/>
      <c r="AD67" s="223"/>
      <c r="AE67" s="223"/>
      <c r="AF67" s="223"/>
      <c r="AG67" s="223"/>
      <c r="AH67" s="226"/>
      <c r="AI67" s="223"/>
      <c r="AJ67" s="223"/>
      <c r="AK67" s="226"/>
      <c r="AL67" s="223"/>
    </row>
    <row r="68" spans="1:38" ht="24" hidden="1" customHeight="1">
      <c r="A68" s="219">
        <v>40269</v>
      </c>
      <c r="B68" s="210">
        <v>2714.8940145849865</v>
      </c>
      <c r="C68" s="210">
        <v>16776.253461564178</v>
      </c>
      <c r="D68" s="210">
        <v>0</v>
      </c>
      <c r="E68" s="212">
        <v>19491.147476149163</v>
      </c>
      <c r="F68" s="210">
        <v>206888.80822615509</v>
      </c>
      <c r="G68" s="210">
        <v>6795.7797851839096</v>
      </c>
      <c r="H68" s="210">
        <v>7033.1904892048169</v>
      </c>
      <c r="I68" s="210">
        <v>319.51106514733038</v>
      </c>
      <c r="J68" s="210">
        <v>233229.12170045351</v>
      </c>
      <c r="K68" s="212">
        <v>454266.4112661446</v>
      </c>
      <c r="L68" s="220">
        <v>31919.457578443678</v>
      </c>
      <c r="M68" s="210">
        <v>26313.524998848003</v>
      </c>
      <c r="N68" s="210">
        <v>0</v>
      </c>
      <c r="O68" s="212">
        <v>58232.982577291681</v>
      </c>
      <c r="P68" s="210">
        <v>1403.4770519399999</v>
      </c>
      <c r="Q68" s="210">
        <v>2865.0513356261176</v>
      </c>
      <c r="R68" s="210">
        <v>176768.23369493458</v>
      </c>
      <c r="S68" s="210">
        <v>7710.5905080774355</v>
      </c>
      <c r="T68" s="221">
        <v>188747.35259057814</v>
      </c>
      <c r="U68" s="222">
        <v>15217.195867773229</v>
      </c>
      <c r="V68" s="210">
        <v>3428.5726745660982</v>
      </c>
      <c r="W68" s="215">
        <v>32298.11377464384</v>
      </c>
      <c r="X68" s="216">
        <v>771681.77622714674</v>
      </c>
      <c r="Y68" s="217">
        <v>61398.084538984862</v>
      </c>
      <c r="Z68" s="223"/>
      <c r="AA68" s="224"/>
      <c r="AB68" s="225"/>
      <c r="AC68" s="226"/>
      <c r="AD68" s="223"/>
      <c r="AE68" s="223"/>
      <c r="AF68" s="223"/>
      <c r="AG68" s="223"/>
      <c r="AH68" s="226"/>
      <c r="AI68" s="223"/>
      <c r="AJ68" s="223"/>
      <c r="AK68" s="226"/>
      <c r="AL68" s="223"/>
    </row>
    <row r="69" spans="1:38" ht="24" hidden="1" customHeight="1">
      <c r="A69" s="219">
        <v>40299</v>
      </c>
      <c r="B69" s="210">
        <v>2683.557411916996</v>
      </c>
      <c r="C69" s="210">
        <v>15996.911171375739</v>
      </c>
      <c r="D69" s="210">
        <v>694.88758855869241</v>
      </c>
      <c r="E69" s="212">
        <v>19375.356171851428</v>
      </c>
      <c r="F69" s="210">
        <v>239446.130810979</v>
      </c>
      <c r="G69" s="210">
        <v>7512.3100360126364</v>
      </c>
      <c r="H69" s="210">
        <v>7497.6233504556176</v>
      </c>
      <c r="I69" s="210">
        <v>374.43364939408548</v>
      </c>
      <c r="J69" s="210">
        <v>268250.38378702919</v>
      </c>
      <c r="K69" s="212">
        <v>523080.88163387054</v>
      </c>
      <c r="L69" s="220">
        <v>32634.839654149891</v>
      </c>
      <c r="M69" s="210">
        <v>26152.909695297556</v>
      </c>
      <c r="N69" s="210">
        <v>0</v>
      </c>
      <c r="O69" s="212">
        <v>58787.749349447447</v>
      </c>
      <c r="P69" s="210">
        <v>1729.6492064599997</v>
      </c>
      <c r="Q69" s="210">
        <v>2997.6987194799999</v>
      </c>
      <c r="R69" s="210">
        <v>180200.70065512098</v>
      </c>
      <c r="S69" s="210">
        <v>7754.2647558558556</v>
      </c>
      <c r="T69" s="221">
        <v>192682.31333691682</v>
      </c>
      <c r="U69" s="222">
        <v>18727.052802755963</v>
      </c>
      <c r="V69" s="210">
        <v>5689.7084206375794</v>
      </c>
      <c r="W69" s="215">
        <v>30700.71833679163</v>
      </c>
      <c r="X69" s="216">
        <v>849043.78005227132</v>
      </c>
      <c r="Y69" s="217">
        <v>64053.956464669158</v>
      </c>
      <c r="Z69" s="223"/>
      <c r="AA69" s="224"/>
      <c r="AB69" s="225"/>
      <c r="AC69" s="226"/>
      <c r="AD69" s="223"/>
      <c r="AE69" s="223"/>
      <c r="AF69" s="223"/>
      <c r="AG69" s="223"/>
      <c r="AH69" s="226"/>
      <c r="AI69" s="223"/>
      <c r="AJ69" s="223"/>
      <c r="AK69" s="226"/>
      <c r="AL69" s="223"/>
    </row>
    <row r="70" spans="1:38" ht="15.75" hidden="1" customHeight="1">
      <c r="A70" s="219">
        <v>40330</v>
      </c>
      <c r="B70" s="210">
        <v>2744.4322192199897</v>
      </c>
      <c r="C70" s="210">
        <v>18819.32531309249</v>
      </c>
      <c r="D70" s="210">
        <v>0</v>
      </c>
      <c r="E70" s="212">
        <v>21563.75753231248</v>
      </c>
      <c r="F70" s="210">
        <v>225780.34421533521</v>
      </c>
      <c r="G70" s="210">
        <v>7740.0328000802938</v>
      </c>
      <c r="H70" s="210">
        <v>7296.8860074548129</v>
      </c>
      <c r="I70" s="210">
        <v>299.83977082985507</v>
      </c>
      <c r="J70" s="210">
        <v>269521.53249850444</v>
      </c>
      <c r="K70" s="212">
        <v>510638.63529220456</v>
      </c>
      <c r="L70" s="220">
        <v>31299.058851508038</v>
      </c>
      <c r="M70" s="210">
        <v>28297.081063237601</v>
      </c>
      <c r="N70" s="210">
        <v>0</v>
      </c>
      <c r="O70" s="212">
        <v>59596.13991474564</v>
      </c>
      <c r="P70" s="210">
        <v>1638.1805952499997</v>
      </c>
      <c r="Q70" s="210">
        <v>2930.1236476899949</v>
      </c>
      <c r="R70" s="210">
        <v>185296.70625810683</v>
      </c>
      <c r="S70" s="210">
        <v>7951.4446825652349</v>
      </c>
      <c r="T70" s="221">
        <v>197816.45518361207</v>
      </c>
      <c r="U70" s="222">
        <v>19242.166486380072</v>
      </c>
      <c r="V70" s="210">
        <v>2101.1977220421031</v>
      </c>
      <c r="W70" s="215">
        <v>32215.365324832113</v>
      </c>
      <c r="X70" s="216">
        <v>843173.71745612903</v>
      </c>
      <c r="Y70" s="217">
        <v>79090.043422740055</v>
      </c>
      <c r="Z70" s="223"/>
      <c r="AA70" s="224"/>
      <c r="AB70" s="225"/>
      <c r="AC70" s="226"/>
      <c r="AD70" s="223"/>
      <c r="AE70" s="223"/>
      <c r="AF70" s="223"/>
      <c r="AG70" s="223"/>
      <c r="AH70" s="226"/>
      <c r="AI70" s="223"/>
      <c r="AJ70" s="223"/>
      <c r="AK70" s="226"/>
      <c r="AL70" s="223"/>
    </row>
    <row r="71" spans="1:38" ht="15.75" hidden="1" customHeight="1">
      <c r="A71" s="219">
        <v>40360</v>
      </c>
      <c r="B71" s="210">
        <v>2586.1947508917551</v>
      </c>
      <c r="C71" s="210">
        <v>19039.82427787803</v>
      </c>
      <c r="D71" s="210">
        <v>0</v>
      </c>
      <c r="E71" s="212">
        <v>21626.019028769784</v>
      </c>
      <c r="F71" s="210">
        <v>178358.0784495954</v>
      </c>
      <c r="G71" s="210">
        <v>7177.1045137878791</v>
      </c>
      <c r="H71" s="210">
        <v>6919.373129896745</v>
      </c>
      <c r="I71" s="210">
        <v>324.09124885355664</v>
      </c>
      <c r="J71" s="210">
        <v>267099.02299618517</v>
      </c>
      <c r="K71" s="212">
        <v>459877.67033831874</v>
      </c>
      <c r="L71" s="220">
        <v>27408.656196896474</v>
      </c>
      <c r="M71" s="210">
        <v>29185.711126587135</v>
      </c>
      <c r="N71" s="210">
        <v>0</v>
      </c>
      <c r="O71" s="212">
        <v>56594.36732348361</v>
      </c>
      <c r="P71" s="210">
        <v>1696.5683253899999</v>
      </c>
      <c r="Q71" s="210">
        <v>2760.0300645921998</v>
      </c>
      <c r="R71" s="210">
        <v>184840.44994928729</v>
      </c>
      <c r="S71" s="210">
        <v>7948.273948986317</v>
      </c>
      <c r="T71" s="221">
        <v>197245.32228825579</v>
      </c>
      <c r="U71" s="222">
        <v>19176.608494810571</v>
      </c>
      <c r="V71" s="210">
        <v>5512.6420233722811</v>
      </c>
      <c r="W71" s="215">
        <v>36423.195411560788</v>
      </c>
      <c r="X71" s="216">
        <v>796455.82490857143</v>
      </c>
      <c r="Y71" s="217">
        <v>73033.526870446163</v>
      </c>
      <c r="Z71" s="223"/>
      <c r="AA71" s="224"/>
      <c r="AB71" s="225"/>
      <c r="AC71" s="226"/>
      <c r="AD71" s="223"/>
      <c r="AE71" s="223"/>
      <c r="AF71" s="223"/>
      <c r="AG71" s="223"/>
      <c r="AH71" s="226"/>
      <c r="AI71" s="223"/>
      <c r="AJ71" s="223"/>
      <c r="AK71" s="226"/>
      <c r="AL71" s="223"/>
    </row>
    <row r="72" spans="1:38" ht="15.75" hidden="1" customHeight="1">
      <c r="A72" s="219">
        <v>40391</v>
      </c>
      <c r="B72" s="210">
        <v>2818.0228882735619</v>
      </c>
      <c r="C72" s="210">
        <v>17178.780995102978</v>
      </c>
      <c r="D72" s="210">
        <v>1340.6746463657</v>
      </c>
      <c r="E72" s="212">
        <v>21337.478529742239</v>
      </c>
      <c r="F72" s="210">
        <v>206491.15862294834</v>
      </c>
      <c r="G72" s="210">
        <v>6795.2903854451206</v>
      </c>
      <c r="H72" s="210">
        <v>7199.5084492770966</v>
      </c>
      <c r="I72" s="210">
        <v>364.75861413030168</v>
      </c>
      <c r="J72" s="210">
        <v>274294.24598348816</v>
      </c>
      <c r="K72" s="212">
        <v>495144.96205528895</v>
      </c>
      <c r="L72" s="220">
        <v>25078.936098629147</v>
      </c>
      <c r="M72" s="210">
        <v>30057.419785408423</v>
      </c>
      <c r="N72" s="210">
        <v>0</v>
      </c>
      <c r="O72" s="212">
        <v>55136.35588403757</v>
      </c>
      <c r="P72" s="210">
        <v>1736.5770820400001</v>
      </c>
      <c r="Q72" s="210">
        <v>2919.1129399535139</v>
      </c>
      <c r="R72" s="210">
        <v>187172.31890265777</v>
      </c>
      <c r="S72" s="210">
        <v>7867.7877123153821</v>
      </c>
      <c r="T72" s="221">
        <v>199695.7966369667</v>
      </c>
      <c r="U72" s="222">
        <v>20414.573636164874</v>
      </c>
      <c r="V72" s="210">
        <v>6516.7847087439322</v>
      </c>
      <c r="W72" s="215">
        <v>32748.89822999324</v>
      </c>
      <c r="X72" s="216">
        <v>830994.84968093759</v>
      </c>
      <c r="Y72" s="217">
        <v>69579.8</v>
      </c>
      <c r="Z72" s="223"/>
      <c r="AA72" s="224"/>
      <c r="AB72" s="225"/>
      <c r="AC72" s="226"/>
      <c r="AD72" s="223"/>
      <c r="AE72" s="223"/>
      <c r="AF72" s="223"/>
      <c r="AG72" s="223"/>
      <c r="AH72" s="226"/>
      <c r="AI72" s="223"/>
      <c r="AJ72" s="223"/>
      <c r="AK72" s="226"/>
      <c r="AL72" s="223"/>
    </row>
    <row r="73" spans="1:38" ht="15.75" hidden="1" customHeight="1">
      <c r="A73" s="219">
        <v>40422</v>
      </c>
      <c r="B73" s="210">
        <v>2853.6926894947119</v>
      </c>
      <c r="C73" s="210">
        <v>17079.637266333291</v>
      </c>
      <c r="D73" s="210">
        <v>5124.3595836402001</v>
      </c>
      <c r="E73" s="212">
        <v>25057.689539468207</v>
      </c>
      <c r="F73" s="210">
        <v>209122.50444762688</v>
      </c>
      <c r="G73" s="210">
        <v>7502.5940707455266</v>
      </c>
      <c r="H73" s="210">
        <v>7062.799988615755</v>
      </c>
      <c r="I73" s="210">
        <v>403.02794922846999</v>
      </c>
      <c r="J73" s="210">
        <v>271407.28915970615</v>
      </c>
      <c r="K73" s="212">
        <v>495498.21561592282</v>
      </c>
      <c r="L73" s="220">
        <v>22793.818513925999</v>
      </c>
      <c r="M73" s="210">
        <v>30724.429712491798</v>
      </c>
      <c r="N73" s="210">
        <v>0</v>
      </c>
      <c r="O73" s="212">
        <v>53518.248226417796</v>
      </c>
      <c r="P73" s="210">
        <v>1742.1712046199998</v>
      </c>
      <c r="Q73" s="210">
        <v>2782.5529474936498</v>
      </c>
      <c r="R73" s="210">
        <v>188808.57599211409</v>
      </c>
      <c r="S73" s="210">
        <v>7995.4577349340834</v>
      </c>
      <c r="T73" s="221">
        <v>201328.7578791618</v>
      </c>
      <c r="U73" s="222">
        <v>19903.424060649515</v>
      </c>
      <c r="V73" s="210">
        <v>6503.7721792329221</v>
      </c>
      <c r="W73" s="215">
        <v>35718.252639442195</v>
      </c>
      <c r="X73" s="216">
        <v>837528.36014029512</v>
      </c>
      <c r="Y73" s="217">
        <v>68111.565201371603</v>
      </c>
      <c r="Z73" s="223"/>
      <c r="AA73" s="224"/>
      <c r="AB73" s="225"/>
      <c r="AC73" s="226"/>
      <c r="AD73" s="223"/>
      <c r="AE73" s="223"/>
      <c r="AF73" s="223"/>
      <c r="AG73" s="223"/>
      <c r="AH73" s="226"/>
      <c r="AI73" s="223"/>
      <c r="AJ73" s="223"/>
      <c r="AK73" s="226"/>
      <c r="AL73" s="223"/>
    </row>
    <row r="74" spans="1:38" ht="15.75" hidden="1" customHeight="1">
      <c r="A74" s="227" t="s">
        <v>236</v>
      </c>
      <c r="B74" s="210">
        <v>2652.2680539120252</v>
      </c>
      <c r="C74" s="210">
        <v>19591.282364363669</v>
      </c>
      <c r="D74" s="210">
        <v>5132.4733828159997</v>
      </c>
      <c r="E74" s="212">
        <v>27376.023801091695</v>
      </c>
      <c r="F74" s="210">
        <v>212395.64738014841</v>
      </c>
      <c r="G74" s="210">
        <v>6459.3742641344843</v>
      </c>
      <c r="H74" s="210">
        <v>7617.1923113906796</v>
      </c>
      <c r="I74" s="210">
        <v>504.61739530451769</v>
      </c>
      <c r="J74" s="210">
        <v>266537.07394599478</v>
      </c>
      <c r="K74" s="212">
        <v>493513.90529697284</v>
      </c>
      <c r="L74" s="220">
        <v>21656.409726817394</v>
      </c>
      <c r="M74" s="210">
        <v>30699.32103295661</v>
      </c>
      <c r="N74" s="210">
        <v>0</v>
      </c>
      <c r="O74" s="212">
        <v>52355.730759774</v>
      </c>
      <c r="P74" s="210">
        <v>1780.2244891124328</v>
      </c>
      <c r="Q74" s="210">
        <v>2923.0782221668715</v>
      </c>
      <c r="R74" s="210">
        <v>190550.03250973506</v>
      </c>
      <c r="S74" s="210">
        <v>8019.9183582533242</v>
      </c>
      <c r="T74" s="221">
        <v>203273.25357926768</v>
      </c>
      <c r="U74" s="222">
        <v>19535.955546566296</v>
      </c>
      <c r="V74" s="210">
        <v>7507.0259352029034</v>
      </c>
      <c r="W74" s="215">
        <v>38316.494944674312</v>
      </c>
      <c r="X74" s="216">
        <v>841878.38986354973</v>
      </c>
      <c r="Y74" s="217">
        <v>70730.430464873731</v>
      </c>
      <c r="Z74" s="223"/>
      <c r="AA74" s="224"/>
      <c r="AB74" s="225"/>
      <c r="AC74" s="226"/>
      <c r="AD74" s="223"/>
      <c r="AE74" s="223"/>
      <c r="AF74" s="223"/>
      <c r="AG74" s="223"/>
      <c r="AH74" s="226"/>
      <c r="AI74" s="223"/>
      <c r="AJ74" s="223"/>
      <c r="AK74" s="226"/>
      <c r="AL74" s="223"/>
    </row>
    <row r="75" spans="1:38" ht="15.75" hidden="1" customHeight="1">
      <c r="A75" s="219">
        <v>40483</v>
      </c>
      <c r="B75" s="210">
        <v>2792.2492223402805</v>
      </c>
      <c r="C75" s="210">
        <v>20371.657220595825</v>
      </c>
      <c r="D75" s="210">
        <v>5120.6615816106296</v>
      </c>
      <c r="E75" s="212">
        <v>28284.568024546737</v>
      </c>
      <c r="F75" s="210">
        <v>215222.78794147616</v>
      </c>
      <c r="G75" s="210">
        <v>6208.1048063073995</v>
      </c>
      <c r="H75" s="210">
        <v>7359.4560861646387</v>
      </c>
      <c r="I75" s="210">
        <v>443.02881424329303</v>
      </c>
      <c r="J75" s="210">
        <v>266309.39584555058</v>
      </c>
      <c r="K75" s="212">
        <v>495542.7734937421</v>
      </c>
      <c r="L75" s="220">
        <v>22677.553178399787</v>
      </c>
      <c r="M75" s="210">
        <v>30623.326830519174</v>
      </c>
      <c r="N75" s="210">
        <v>0</v>
      </c>
      <c r="O75" s="212">
        <v>53300.880008918961</v>
      </c>
      <c r="P75" s="210">
        <v>1826.9919332100001</v>
      </c>
      <c r="Q75" s="210">
        <v>3117.7225766264401</v>
      </c>
      <c r="R75" s="210">
        <v>191939.86733791602</v>
      </c>
      <c r="S75" s="210">
        <v>8222.609143867845</v>
      </c>
      <c r="T75" s="221">
        <v>205107.1909916203</v>
      </c>
      <c r="U75" s="222">
        <v>19692.23394572805</v>
      </c>
      <c r="V75" s="210">
        <v>8676.5384254040127</v>
      </c>
      <c r="W75" s="215">
        <v>44400.893902674143</v>
      </c>
      <c r="X75" s="216">
        <v>855005.0787926343</v>
      </c>
      <c r="Y75" s="217">
        <v>61026.755245199034</v>
      </c>
      <c r="Z75" s="223"/>
      <c r="AA75" s="224"/>
      <c r="AB75" s="225"/>
      <c r="AC75" s="226"/>
      <c r="AD75" s="223"/>
      <c r="AE75" s="223"/>
      <c r="AF75" s="223"/>
      <c r="AG75" s="223"/>
      <c r="AH75" s="226"/>
      <c r="AI75" s="223"/>
      <c r="AJ75" s="223"/>
      <c r="AK75" s="226"/>
      <c r="AL75" s="223"/>
    </row>
    <row r="76" spans="1:38" ht="15.75" hidden="1" customHeight="1">
      <c r="A76" s="219">
        <v>40513</v>
      </c>
      <c r="B76" s="210">
        <v>3616.2577962918376</v>
      </c>
      <c r="C76" s="210">
        <v>22158.044021089943</v>
      </c>
      <c r="D76" s="210">
        <v>3644.6352118236568</v>
      </c>
      <c r="E76" s="212">
        <v>29418.937029205437</v>
      </c>
      <c r="F76" s="210">
        <v>213379.96359807596</v>
      </c>
      <c r="G76" s="210">
        <v>6338.8620633331029</v>
      </c>
      <c r="H76" s="210">
        <v>7607.0238474533262</v>
      </c>
      <c r="I76" s="210">
        <v>589.66209495500061</v>
      </c>
      <c r="J76" s="210">
        <v>270841.96615080861</v>
      </c>
      <c r="K76" s="212">
        <v>498757.47775462602</v>
      </c>
      <c r="L76" s="220">
        <v>24209.625501544244</v>
      </c>
      <c r="M76" s="210">
        <v>31153.374765343011</v>
      </c>
      <c r="N76" s="210">
        <v>0</v>
      </c>
      <c r="O76" s="212">
        <v>55363.000266887255</v>
      </c>
      <c r="P76" s="210">
        <v>1876.4468153099999</v>
      </c>
      <c r="Q76" s="210">
        <v>3241.766021875625</v>
      </c>
      <c r="R76" s="210">
        <v>195702.54394124955</v>
      </c>
      <c r="S76" s="210">
        <v>8748.7655749084061</v>
      </c>
      <c r="T76" s="221">
        <v>209569.52235334358</v>
      </c>
      <c r="U76" s="222">
        <v>20427.685689689079</v>
      </c>
      <c r="V76" s="210">
        <v>4536.1935280835087</v>
      </c>
      <c r="W76" s="215">
        <v>45394.63205186202</v>
      </c>
      <c r="X76" s="216">
        <v>863467.44867369696</v>
      </c>
      <c r="Y76" s="217">
        <v>72453.813803695622</v>
      </c>
      <c r="Z76" s="223"/>
      <c r="AA76" s="224"/>
      <c r="AB76" s="225"/>
      <c r="AC76" s="226"/>
      <c r="AD76" s="223"/>
      <c r="AE76" s="223"/>
      <c r="AF76" s="223"/>
      <c r="AG76" s="223"/>
      <c r="AH76" s="226"/>
      <c r="AI76" s="223"/>
      <c r="AJ76" s="223"/>
      <c r="AK76" s="226"/>
      <c r="AL76" s="223"/>
    </row>
    <row r="77" spans="1:38" ht="15.75" hidden="1" customHeight="1">
      <c r="A77" s="219">
        <v>40544</v>
      </c>
      <c r="B77" s="210">
        <v>3225.5843576301813</v>
      </c>
      <c r="C77" s="210">
        <v>22865.728545631078</v>
      </c>
      <c r="D77" s="210">
        <v>4286.3040422811182</v>
      </c>
      <c r="E77" s="212">
        <v>30377.616945542377</v>
      </c>
      <c r="F77" s="210">
        <v>212736.01270389627</v>
      </c>
      <c r="G77" s="210">
        <v>5098.1118903319548</v>
      </c>
      <c r="H77" s="210">
        <v>7488.9835415830075</v>
      </c>
      <c r="I77" s="210">
        <v>635.53063199232338</v>
      </c>
      <c r="J77" s="210">
        <v>262326.09663083911</v>
      </c>
      <c r="K77" s="212">
        <v>488284.73539864266</v>
      </c>
      <c r="L77" s="220">
        <v>23458.773238433878</v>
      </c>
      <c r="M77" s="210">
        <v>29604.37239004151</v>
      </c>
      <c r="N77" s="210">
        <v>-3.7999999988824127E-7</v>
      </c>
      <c r="O77" s="212">
        <v>53063.145628095386</v>
      </c>
      <c r="P77" s="210">
        <v>1828.02485572</v>
      </c>
      <c r="Q77" s="210">
        <v>3160.7625865800965</v>
      </c>
      <c r="R77" s="210">
        <v>193931.31380575561</v>
      </c>
      <c r="S77" s="210">
        <v>8648.8833144157834</v>
      </c>
      <c r="T77" s="221">
        <v>207568.98456247148</v>
      </c>
      <c r="U77" s="222">
        <v>20451.283387642052</v>
      </c>
      <c r="V77" s="210">
        <v>7453.2866069876854</v>
      </c>
      <c r="W77" s="215">
        <v>42879.796657467159</v>
      </c>
      <c r="X77" s="216">
        <v>850078.84918684885</v>
      </c>
      <c r="Y77" s="217">
        <v>70234.770978216868</v>
      </c>
      <c r="Z77" s="223"/>
      <c r="AA77" s="224"/>
      <c r="AB77" s="225"/>
      <c r="AC77" s="226"/>
      <c r="AD77" s="223"/>
      <c r="AE77" s="223"/>
      <c r="AF77" s="223"/>
      <c r="AG77" s="223"/>
      <c r="AH77" s="226"/>
      <c r="AI77" s="223"/>
      <c r="AJ77" s="223"/>
      <c r="AK77" s="226"/>
      <c r="AL77" s="223"/>
    </row>
    <row r="78" spans="1:38" ht="15.75" hidden="1" customHeight="1">
      <c r="A78" s="219">
        <v>40575</v>
      </c>
      <c r="B78" s="210">
        <v>2789.0219851159918</v>
      </c>
      <c r="C78" s="210">
        <v>22793.221585526288</v>
      </c>
      <c r="D78" s="210">
        <v>5484.737176855755</v>
      </c>
      <c r="E78" s="212">
        <v>31066.980747498033</v>
      </c>
      <c r="F78" s="210">
        <v>216046.12511097974</v>
      </c>
      <c r="G78" s="210">
        <v>4689.7670654446274</v>
      </c>
      <c r="H78" s="210">
        <v>7569.884346578644</v>
      </c>
      <c r="I78" s="210">
        <v>458.82486672154221</v>
      </c>
      <c r="J78" s="210">
        <v>263587.37333366123</v>
      </c>
      <c r="K78" s="212">
        <v>492351.97472338582</v>
      </c>
      <c r="L78" s="220">
        <v>23364.63550813137</v>
      </c>
      <c r="M78" s="210">
        <v>28384.956497972027</v>
      </c>
      <c r="N78" s="210">
        <v>0</v>
      </c>
      <c r="O78" s="212">
        <v>51749.592006103398</v>
      </c>
      <c r="P78" s="210">
        <v>1791.5602022099999</v>
      </c>
      <c r="Q78" s="210">
        <v>3225.7377535037813</v>
      </c>
      <c r="R78" s="210">
        <v>195732.6338296523</v>
      </c>
      <c r="S78" s="210">
        <v>8799.1596146674347</v>
      </c>
      <c r="T78" s="221">
        <v>209549.0914000335</v>
      </c>
      <c r="U78" s="222">
        <v>20691.085174811651</v>
      </c>
      <c r="V78" s="210">
        <v>5609.3739375352425</v>
      </c>
      <c r="W78" s="215">
        <v>44302.194425451475</v>
      </c>
      <c r="X78" s="216">
        <v>855320.29241481901</v>
      </c>
      <c r="Y78" s="217">
        <v>74332.888893920986</v>
      </c>
      <c r="Z78" s="223"/>
      <c r="AA78" s="224"/>
      <c r="AB78" s="225"/>
      <c r="AC78" s="226"/>
      <c r="AD78" s="223"/>
      <c r="AE78" s="223"/>
      <c r="AF78" s="223"/>
      <c r="AG78" s="223"/>
      <c r="AH78" s="226"/>
      <c r="AI78" s="223"/>
      <c r="AJ78" s="223"/>
      <c r="AK78" s="226"/>
      <c r="AL78" s="223"/>
    </row>
    <row r="79" spans="1:38" ht="15.75" hidden="1" customHeight="1">
      <c r="A79" s="219">
        <v>40603</v>
      </c>
      <c r="B79" s="210">
        <v>3063.9193258381529</v>
      </c>
      <c r="C79" s="210">
        <v>21929.962441261283</v>
      </c>
      <c r="D79" s="210">
        <v>5089.9681918370989</v>
      </c>
      <c r="E79" s="212">
        <v>30083.849958936535</v>
      </c>
      <c r="F79" s="210">
        <v>177639.23883035607</v>
      </c>
      <c r="G79" s="210">
        <v>4901.585761290361</v>
      </c>
      <c r="H79" s="210">
        <v>7328.9037064704817</v>
      </c>
      <c r="I79" s="210">
        <v>337.53798993913193</v>
      </c>
      <c r="J79" s="210">
        <v>268490.42036553135</v>
      </c>
      <c r="K79" s="212">
        <v>458697.68665358739</v>
      </c>
      <c r="L79" s="220">
        <v>23770.001544924096</v>
      </c>
      <c r="M79" s="210">
        <v>27862.283991310411</v>
      </c>
      <c r="N79" s="210">
        <v>0</v>
      </c>
      <c r="O79" s="212">
        <v>51632.285536234507</v>
      </c>
      <c r="P79" s="210">
        <v>2021.0745067100002</v>
      </c>
      <c r="Q79" s="210">
        <v>2911.3008551143203</v>
      </c>
      <c r="R79" s="210">
        <v>196056.09690503727</v>
      </c>
      <c r="S79" s="210">
        <v>8900.1375993667207</v>
      </c>
      <c r="T79" s="221">
        <v>209888.6098662283</v>
      </c>
      <c r="U79" s="222">
        <v>21549.573097771052</v>
      </c>
      <c r="V79" s="210">
        <v>3777.4874615691347</v>
      </c>
      <c r="W79" s="215">
        <v>49542.515383962127</v>
      </c>
      <c r="X79" s="216">
        <v>825172.007958289</v>
      </c>
      <c r="Y79" s="217">
        <v>75589.158320363349</v>
      </c>
      <c r="Z79" s="223"/>
      <c r="AA79" s="224"/>
      <c r="AB79" s="225"/>
      <c r="AC79" s="226"/>
      <c r="AD79" s="223"/>
      <c r="AE79" s="223"/>
      <c r="AF79" s="223"/>
      <c r="AG79" s="223"/>
      <c r="AH79" s="226"/>
      <c r="AI79" s="223"/>
      <c r="AJ79" s="223"/>
      <c r="AK79" s="226"/>
      <c r="AL79" s="223"/>
    </row>
    <row r="80" spans="1:38" ht="15.75" hidden="1" customHeight="1">
      <c r="A80" s="219">
        <v>40634</v>
      </c>
      <c r="B80" s="210">
        <v>2705.8164150554585</v>
      </c>
      <c r="C80" s="210">
        <v>22959.214333860637</v>
      </c>
      <c r="D80" s="210">
        <v>5292.9957092716177</v>
      </c>
      <c r="E80" s="212">
        <v>30958.026458187713</v>
      </c>
      <c r="F80" s="210">
        <v>214205.9173297674</v>
      </c>
      <c r="G80" s="210">
        <v>4532.9920135676648</v>
      </c>
      <c r="H80" s="210">
        <v>6944.0728612010171</v>
      </c>
      <c r="I80" s="210">
        <v>437.21727384792217</v>
      </c>
      <c r="J80" s="210">
        <v>263041.8904447247</v>
      </c>
      <c r="K80" s="212">
        <v>489162.0899231087</v>
      </c>
      <c r="L80" s="220">
        <v>23741.459320154816</v>
      </c>
      <c r="M80" s="210">
        <v>28593.697072701903</v>
      </c>
      <c r="N80" s="210">
        <v>1.4625000000023647E-4</v>
      </c>
      <c r="O80" s="212">
        <v>52335.15653910672</v>
      </c>
      <c r="P80" s="210">
        <v>2073.7466184099999</v>
      </c>
      <c r="Q80" s="210">
        <v>3005.6227395250662</v>
      </c>
      <c r="R80" s="210">
        <v>197709.00641826532</v>
      </c>
      <c r="S80" s="210">
        <v>9012.0854666104715</v>
      </c>
      <c r="T80" s="221">
        <v>211800.46124281085</v>
      </c>
      <c r="U80" s="222">
        <v>20818.192582347841</v>
      </c>
      <c r="V80" s="210">
        <v>3199.6368082277017</v>
      </c>
      <c r="W80" s="215">
        <v>48366.347275845961</v>
      </c>
      <c r="X80" s="216">
        <v>856639.91082963557</v>
      </c>
      <c r="Y80" s="217">
        <v>74222.737103658146</v>
      </c>
      <c r="Z80" s="223"/>
      <c r="AA80" s="224"/>
      <c r="AB80" s="225"/>
      <c r="AC80" s="226"/>
      <c r="AD80" s="223"/>
      <c r="AE80" s="223"/>
      <c r="AF80" s="223"/>
      <c r="AG80" s="223"/>
      <c r="AH80" s="226"/>
      <c r="AI80" s="223"/>
      <c r="AJ80" s="223"/>
      <c r="AK80" s="226"/>
      <c r="AL80" s="223"/>
    </row>
    <row r="81" spans="1:38" ht="15.75" hidden="1" customHeight="1">
      <c r="A81" s="219">
        <v>40664</v>
      </c>
      <c r="B81" s="210">
        <v>3000.0062699328291</v>
      </c>
      <c r="C81" s="210">
        <v>20852.072573058114</v>
      </c>
      <c r="D81" s="210">
        <v>6155.7071333131389</v>
      </c>
      <c r="E81" s="212">
        <v>30007.785976304083</v>
      </c>
      <c r="F81" s="210">
        <v>175045.0754913305</v>
      </c>
      <c r="G81" s="210">
        <v>4344.8813409041904</v>
      </c>
      <c r="H81" s="210">
        <v>8059.9749926756294</v>
      </c>
      <c r="I81" s="210">
        <v>347.67298356067403</v>
      </c>
      <c r="J81" s="210">
        <v>267856.61801254831</v>
      </c>
      <c r="K81" s="212">
        <v>455654.2228210193</v>
      </c>
      <c r="L81" s="220">
        <v>24577.810442849099</v>
      </c>
      <c r="M81" s="210">
        <v>27460.832777376123</v>
      </c>
      <c r="N81" s="210">
        <v>0</v>
      </c>
      <c r="O81" s="212">
        <v>52038.643220225218</v>
      </c>
      <c r="P81" s="210">
        <v>2106.0621074900005</v>
      </c>
      <c r="Q81" s="210">
        <v>2899.2770230959554</v>
      </c>
      <c r="R81" s="210">
        <v>198688.98156546062</v>
      </c>
      <c r="S81" s="210">
        <v>9074.0540482481611</v>
      </c>
      <c r="T81" s="221">
        <v>212768.37474429474</v>
      </c>
      <c r="U81" s="222">
        <v>21804.283013493809</v>
      </c>
      <c r="V81" s="210">
        <v>3691.377350635229</v>
      </c>
      <c r="W81" s="215">
        <v>50331.705088058763</v>
      </c>
      <c r="X81" s="216">
        <v>826296.39221403108</v>
      </c>
      <c r="Y81" s="217">
        <v>76957.781246871265</v>
      </c>
      <c r="Z81" s="223"/>
      <c r="AA81" s="224"/>
      <c r="AB81" s="225"/>
      <c r="AC81" s="226"/>
      <c r="AD81" s="223"/>
      <c r="AE81" s="223"/>
      <c r="AF81" s="223"/>
      <c r="AG81" s="223"/>
      <c r="AH81" s="226"/>
      <c r="AI81" s="223"/>
      <c r="AJ81" s="223"/>
      <c r="AK81" s="226"/>
      <c r="AL81" s="223"/>
    </row>
    <row r="82" spans="1:38" ht="15.75" hidden="1" customHeight="1">
      <c r="A82" s="219">
        <v>40695</v>
      </c>
      <c r="B82" s="210">
        <v>2936.6751681768264</v>
      </c>
      <c r="C82" s="210">
        <v>21543.726431744282</v>
      </c>
      <c r="D82" s="210">
        <v>7354.6553030121568</v>
      </c>
      <c r="E82" s="212">
        <v>31835.056902933266</v>
      </c>
      <c r="F82" s="210">
        <v>199741.0461100158</v>
      </c>
      <c r="G82" s="210">
        <v>5568.9404552623573</v>
      </c>
      <c r="H82" s="210">
        <v>8800.2736034388272</v>
      </c>
      <c r="I82" s="210">
        <v>258.79348738965939</v>
      </c>
      <c r="J82" s="210">
        <v>282419.11159923853</v>
      </c>
      <c r="K82" s="212">
        <v>496788.16525534517</v>
      </c>
      <c r="L82" s="220">
        <v>24144.934497290309</v>
      </c>
      <c r="M82" s="210">
        <v>27352.174444878925</v>
      </c>
      <c r="N82" s="210">
        <v>0</v>
      </c>
      <c r="O82" s="212">
        <v>51497.10894216923</v>
      </c>
      <c r="P82" s="210">
        <v>2156.5839423800003</v>
      </c>
      <c r="Q82" s="210">
        <v>3146.1639456446578</v>
      </c>
      <c r="R82" s="210">
        <v>202016.91875500561</v>
      </c>
      <c r="S82" s="210">
        <v>9255.5049622427105</v>
      </c>
      <c r="T82" s="221">
        <v>216575.17160527298</v>
      </c>
      <c r="U82" s="222">
        <v>21697.245580654038</v>
      </c>
      <c r="V82" s="210">
        <v>3776.313118616732</v>
      </c>
      <c r="W82" s="215">
        <v>52908.002071598756</v>
      </c>
      <c r="X82" s="216">
        <v>875077.06347659009</v>
      </c>
      <c r="Y82" s="217">
        <v>78346.26749010841</v>
      </c>
      <c r="Z82" s="223"/>
      <c r="AA82" s="224"/>
      <c r="AB82" s="225"/>
      <c r="AC82" s="226"/>
      <c r="AD82" s="223"/>
      <c r="AE82" s="223"/>
      <c r="AF82" s="223"/>
      <c r="AG82" s="223"/>
      <c r="AH82" s="226"/>
      <c r="AI82" s="223"/>
      <c r="AJ82" s="223"/>
      <c r="AK82" s="226"/>
      <c r="AL82" s="223"/>
    </row>
    <row r="83" spans="1:38" ht="15.75" hidden="1" customHeight="1">
      <c r="A83" s="219">
        <v>40725</v>
      </c>
      <c r="B83" s="210">
        <v>2859.8503637397707</v>
      </c>
      <c r="C83" s="210">
        <v>21040.443483399824</v>
      </c>
      <c r="D83" s="210">
        <v>7954.8583207552874</v>
      </c>
      <c r="E83" s="212">
        <v>31855.152167894881</v>
      </c>
      <c r="F83" s="210">
        <v>179502.18365970708</v>
      </c>
      <c r="G83" s="210">
        <v>6218.9539309351749</v>
      </c>
      <c r="H83" s="210">
        <v>8672.7557852685568</v>
      </c>
      <c r="I83" s="210">
        <v>410.66970653098201</v>
      </c>
      <c r="J83" s="210">
        <v>286196.02315934189</v>
      </c>
      <c r="K83" s="212">
        <v>481000.58624178369</v>
      </c>
      <c r="L83" s="220">
        <v>24841.530352050224</v>
      </c>
      <c r="M83" s="210">
        <v>27423.323500567094</v>
      </c>
      <c r="N83" s="210">
        <v>0</v>
      </c>
      <c r="O83" s="212">
        <v>52264.853852617322</v>
      </c>
      <c r="P83" s="210">
        <v>2189.6837342899998</v>
      </c>
      <c r="Q83" s="210">
        <v>2998.1004229363793</v>
      </c>
      <c r="R83" s="210">
        <v>204220.26709719573</v>
      </c>
      <c r="S83" s="210">
        <v>9115.5414143006383</v>
      </c>
      <c r="T83" s="221">
        <v>218523.59266872273</v>
      </c>
      <c r="U83" s="222">
        <v>22125.953862983071</v>
      </c>
      <c r="V83" s="210">
        <v>677.75062408921565</v>
      </c>
      <c r="W83" s="215">
        <v>47497.857586786413</v>
      </c>
      <c r="X83" s="216">
        <v>853945.74700487731</v>
      </c>
      <c r="Y83" s="217">
        <v>78224.745723918531</v>
      </c>
      <c r="Z83" s="223"/>
      <c r="AA83" s="224"/>
      <c r="AB83" s="225"/>
      <c r="AC83" s="226"/>
      <c r="AD83" s="223"/>
      <c r="AE83" s="223"/>
      <c r="AF83" s="223"/>
      <c r="AG83" s="223"/>
      <c r="AH83" s="226"/>
      <c r="AI83" s="223"/>
      <c r="AJ83" s="223"/>
      <c r="AK83" s="226"/>
      <c r="AL83" s="223"/>
    </row>
    <row r="84" spans="1:38" ht="15.75" hidden="1" customHeight="1">
      <c r="A84" s="219">
        <v>40756</v>
      </c>
      <c r="B84" s="210">
        <f>[3]ADJ!$B83</f>
        <v>3375.3384309329995</v>
      </c>
      <c r="C84" s="210">
        <f>[3]ADJ!$C83</f>
        <v>22392.698689076999</v>
      </c>
      <c r="D84" s="210">
        <f>[3]ADJ!$D83</f>
        <v>7682.1327746235002</v>
      </c>
      <c r="E84" s="212">
        <f>[3]ADJ!$E83</f>
        <v>33450.169894633495</v>
      </c>
      <c r="F84" s="210">
        <f>[3]ADJ!$K83</f>
        <v>166230.86015341053</v>
      </c>
      <c r="G84" s="210">
        <f>[3]ADJ!$L83</f>
        <v>7042.4914972244997</v>
      </c>
      <c r="H84" s="210">
        <f>[3]ADJ!$M83</f>
        <v>12469.731554830501</v>
      </c>
      <c r="I84" s="210">
        <f>[3]ADJ!$N83</f>
        <v>347.47321022869482</v>
      </c>
      <c r="J84" s="210">
        <f>[3]ADJ!$O83</f>
        <v>291404.4771116653</v>
      </c>
      <c r="K84" s="212">
        <f>[3]ADJ!$P83</f>
        <v>477495.03352735948</v>
      </c>
      <c r="L84" s="220">
        <f>[3]ADJ!$F83</f>
        <v>23308.359653477502</v>
      </c>
      <c r="M84" s="210">
        <f>[3]ADJ!$G83</f>
        <v>27298.333473545503</v>
      </c>
      <c r="N84" s="210">
        <f>[3]ADJ!$H83</f>
        <v>0</v>
      </c>
      <c r="O84" s="212">
        <f>[3]ADJ!$I83</f>
        <v>50606.693127023005</v>
      </c>
      <c r="P84" s="210">
        <f>[3]ADJ!$Q83</f>
        <v>2133.1364882500002</v>
      </c>
      <c r="Q84" s="210">
        <f>[3]ADJ!$R83</f>
        <v>3083.261600522143</v>
      </c>
      <c r="R84" s="210">
        <f>[3]ADJ!$S83+[3]ADJ!$T83+[3]ADJ!$U83+[3]ADJ!$V83</f>
        <v>206399.69239687311</v>
      </c>
      <c r="S84" s="210">
        <f>[3]ADJ!$W83</f>
        <v>8932.7667650755011</v>
      </c>
      <c r="T84" s="221">
        <f>[3]ADJ!$X83</f>
        <v>220548.85725072076</v>
      </c>
      <c r="U84" s="222">
        <f>[3]ADJ!$Y83</f>
        <v>21644.789536806504</v>
      </c>
      <c r="V84" s="210">
        <f>[3]ADJ!$AC83</f>
        <v>3376.6940116475998</v>
      </c>
      <c r="W84" s="215">
        <f>[3]ADJ!$AD83+[3]ADJ!$J83</f>
        <v>35563.74454400465</v>
      </c>
      <c r="X84" s="216">
        <f>[3]ADJ!$AE83</f>
        <v>842685.98189219553</v>
      </c>
      <c r="Y84" s="217">
        <f>([4]TOTAL!$E$147+[4]TOTAL!$E$148+[4]TOTAL!$E$149)/1000000</f>
        <v>78201.485125693944</v>
      </c>
      <c r="Z84" s="223"/>
      <c r="AA84" s="224"/>
      <c r="AB84" s="225"/>
      <c r="AC84" s="226"/>
      <c r="AD84" s="223"/>
      <c r="AE84" s="223"/>
      <c r="AF84" s="223"/>
      <c r="AG84" s="223"/>
      <c r="AH84" s="226"/>
      <c r="AI84" s="223"/>
      <c r="AJ84" s="223"/>
      <c r="AK84" s="226"/>
      <c r="AL84" s="223"/>
    </row>
    <row r="85" spans="1:38" ht="15.75" hidden="1" customHeight="1">
      <c r="A85" s="219">
        <v>40787</v>
      </c>
      <c r="B85" s="228">
        <v>3198.3239795405002</v>
      </c>
      <c r="C85" s="228">
        <v>20954.786082438801</v>
      </c>
      <c r="D85" s="228">
        <v>6795.9140200788997</v>
      </c>
      <c r="E85" s="229">
        <v>30949.0240820582</v>
      </c>
      <c r="F85" s="228">
        <v>178059.91321855754</v>
      </c>
      <c r="G85" s="228">
        <v>8787.0884687589005</v>
      </c>
      <c r="H85" s="228">
        <v>13882.909634781699</v>
      </c>
      <c r="I85" s="228">
        <v>324.11229653161985</v>
      </c>
      <c r="J85" s="228">
        <v>291918.39331768663</v>
      </c>
      <c r="K85" s="229">
        <v>492972.41693631641</v>
      </c>
      <c r="L85" s="230">
        <v>22209.637730357696</v>
      </c>
      <c r="M85" s="228">
        <v>27885.488088108701</v>
      </c>
      <c r="N85" s="228">
        <v>0</v>
      </c>
      <c r="O85" s="229">
        <v>50095.125818466397</v>
      </c>
      <c r="P85" s="228">
        <v>2234.5835929999998</v>
      </c>
      <c r="Q85" s="228">
        <v>2990.3539351994</v>
      </c>
      <c r="R85" s="228">
        <v>208826.63667584871</v>
      </c>
      <c r="S85" s="228">
        <v>8920.8796536114314</v>
      </c>
      <c r="T85" s="231">
        <v>222972.45385765954</v>
      </c>
      <c r="U85" s="232">
        <v>22114.8215742795</v>
      </c>
      <c r="V85" s="228">
        <v>4156.3375820420224</v>
      </c>
      <c r="W85" s="233">
        <v>47548.1586484539</v>
      </c>
      <c r="X85" s="234">
        <v>870808.33849927585</v>
      </c>
      <c r="Y85" s="235">
        <v>77780.808069186402</v>
      </c>
      <c r="Z85" s="223"/>
      <c r="AA85" s="224"/>
      <c r="AB85" s="225"/>
      <c r="AC85" s="226"/>
      <c r="AD85" s="223"/>
      <c r="AE85" s="223"/>
      <c r="AF85" s="223"/>
      <c r="AG85" s="223"/>
      <c r="AH85" s="226"/>
      <c r="AI85" s="223"/>
      <c r="AJ85" s="223"/>
      <c r="AK85" s="226"/>
      <c r="AL85" s="223"/>
    </row>
    <row r="86" spans="1:38" ht="15.75" hidden="1" customHeight="1">
      <c r="A86" s="219">
        <v>40817</v>
      </c>
      <c r="B86" s="228">
        <v>3543.2</v>
      </c>
      <c r="C86" s="228">
        <v>20388.8</v>
      </c>
      <c r="D86" s="228">
        <v>6810.7</v>
      </c>
      <c r="E86" s="229">
        <v>30742.7</v>
      </c>
      <c r="F86" s="228">
        <v>178987.9</v>
      </c>
      <c r="G86" s="228">
        <v>6414.7</v>
      </c>
      <c r="H86" s="228">
        <v>13661.1</v>
      </c>
      <c r="I86" s="228">
        <v>409.1</v>
      </c>
      <c r="J86" s="228">
        <v>293219.09999999998</v>
      </c>
      <c r="K86" s="229">
        <v>492691.9</v>
      </c>
      <c r="L86" s="230">
        <v>23068.400000000001</v>
      </c>
      <c r="M86" s="228">
        <v>28737.8</v>
      </c>
      <c r="N86" s="228">
        <v>0</v>
      </c>
      <c r="O86" s="229">
        <v>51806.2</v>
      </c>
      <c r="P86" s="228">
        <v>2175.9</v>
      </c>
      <c r="Q86" s="228">
        <v>3060.6</v>
      </c>
      <c r="R86" s="228">
        <v>210613.6</v>
      </c>
      <c r="S86" s="228">
        <v>8962.6</v>
      </c>
      <c r="T86" s="231">
        <v>224812.79999999999</v>
      </c>
      <c r="U86" s="232">
        <v>23066</v>
      </c>
      <c r="V86" s="228">
        <v>4218.2</v>
      </c>
      <c r="W86" s="233">
        <v>46834.400000000001</v>
      </c>
      <c r="X86" s="234">
        <v>874172.2</v>
      </c>
      <c r="Y86" s="235">
        <v>76972.433192168188</v>
      </c>
      <c r="Z86" s="223"/>
      <c r="AA86" s="224"/>
      <c r="AB86" s="225"/>
      <c r="AC86" s="226"/>
      <c r="AD86" s="223"/>
      <c r="AE86" s="223"/>
      <c r="AF86" s="223"/>
      <c r="AG86" s="223"/>
      <c r="AH86" s="226"/>
      <c r="AI86" s="223"/>
      <c r="AJ86" s="223"/>
      <c r="AK86" s="226"/>
      <c r="AL86" s="223"/>
    </row>
    <row r="87" spans="1:38" ht="15.75" hidden="1" customHeight="1">
      <c r="A87" s="219">
        <v>40848</v>
      </c>
      <c r="B87" s="228">
        <v>3528.7870211434019</v>
      </c>
      <c r="C87" s="228">
        <v>20286.5075946332</v>
      </c>
      <c r="D87" s="228">
        <v>6807.2422332584683</v>
      </c>
      <c r="E87" s="229">
        <v>30622.53684903507</v>
      </c>
      <c r="F87" s="228">
        <v>225502.1599820547</v>
      </c>
      <c r="G87" s="228">
        <v>5403.2641804745026</v>
      </c>
      <c r="H87" s="228">
        <v>13875.289969407406</v>
      </c>
      <c r="I87" s="228">
        <v>466.91467365863764</v>
      </c>
      <c r="J87" s="228">
        <v>296007.52189673163</v>
      </c>
      <c r="K87" s="229">
        <v>541255.15070232691</v>
      </c>
      <c r="L87" s="230">
        <v>21950.139617520377</v>
      </c>
      <c r="M87" s="228">
        <v>28415.982532359067</v>
      </c>
      <c r="N87" s="228">
        <v>0</v>
      </c>
      <c r="O87" s="229">
        <v>50366.122149879448</v>
      </c>
      <c r="P87" s="228">
        <v>2159.2118388099998</v>
      </c>
      <c r="Q87" s="228">
        <v>3114.7926491511566</v>
      </c>
      <c r="R87" s="228">
        <v>213001.6115340812</v>
      </c>
      <c r="S87" s="228">
        <v>8815.6814621638987</v>
      </c>
      <c r="T87" s="231">
        <v>227091.29748420627</v>
      </c>
      <c r="U87" s="232">
        <v>21712.15426137509</v>
      </c>
      <c r="V87" s="228">
        <v>5157.3365843991069</v>
      </c>
      <c r="W87" s="233">
        <v>48019.937514440222</v>
      </c>
      <c r="X87" s="234">
        <v>924224.53554566216</v>
      </c>
      <c r="Y87" s="235">
        <v>82656.617079239164</v>
      </c>
      <c r="Z87" s="223"/>
      <c r="AA87" s="224"/>
      <c r="AB87" s="225"/>
      <c r="AC87" s="226"/>
      <c r="AD87" s="223"/>
      <c r="AE87" s="223"/>
      <c r="AF87" s="223"/>
      <c r="AG87" s="223"/>
      <c r="AH87" s="226"/>
      <c r="AI87" s="223"/>
      <c r="AJ87" s="223"/>
      <c r="AK87" s="226"/>
      <c r="AL87" s="223"/>
    </row>
    <row r="88" spans="1:38" ht="15.75" hidden="1" customHeight="1">
      <c r="A88" s="219">
        <v>40878</v>
      </c>
      <c r="B88" s="228">
        <v>4161.3058933593975</v>
      </c>
      <c r="C88" s="228">
        <v>23666.015403390866</v>
      </c>
      <c r="D88" s="228">
        <v>5530.7222544847891</v>
      </c>
      <c r="E88" s="229">
        <v>33358.043551235052</v>
      </c>
      <c r="F88" s="228">
        <v>169559.63251429689</v>
      </c>
      <c r="G88" s="228">
        <v>5256.2560837023948</v>
      </c>
      <c r="H88" s="228">
        <v>14215.849824108576</v>
      </c>
      <c r="I88" s="228">
        <v>578.94824093098407</v>
      </c>
      <c r="J88" s="228">
        <v>304525.95358682761</v>
      </c>
      <c r="K88" s="229">
        <v>494136.64024986647</v>
      </c>
      <c r="L88" s="230">
        <v>22359.262628340559</v>
      </c>
      <c r="M88" s="228">
        <v>27610.718725664014</v>
      </c>
      <c r="N88" s="228">
        <v>0</v>
      </c>
      <c r="O88" s="229">
        <v>49969.981354004572</v>
      </c>
      <c r="P88" s="228">
        <v>2267.3750127500002</v>
      </c>
      <c r="Q88" s="228">
        <v>3367.0263419879279</v>
      </c>
      <c r="R88" s="228">
        <v>215502.7567929512</v>
      </c>
      <c r="S88" s="228">
        <v>5906.699644370342</v>
      </c>
      <c r="T88" s="231">
        <v>227043.85779205948</v>
      </c>
      <c r="U88" s="232">
        <v>21696.255118983932</v>
      </c>
      <c r="V88" s="228">
        <v>5539.7199611784636</v>
      </c>
      <c r="W88" s="233">
        <v>51217.418348084189</v>
      </c>
      <c r="X88" s="234">
        <v>882961.91637541214</v>
      </c>
      <c r="Y88" s="235">
        <v>82921.153734625128</v>
      </c>
      <c r="Z88" s="223"/>
      <c r="AA88" s="224"/>
      <c r="AB88" s="225"/>
      <c r="AC88" s="226"/>
      <c r="AD88" s="223"/>
      <c r="AE88" s="223"/>
      <c r="AF88" s="223"/>
      <c r="AG88" s="223"/>
      <c r="AH88" s="226"/>
      <c r="AI88" s="223"/>
      <c r="AJ88" s="223"/>
      <c r="AK88" s="226"/>
      <c r="AL88" s="223"/>
    </row>
    <row r="89" spans="1:38" ht="15.75" hidden="1" customHeight="1">
      <c r="A89" s="219">
        <v>40909</v>
      </c>
      <c r="B89" s="228">
        <v>3377.8577229181574</v>
      </c>
      <c r="C89" s="228">
        <v>21141.943766675478</v>
      </c>
      <c r="D89" s="228">
        <v>5970.5931081138569</v>
      </c>
      <c r="E89" s="229">
        <v>30490.394597707491</v>
      </c>
      <c r="F89" s="228">
        <v>137049.49255194288</v>
      </c>
      <c r="G89" s="228">
        <v>5794.927933896126</v>
      </c>
      <c r="H89" s="228">
        <v>14366.909559920852</v>
      </c>
      <c r="I89" s="228">
        <v>397.71367002277361</v>
      </c>
      <c r="J89" s="228">
        <v>317520.01417282637</v>
      </c>
      <c r="K89" s="229">
        <v>475129.05788860901</v>
      </c>
      <c r="L89" s="230">
        <v>23274.470704213691</v>
      </c>
      <c r="M89" s="228">
        <v>27470.682987923836</v>
      </c>
      <c r="N89" s="228">
        <v>0</v>
      </c>
      <c r="O89" s="229">
        <v>50745.153692137523</v>
      </c>
      <c r="P89" s="228">
        <v>2179.4598121100003</v>
      </c>
      <c r="Q89" s="228">
        <v>3376.4400918290557</v>
      </c>
      <c r="R89" s="228">
        <v>216216.57323338234</v>
      </c>
      <c r="S89" s="228">
        <v>5213.3593300410193</v>
      </c>
      <c r="T89" s="231">
        <v>226985.8324673624</v>
      </c>
      <c r="U89" s="232">
        <v>21860.66818401829</v>
      </c>
      <c r="V89" s="228">
        <v>3537.278033084031</v>
      </c>
      <c r="W89" s="233">
        <v>47435.948723034679</v>
      </c>
      <c r="X89" s="234">
        <v>856184.33358595346</v>
      </c>
      <c r="Y89" s="235">
        <v>81550.897167730524</v>
      </c>
      <c r="Z89" s="223"/>
      <c r="AA89" s="224"/>
      <c r="AB89" s="225"/>
      <c r="AC89" s="226"/>
      <c r="AD89" s="223"/>
      <c r="AE89" s="223"/>
      <c r="AF89" s="223"/>
      <c r="AG89" s="223"/>
      <c r="AH89" s="226"/>
      <c r="AI89" s="223"/>
      <c r="AJ89" s="223"/>
      <c r="AK89" s="226"/>
      <c r="AL89" s="223"/>
    </row>
    <row r="90" spans="1:38" ht="15.75" hidden="1" customHeight="1">
      <c r="A90" s="219">
        <v>40940</v>
      </c>
      <c r="B90" s="228">
        <v>3247.5483847620671</v>
      </c>
      <c r="C90" s="228">
        <v>22594.063526663413</v>
      </c>
      <c r="D90" s="228">
        <v>5969.3324446488286</v>
      </c>
      <c r="E90" s="229">
        <v>31810.944356074309</v>
      </c>
      <c r="F90" s="228">
        <v>158801.00354184365</v>
      </c>
      <c r="G90" s="228">
        <v>5420.9639458060328</v>
      </c>
      <c r="H90" s="228">
        <v>14624.484856336006</v>
      </c>
      <c r="I90" s="228">
        <v>392.39835692719828</v>
      </c>
      <c r="J90" s="228">
        <v>303132.90251555695</v>
      </c>
      <c r="K90" s="229">
        <v>482371.75321646984</v>
      </c>
      <c r="L90" s="230">
        <v>22638.77102865322</v>
      </c>
      <c r="M90" s="228">
        <v>27054.463399570774</v>
      </c>
      <c r="N90" s="228">
        <v>0</v>
      </c>
      <c r="O90" s="229">
        <v>49693.234428223994</v>
      </c>
      <c r="P90" s="228">
        <v>2169.36700866</v>
      </c>
      <c r="Q90" s="228">
        <v>3291.9655209218181</v>
      </c>
      <c r="R90" s="228">
        <v>216656.83916802227</v>
      </c>
      <c r="S90" s="228">
        <v>5080.7606061628576</v>
      </c>
      <c r="T90" s="231">
        <v>227198.93230376695</v>
      </c>
      <c r="U90" s="232">
        <v>21590.509142442963</v>
      </c>
      <c r="V90" s="228">
        <v>917.06412928932218</v>
      </c>
      <c r="W90" s="233">
        <v>46864.893579726588</v>
      </c>
      <c r="X90" s="234">
        <v>860447.33115599398</v>
      </c>
      <c r="Y90" s="235">
        <v>81373.939486907533</v>
      </c>
      <c r="Z90" s="223"/>
      <c r="AA90" s="224"/>
      <c r="AB90" s="225"/>
      <c r="AC90" s="226"/>
      <c r="AD90" s="223"/>
      <c r="AE90" s="223"/>
      <c r="AF90" s="223"/>
      <c r="AG90" s="223"/>
      <c r="AH90" s="226"/>
      <c r="AI90" s="223"/>
      <c r="AJ90" s="223"/>
      <c r="AK90" s="226"/>
      <c r="AL90" s="223"/>
    </row>
    <row r="91" spans="1:38" ht="15.75" hidden="1" customHeight="1">
      <c r="A91" s="219">
        <v>40969</v>
      </c>
      <c r="B91" s="228">
        <v>2882.7408640878157</v>
      </c>
      <c r="C91" s="228">
        <v>22641.169606127009</v>
      </c>
      <c r="D91" s="228">
        <v>5870.4795776286392</v>
      </c>
      <c r="E91" s="229">
        <v>31394.390047843466</v>
      </c>
      <c r="F91" s="228">
        <v>205042.19268547531</v>
      </c>
      <c r="G91" s="228">
        <v>6066.1011481882742</v>
      </c>
      <c r="H91" s="228">
        <v>14657.901986392124</v>
      </c>
      <c r="I91" s="228">
        <v>428.69531279547692</v>
      </c>
      <c r="J91" s="228">
        <v>301873.03399931861</v>
      </c>
      <c r="K91" s="229">
        <v>528067.92513216985</v>
      </c>
      <c r="L91" s="230">
        <v>23268.36474161423</v>
      </c>
      <c r="M91" s="228">
        <v>28247.482431714627</v>
      </c>
      <c r="N91" s="228">
        <v>0</v>
      </c>
      <c r="O91" s="229">
        <v>51515.847173328861</v>
      </c>
      <c r="P91" s="228">
        <v>2403.1448821400004</v>
      </c>
      <c r="Q91" s="228">
        <v>3257.4345401909009</v>
      </c>
      <c r="R91" s="228">
        <v>217096.22724605363</v>
      </c>
      <c r="S91" s="228">
        <v>5044.5155523813146</v>
      </c>
      <c r="T91" s="231">
        <v>227801.32222076584</v>
      </c>
      <c r="U91" s="232">
        <v>24633.307281702608</v>
      </c>
      <c r="V91" s="228">
        <v>1816.4239201337509</v>
      </c>
      <c r="W91" s="233">
        <v>49132.555337492049</v>
      </c>
      <c r="X91" s="234">
        <v>914361.77111343644</v>
      </c>
      <c r="Y91" s="235">
        <v>74544.44820685919</v>
      </c>
      <c r="Z91" s="223"/>
      <c r="AA91" s="224"/>
      <c r="AB91" s="225"/>
      <c r="AC91" s="226"/>
      <c r="AD91" s="223"/>
      <c r="AE91" s="223"/>
      <c r="AF91" s="223"/>
      <c r="AG91" s="223"/>
      <c r="AH91" s="226"/>
      <c r="AI91" s="223"/>
      <c r="AJ91" s="223"/>
      <c r="AK91" s="226"/>
      <c r="AL91" s="223"/>
    </row>
    <row r="92" spans="1:38" ht="15.75" hidden="1" customHeight="1">
      <c r="A92" s="219">
        <v>41000</v>
      </c>
      <c r="B92" s="228">
        <v>2977.1581511389591</v>
      </c>
      <c r="C92" s="228">
        <v>22436.676579636103</v>
      </c>
      <c r="D92" s="228">
        <v>5614.029617527437</v>
      </c>
      <c r="E92" s="229">
        <v>31027.864348302501</v>
      </c>
      <c r="F92" s="228">
        <v>203118.85343870491</v>
      </c>
      <c r="G92" s="228">
        <v>12264.459541750135</v>
      </c>
      <c r="H92" s="228">
        <v>16288.21412787103</v>
      </c>
      <c r="I92" s="228">
        <v>416.86687836259568</v>
      </c>
      <c r="J92" s="228">
        <v>297238.87085867958</v>
      </c>
      <c r="K92" s="229">
        <v>529327.26484536822</v>
      </c>
      <c r="L92" s="230">
        <v>21512.482986064988</v>
      </c>
      <c r="M92" s="228">
        <v>28792.887020003527</v>
      </c>
      <c r="N92" s="228">
        <v>0</v>
      </c>
      <c r="O92" s="229">
        <v>50305.370006068515</v>
      </c>
      <c r="P92" s="228">
        <v>2349.4463478000002</v>
      </c>
      <c r="Q92" s="228">
        <v>3137.7763356302967</v>
      </c>
      <c r="R92" s="228">
        <v>218740.46690582077</v>
      </c>
      <c r="S92" s="228">
        <v>5042.5205945498255</v>
      </c>
      <c r="T92" s="231">
        <v>229270.2101838009</v>
      </c>
      <c r="U92" s="232">
        <v>25617.146470715572</v>
      </c>
      <c r="V92" s="228">
        <v>2538.8054058670537</v>
      </c>
      <c r="W92" s="233">
        <v>49954.81970859108</v>
      </c>
      <c r="X92" s="234">
        <v>918041.48096871376</v>
      </c>
      <c r="Y92" s="235">
        <v>73035.197989719571</v>
      </c>
      <c r="Z92" s="223"/>
      <c r="AA92" s="224"/>
      <c r="AB92" s="225"/>
      <c r="AC92" s="226"/>
      <c r="AD92" s="223"/>
      <c r="AE92" s="223"/>
      <c r="AF92" s="223"/>
      <c r="AG92" s="223"/>
      <c r="AH92" s="226"/>
      <c r="AI92" s="223"/>
      <c r="AJ92" s="223"/>
      <c r="AK92" s="226"/>
      <c r="AL92" s="223"/>
    </row>
    <row r="93" spans="1:38" ht="15.75" hidden="1" customHeight="1">
      <c r="A93" s="219">
        <v>41030</v>
      </c>
      <c r="B93" s="228">
        <v>3403.2816521788723</v>
      </c>
      <c r="C93" s="228">
        <v>22469.61414010738</v>
      </c>
      <c r="D93" s="228">
        <v>4992.590669825955</v>
      </c>
      <c r="E93" s="229">
        <v>30865.486462112211</v>
      </c>
      <c r="F93" s="228">
        <v>211692.68722091772</v>
      </c>
      <c r="G93" s="228">
        <v>8727.8956672498425</v>
      </c>
      <c r="H93" s="228">
        <v>16236.615435390586</v>
      </c>
      <c r="I93" s="228">
        <v>265.62382705664709</v>
      </c>
      <c r="J93" s="228">
        <v>303646.20910962846</v>
      </c>
      <c r="K93" s="229">
        <v>540569.03126024327</v>
      </c>
      <c r="L93" s="230">
        <v>22129.940814470876</v>
      </c>
      <c r="M93" s="228">
        <v>29284.299435042747</v>
      </c>
      <c r="N93" s="228">
        <v>0</v>
      </c>
      <c r="O93" s="229">
        <v>51414.240249513619</v>
      </c>
      <c r="P93" s="228">
        <v>2264.5195456799997</v>
      </c>
      <c r="Q93" s="228">
        <v>3434.0187590331684</v>
      </c>
      <c r="R93" s="228">
        <v>222519.84833212622</v>
      </c>
      <c r="S93" s="228">
        <v>5440.3567334665586</v>
      </c>
      <c r="T93" s="231">
        <v>233658.74337030592</v>
      </c>
      <c r="U93" s="232">
        <v>25871.304967811051</v>
      </c>
      <c r="V93" s="228">
        <v>2174.0060830678635</v>
      </c>
      <c r="W93" s="233">
        <v>54803.370092568781</v>
      </c>
      <c r="X93" s="234">
        <v>939356.1824856227</v>
      </c>
      <c r="Y93" s="235">
        <v>78916.17595602537</v>
      </c>
      <c r="Z93" s="223"/>
      <c r="AA93" s="224"/>
      <c r="AB93" s="225"/>
      <c r="AC93" s="226"/>
      <c r="AD93" s="223"/>
      <c r="AE93" s="223"/>
      <c r="AF93" s="223"/>
      <c r="AG93" s="223"/>
      <c r="AH93" s="226"/>
      <c r="AI93" s="223"/>
      <c r="AJ93" s="223"/>
      <c r="AK93" s="226"/>
      <c r="AL93" s="223"/>
    </row>
    <row r="94" spans="1:38" ht="15.75" hidden="1" customHeight="1">
      <c r="A94" s="219">
        <v>41061</v>
      </c>
      <c r="B94" s="228">
        <v>2731.1107226587774</v>
      </c>
      <c r="C94" s="228">
        <v>23950.041637013281</v>
      </c>
      <c r="D94" s="228">
        <v>4904.0601349360959</v>
      </c>
      <c r="E94" s="229">
        <v>31585.212494608153</v>
      </c>
      <c r="F94" s="228">
        <v>151528.96451311992</v>
      </c>
      <c r="G94" s="228">
        <v>15388.823455999925</v>
      </c>
      <c r="H94" s="228">
        <v>17100.604029549966</v>
      </c>
      <c r="I94" s="228">
        <v>339.75802811770177</v>
      </c>
      <c r="J94" s="228">
        <v>318500.15766009828</v>
      </c>
      <c r="K94" s="229">
        <v>502858.30768688582</v>
      </c>
      <c r="L94" s="230">
        <v>22202.084318121986</v>
      </c>
      <c r="M94" s="228">
        <v>29901.408042010324</v>
      </c>
      <c r="N94" s="228">
        <v>0</v>
      </c>
      <c r="O94" s="229">
        <v>52103.49236013231</v>
      </c>
      <c r="P94" s="228">
        <v>2263.8692802900009</v>
      </c>
      <c r="Q94" s="228">
        <v>3577.8578079299991</v>
      </c>
      <c r="R94" s="228">
        <v>228453.35532406234</v>
      </c>
      <c r="S94" s="228">
        <v>5465.2015017986141</v>
      </c>
      <c r="T94" s="231">
        <v>239760.28391408097</v>
      </c>
      <c r="U94" s="232">
        <v>27463.113710590642</v>
      </c>
      <c r="V94" s="228">
        <v>2926.7806992231053</v>
      </c>
      <c r="W94" s="233">
        <v>53602.674955190458</v>
      </c>
      <c r="X94" s="234">
        <v>910299.86582071136</v>
      </c>
      <c r="Y94" s="235">
        <v>77117.232420134213</v>
      </c>
      <c r="Z94" s="223"/>
      <c r="AA94" s="224"/>
      <c r="AB94" s="225"/>
      <c r="AC94" s="226"/>
      <c r="AD94" s="223"/>
      <c r="AE94" s="223"/>
      <c r="AF94" s="223"/>
      <c r="AG94" s="223"/>
      <c r="AH94" s="226"/>
      <c r="AI94" s="223"/>
      <c r="AJ94" s="223"/>
      <c r="AK94" s="226"/>
      <c r="AL94" s="223"/>
    </row>
    <row r="95" spans="1:38" ht="15.75" hidden="1" customHeight="1">
      <c r="A95" s="219">
        <v>41091</v>
      </c>
      <c r="B95" s="228">
        <v>2921.0103157083176</v>
      </c>
      <c r="C95" s="228">
        <v>23713.508129245078</v>
      </c>
      <c r="D95" s="228">
        <v>4780.6728805872081</v>
      </c>
      <c r="E95" s="229">
        <v>31415.191325540603</v>
      </c>
      <c r="F95" s="228">
        <v>194436.1491565741</v>
      </c>
      <c r="G95" s="228">
        <v>6610.5813201246274</v>
      </c>
      <c r="H95" s="228">
        <v>17177.378447944815</v>
      </c>
      <c r="I95" s="228">
        <v>404.22224966960994</v>
      </c>
      <c r="J95" s="228">
        <v>312712.25437268877</v>
      </c>
      <c r="K95" s="229">
        <v>531340.58554700192</v>
      </c>
      <c r="L95" s="230">
        <v>20322.818580521896</v>
      </c>
      <c r="M95" s="228">
        <v>29867.604892200838</v>
      </c>
      <c r="N95" s="228">
        <v>0</v>
      </c>
      <c r="O95" s="229">
        <v>50190.42347272273</v>
      </c>
      <c r="P95" s="228">
        <v>2216.59188593</v>
      </c>
      <c r="Q95" s="228">
        <v>3718.2181354924633</v>
      </c>
      <c r="R95" s="228">
        <v>230251.53480015229</v>
      </c>
      <c r="S95" s="228">
        <v>5051.7902635482924</v>
      </c>
      <c r="T95" s="231">
        <v>241238.13508512304</v>
      </c>
      <c r="U95" s="232">
        <v>25789.873753587151</v>
      </c>
      <c r="V95" s="228">
        <v>2865.3593143427711</v>
      </c>
      <c r="W95" s="233">
        <v>50916.962320157028</v>
      </c>
      <c r="X95" s="234">
        <v>933756.53081847518</v>
      </c>
      <c r="Y95" s="235">
        <v>76661.289627980936</v>
      </c>
      <c r="Z95" s="223"/>
      <c r="AA95" s="224"/>
      <c r="AB95" s="225"/>
      <c r="AC95" s="226"/>
      <c r="AD95" s="223"/>
      <c r="AE95" s="223"/>
      <c r="AF95" s="223"/>
      <c r="AG95" s="223"/>
      <c r="AH95" s="226"/>
      <c r="AI95" s="223"/>
      <c r="AJ95" s="223"/>
      <c r="AK95" s="226"/>
      <c r="AL95" s="223"/>
    </row>
    <row r="96" spans="1:38" ht="15.75" hidden="1" customHeight="1">
      <c r="A96" s="219">
        <v>41122</v>
      </c>
      <c r="B96" s="228">
        <v>3284.4810359086955</v>
      </c>
      <c r="C96" s="228">
        <v>23523.554012584336</v>
      </c>
      <c r="D96" s="228">
        <v>4061.6556221765641</v>
      </c>
      <c r="E96" s="229">
        <v>30869.690670669595</v>
      </c>
      <c r="F96" s="228">
        <v>162741.38229825956</v>
      </c>
      <c r="G96" s="228">
        <v>9851.2425503996456</v>
      </c>
      <c r="H96" s="228">
        <v>17435.091239850364</v>
      </c>
      <c r="I96" s="228">
        <v>306.7691450936004</v>
      </c>
      <c r="J96" s="228">
        <v>303070.00273284176</v>
      </c>
      <c r="K96" s="229">
        <v>493404.48796644493</v>
      </c>
      <c r="L96" s="230">
        <v>20643.316118093797</v>
      </c>
      <c r="M96" s="228">
        <v>31012.597817991547</v>
      </c>
      <c r="N96" s="228">
        <v>0</v>
      </c>
      <c r="O96" s="229">
        <v>51655.913936085344</v>
      </c>
      <c r="P96" s="228">
        <v>2176.5146290299972</v>
      </c>
      <c r="Q96" s="228">
        <v>3495.0830790664813</v>
      </c>
      <c r="R96" s="228">
        <v>232869.04253645663</v>
      </c>
      <c r="S96" s="228">
        <v>5206.2745493063485</v>
      </c>
      <c r="T96" s="231">
        <v>243746.91479385947</v>
      </c>
      <c r="U96" s="232">
        <v>26319.768176589088</v>
      </c>
      <c r="V96" s="228">
        <v>4859.412819033736</v>
      </c>
      <c r="W96" s="233">
        <v>48714.162755731348</v>
      </c>
      <c r="X96" s="234">
        <v>899570.35111841338</v>
      </c>
      <c r="Y96" s="235">
        <v>73975.667162467682</v>
      </c>
      <c r="Z96" s="223"/>
      <c r="AA96" s="224"/>
      <c r="AB96" s="225"/>
      <c r="AC96" s="226"/>
      <c r="AD96" s="223"/>
      <c r="AE96" s="223"/>
      <c r="AF96" s="223"/>
      <c r="AG96" s="223"/>
      <c r="AH96" s="226"/>
      <c r="AI96" s="223"/>
      <c r="AJ96" s="223"/>
      <c r="AK96" s="226"/>
      <c r="AL96" s="223"/>
    </row>
    <row r="97" spans="1:38" ht="15.75" hidden="1" customHeight="1">
      <c r="A97" s="219">
        <v>41153</v>
      </c>
      <c r="B97" s="228">
        <v>3218.2288786296672</v>
      </c>
      <c r="C97" s="228">
        <v>24567.280498543936</v>
      </c>
      <c r="D97" s="228">
        <v>4098.1801504752711</v>
      </c>
      <c r="E97" s="229">
        <v>31883.689527648872</v>
      </c>
      <c r="F97" s="228">
        <v>170705.50366254535</v>
      </c>
      <c r="G97" s="228">
        <v>5542.377223081432</v>
      </c>
      <c r="H97" s="228">
        <v>74403.369127877566</v>
      </c>
      <c r="I97" s="228">
        <v>357.04215440172322</v>
      </c>
      <c r="J97" s="228">
        <v>255989.53546947165</v>
      </c>
      <c r="K97" s="229">
        <v>506997.82763737772</v>
      </c>
      <c r="L97" s="230">
        <v>19790.847510056385</v>
      </c>
      <c r="M97" s="228">
        <v>31857.256550132257</v>
      </c>
      <c r="N97" s="228">
        <v>0</v>
      </c>
      <c r="O97" s="229">
        <v>51648.104060188642</v>
      </c>
      <c r="P97" s="228">
        <v>2166.0323224699996</v>
      </c>
      <c r="Q97" s="228">
        <v>3597.3311136899993</v>
      </c>
      <c r="R97" s="228">
        <v>234385.18802095356</v>
      </c>
      <c r="S97" s="228">
        <v>5200.3828885887542</v>
      </c>
      <c r="T97" s="231">
        <v>245348.93434570232</v>
      </c>
      <c r="U97" s="232">
        <v>24825.458582824092</v>
      </c>
      <c r="V97" s="228">
        <v>3228.9814879340802</v>
      </c>
      <c r="W97" s="233">
        <v>51266.297694450324</v>
      </c>
      <c r="X97" s="234">
        <v>915199.29333612614</v>
      </c>
      <c r="Y97" s="235">
        <v>75662.066773687082</v>
      </c>
      <c r="Z97" s="223"/>
      <c r="AA97" s="224"/>
      <c r="AB97" s="225"/>
      <c r="AC97" s="226"/>
      <c r="AD97" s="223"/>
      <c r="AE97" s="223"/>
      <c r="AF97" s="223"/>
      <c r="AG97" s="223"/>
      <c r="AH97" s="226"/>
      <c r="AI97" s="223"/>
      <c r="AJ97" s="223"/>
      <c r="AK97" s="226"/>
      <c r="AL97" s="223"/>
    </row>
    <row r="98" spans="1:38" ht="15.75" hidden="1" customHeight="1">
      <c r="A98" s="219">
        <v>41183</v>
      </c>
      <c r="B98" s="228">
        <v>3774.5899837413481</v>
      </c>
      <c r="C98" s="228">
        <v>23306.248333443531</v>
      </c>
      <c r="D98" s="228">
        <v>3735.0619519924121</v>
      </c>
      <c r="E98" s="229">
        <v>30815.900269177291</v>
      </c>
      <c r="F98" s="228">
        <v>180452.16199523627</v>
      </c>
      <c r="G98" s="228">
        <v>5773.055153109498</v>
      </c>
      <c r="H98" s="228">
        <v>74175.837945345731</v>
      </c>
      <c r="I98" s="228">
        <v>453.56446622043683</v>
      </c>
      <c r="J98" s="228">
        <v>267400.68326330849</v>
      </c>
      <c r="K98" s="229">
        <v>528255.30282322038</v>
      </c>
      <c r="L98" s="230">
        <v>20951.76090043164</v>
      </c>
      <c r="M98" s="228">
        <v>32775.04618245233</v>
      </c>
      <c r="N98" s="228">
        <v>0</v>
      </c>
      <c r="O98" s="229">
        <v>53726.80708288397</v>
      </c>
      <c r="P98" s="228">
        <v>2152.3988804899996</v>
      </c>
      <c r="Q98" s="228">
        <v>3608.6489464346573</v>
      </c>
      <c r="R98" s="228">
        <v>237642.99863015331</v>
      </c>
      <c r="S98" s="228">
        <v>5193.0040613247984</v>
      </c>
      <c r="T98" s="231">
        <v>248597.05051840277</v>
      </c>
      <c r="U98" s="232">
        <v>24639.436049841115</v>
      </c>
      <c r="V98" s="228">
        <v>2445.1176567562434</v>
      </c>
      <c r="W98" s="233">
        <v>50717.96188035018</v>
      </c>
      <c r="X98" s="234">
        <v>939197.57628063182</v>
      </c>
      <c r="Y98" s="235">
        <v>82600.739648435498</v>
      </c>
      <c r="Z98" s="223"/>
      <c r="AA98" s="224"/>
      <c r="AB98" s="225"/>
      <c r="AC98" s="226"/>
      <c r="AD98" s="223"/>
      <c r="AE98" s="223"/>
      <c r="AF98" s="223"/>
      <c r="AG98" s="223"/>
      <c r="AH98" s="226"/>
      <c r="AI98" s="223"/>
      <c r="AJ98" s="223"/>
      <c r="AK98" s="226"/>
      <c r="AL98" s="223"/>
    </row>
    <row r="99" spans="1:38" ht="15.75" hidden="1" customHeight="1">
      <c r="A99" s="219">
        <v>41214</v>
      </c>
      <c r="B99" s="228">
        <v>3585.7834358731334</v>
      </c>
      <c r="C99" s="228">
        <v>22118.502086285411</v>
      </c>
      <c r="D99" s="228">
        <v>3924.7981016869289</v>
      </c>
      <c r="E99" s="229">
        <v>29629.083623845472</v>
      </c>
      <c r="F99" s="228">
        <v>180946.66637666876</v>
      </c>
      <c r="G99" s="228">
        <v>10427.826476748913</v>
      </c>
      <c r="H99" s="228">
        <v>76520.990202872854</v>
      </c>
      <c r="I99" s="228">
        <v>394.01705846880384</v>
      </c>
      <c r="J99" s="228">
        <v>270565.96483887202</v>
      </c>
      <c r="K99" s="229">
        <v>538855.4649536314</v>
      </c>
      <c r="L99" s="230">
        <v>22618.050443832763</v>
      </c>
      <c r="M99" s="228">
        <v>32754.743679875355</v>
      </c>
      <c r="N99" s="228">
        <v>0</v>
      </c>
      <c r="O99" s="229">
        <v>55372.794123708118</v>
      </c>
      <c r="P99" s="228">
        <v>2146.4969997899998</v>
      </c>
      <c r="Q99" s="228">
        <v>4025.1186350762955</v>
      </c>
      <c r="R99" s="228">
        <v>240003.17928584196</v>
      </c>
      <c r="S99" s="228">
        <v>5222.3287444529587</v>
      </c>
      <c r="T99" s="231">
        <v>251397.12366516123</v>
      </c>
      <c r="U99" s="232">
        <v>25261.940211193039</v>
      </c>
      <c r="V99" s="228">
        <v>3812.701609465566</v>
      </c>
      <c r="W99" s="233">
        <v>51651.65056377367</v>
      </c>
      <c r="X99" s="234">
        <v>955980.75875077839</v>
      </c>
      <c r="Y99" s="235">
        <v>84546.226308585712</v>
      </c>
      <c r="Z99" s="223"/>
      <c r="AA99" s="224"/>
      <c r="AB99" s="225"/>
      <c r="AC99" s="226"/>
      <c r="AD99" s="223"/>
      <c r="AE99" s="223"/>
      <c r="AF99" s="223"/>
      <c r="AG99" s="223"/>
      <c r="AH99" s="226"/>
      <c r="AI99" s="223"/>
      <c r="AJ99" s="223"/>
      <c r="AK99" s="226"/>
      <c r="AL99" s="223"/>
    </row>
    <row r="100" spans="1:38" ht="15.75" hidden="1" customHeight="1">
      <c r="A100" s="219">
        <v>41244</v>
      </c>
      <c r="B100" s="228">
        <v>4790.6840856975523</v>
      </c>
      <c r="C100" s="228">
        <v>25339.780584248743</v>
      </c>
      <c r="D100" s="228">
        <v>3905.92799421463</v>
      </c>
      <c r="E100" s="229">
        <v>34036.392664160929</v>
      </c>
      <c r="F100" s="228">
        <v>199260.7330669355</v>
      </c>
      <c r="G100" s="228">
        <v>9097.6390664785158</v>
      </c>
      <c r="H100" s="228">
        <v>59733.1076888928</v>
      </c>
      <c r="I100" s="228">
        <v>840.52055735902934</v>
      </c>
      <c r="J100" s="228">
        <v>267568.86667540995</v>
      </c>
      <c r="K100" s="229">
        <v>536500.86705507583</v>
      </c>
      <c r="L100" s="230">
        <v>22866.860033246521</v>
      </c>
      <c r="M100" s="228">
        <v>32475.39564267586</v>
      </c>
      <c r="N100" s="228">
        <v>0</v>
      </c>
      <c r="O100" s="229">
        <v>55342.255675922381</v>
      </c>
      <c r="P100" s="228">
        <v>2161.7332296599998</v>
      </c>
      <c r="Q100" s="228">
        <v>3941.2395126400002</v>
      </c>
      <c r="R100" s="228">
        <v>244689.29471564887</v>
      </c>
      <c r="S100" s="228">
        <v>5232.8626867983548</v>
      </c>
      <c r="T100" s="231">
        <v>256025.13014474724</v>
      </c>
      <c r="U100" s="232">
        <v>24522.991983031116</v>
      </c>
      <c r="V100" s="228">
        <v>3465.9404415139197</v>
      </c>
      <c r="W100" s="233">
        <v>58226.614831499624</v>
      </c>
      <c r="X100" s="234">
        <v>968120.19279595104</v>
      </c>
      <c r="Y100" s="235">
        <v>97199.698506452565</v>
      </c>
      <c r="Z100" s="223"/>
      <c r="AA100" s="224"/>
      <c r="AB100" s="225"/>
      <c r="AC100" s="226"/>
      <c r="AD100" s="223"/>
      <c r="AE100" s="223"/>
      <c r="AF100" s="223"/>
      <c r="AG100" s="223"/>
      <c r="AH100" s="226"/>
      <c r="AI100" s="223"/>
      <c r="AJ100" s="223"/>
      <c r="AK100" s="226"/>
      <c r="AL100" s="223"/>
    </row>
    <row r="101" spans="1:38" ht="15.75" hidden="1" customHeight="1">
      <c r="A101" s="219">
        <v>41275</v>
      </c>
      <c r="B101" s="228">
        <v>4197.9410828299788</v>
      </c>
      <c r="C101" s="228">
        <v>24811.495700873409</v>
      </c>
      <c r="D101" s="228">
        <v>6127.1671396705433</v>
      </c>
      <c r="E101" s="229">
        <v>35136.603923373928</v>
      </c>
      <c r="F101" s="228">
        <v>214992.23385839554</v>
      </c>
      <c r="G101" s="228">
        <v>7854.3039085798318</v>
      </c>
      <c r="H101" s="228">
        <v>59660.071731718002</v>
      </c>
      <c r="I101" s="228">
        <v>542.6002541327581</v>
      </c>
      <c r="J101" s="228">
        <v>266977.69319286681</v>
      </c>
      <c r="K101" s="229">
        <v>550026.90294569288</v>
      </c>
      <c r="L101" s="230">
        <v>21868.924538016981</v>
      </c>
      <c r="M101" s="228">
        <v>32305.609157436753</v>
      </c>
      <c r="N101" s="228">
        <v>0</v>
      </c>
      <c r="O101" s="229">
        <v>54174.533695453734</v>
      </c>
      <c r="P101" s="228">
        <v>2055.31211196</v>
      </c>
      <c r="Q101" s="228">
        <v>4080.2196987469401</v>
      </c>
      <c r="R101" s="228">
        <v>243699.34253958875</v>
      </c>
      <c r="S101" s="228">
        <v>5166.7593326383421</v>
      </c>
      <c r="T101" s="231">
        <v>255001.63368293401</v>
      </c>
      <c r="U101" s="232">
        <v>24587.881833676674</v>
      </c>
      <c r="V101" s="228">
        <v>3548.4109893249556</v>
      </c>
      <c r="W101" s="233">
        <v>57809.348672554406</v>
      </c>
      <c r="X101" s="234">
        <v>980285.31574301061</v>
      </c>
      <c r="Y101" s="235">
        <v>97486.770289453445</v>
      </c>
      <c r="Z101" s="223"/>
      <c r="AA101" s="224"/>
      <c r="AB101" s="225"/>
      <c r="AC101" s="226"/>
      <c r="AD101" s="223"/>
      <c r="AE101" s="223"/>
      <c r="AF101" s="223"/>
      <c r="AG101" s="223"/>
      <c r="AH101" s="226"/>
      <c r="AI101" s="223"/>
      <c r="AJ101" s="223"/>
      <c r="AK101" s="226"/>
      <c r="AL101" s="223"/>
    </row>
    <row r="102" spans="1:38" ht="15.75" hidden="1" customHeight="1">
      <c r="A102" s="219">
        <v>41306</v>
      </c>
      <c r="B102" s="228">
        <v>3717.6308666898854</v>
      </c>
      <c r="C102" s="228">
        <v>27615.861378601181</v>
      </c>
      <c r="D102" s="228">
        <v>5724.8602325562551</v>
      </c>
      <c r="E102" s="229">
        <v>37058.352477847322</v>
      </c>
      <c r="F102" s="228">
        <v>165082.25885845107</v>
      </c>
      <c r="G102" s="228">
        <v>9808.4620404039179</v>
      </c>
      <c r="H102" s="228">
        <v>61830.639548710227</v>
      </c>
      <c r="I102" s="228">
        <v>399.53841073952901</v>
      </c>
      <c r="J102" s="228">
        <v>273282.26831628883</v>
      </c>
      <c r="K102" s="229">
        <v>510403.16717459355</v>
      </c>
      <c r="L102" s="230">
        <v>21241.102000206731</v>
      </c>
      <c r="M102" s="228">
        <v>33028.635964010806</v>
      </c>
      <c r="N102" s="228">
        <v>0</v>
      </c>
      <c r="O102" s="229">
        <v>54269.737964217537</v>
      </c>
      <c r="P102" s="228">
        <v>1995.1757597799999</v>
      </c>
      <c r="Q102" s="228">
        <v>4121.0003794499753</v>
      </c>
      <c r="R102" s="228">
        <v>246132.10945075788</v>
      </c>
      <c r="S102" s="228">
        <v>5139.0358453779891</v>
      </c>
      <c r="T102" s="231">
        <v>257387.32143536585</v>
      </c>
      <c r="U102" s="232">
        <v>24577.124134676214</v>
      </c>
      <c r="V102" s="228">
        <v>4226.7756793264771</v>
      </c>
      <c r="W102" s="233">
        <v>57652.202033863359</v>
      </c>
      <c r="X102" s="234">
        <v>945574.68089989026</v>
      </c>
      <c r="Y102" s="235">
        <v>83953.280145166311</v>
      </c>
      <c r="Z102" s="223"/>
      <c r="AA102" s="224"/>
      <c r="AB102" s="225"/>
      <c r="AC102" s="226"/>
      <c r="AD102" s="223"/>
      <c r="AE102" s="223"/>
      <c r="AF102" s="223"/>
      <c r="AG102" s="223"/>
      <c r="AH102" s="226"/>
      <c r="AI102" s="223"/>
      <c r="AJ102" s="223"/>
      <c r="AK102" s="226"/>
      <c r="AL102" s="223"/>
    </row>
    <row r="103" spans="1:38" ht="21" hidden="1" customHeight="1">
      <c r="A103" s="219">
        <v>41334</v>
      </c>
      <c r="B103" s="228">
        <v>3967.2277917323436</v>
      </c>
      <c r="C103" s="228">
        <v>26916.1579577753</v>
      </c>
      <c r="D103" s="228">
        <v>7325.4277845211036</v>
      </c>
      <c r="E103" s="229">
        <v>38208.813534028748</v>
      </c>
      <c r="F103" s="228">
        <v>204401.43653566597</v>
      </c>
      <c r="G103" s="228">
        <v>13170.632378161816</v>
      </c>
      <c r="H103" s="228">
        <v>62892.780986644</v>
      </c>
      <c r="I103" s="228">
        <v>383.05522580256928</v>
      </c>
      <c r="J103" s="228">
        <v>261834.43335867175</v>
      </c>
      <c r="K103" s="229">
        <v>542682.33848494617</v>
      </c>
      <c r="L103" s="230">
        <v>22374.683074228218</v>
      </c>
      <c r="M103" s="228">
        <v>33015.043053453017</v>
      </c>
      <c r="N103" s="228">
        <v>0</v>
      </c>
      <c r="O103" s="229">
        <v>55389.726127681235</v>
      </c>
      <c r="P103" s="228">
        <v>2053.4655619599998</v>
      </c>
      <c r="Q103" s="228">
        <v>4209.707040420657</v>
      </c>
      <c r="R103" s="228">
        <v>246236.70799282534</v>
      </c>
      <c r="S103" s="228">
        <v>5143.7960124826923</v>
      </c>
      <c r="T103" s="231">
        <v>257643.67660768869</v>
      </c>
      <c r="U103" s="232">
        <v>25392.032758178866</v>
      </c>
      <c r="V103" s="228">
        <v>3394.8798851569527</v>
      </c>
      <c r="W103" s="233">
        <v>56954.00814356764</v>
      </c>
      <c r="X103" s="234">
        <v>979665.47554124834</v>
      </c>
      <c r="Y103" s="235">
        <v>87762.748039115148</v>
      </c>
      <c r="Z103" s="223"/>
      <c r="AA103" s="224"/>
      <c r="AB103" s="225"/>
      <c r="AC103" s="226"/>
      <c r="AD103" s="223"/>
      <c r="AE103" s="223"/>
      <c r="AF103" s="223"/>
      <c r="AG103" s="223"/>
      <c r="AH103" s="226"/>
      <c r="AI103" s="223"/>
      <c r="AJ103" s="223"/>
      <c r="AK103" s="226"/>
      <c r="AL103" s="223"/>
    </row>
    <row r="104" spans="1:38" ht="21.6" hidden="1" customHeight="1">
      <c r="A104" s="219">
        <v>41365</v>
      </c>
      <c r="B104" s="236">
        <v>4262.6947439086689</v>
      </c>
      <c r="C104" s="236">
        <v>23732.577148695545</v>
      </c>
      <c r="D104" s="236">
        <v>8018.9071872932154</v>
      </c>
      <c r="E104" s="237">
        <v>36014.179079897433</v>
      </c>
      <c r="F104" s="236">
        <v>208353.53231493372</v>
      </c>
      <c r="G104" s="236">
        <v>10080.333223700765</v>
      </c>
      <c r="H104" s="236">
        <v>62979.815321048707</v>
      </c>
      <c r="I104" s="236">
        <v>332.87887703450582</v>
      </c>
      <c r="J104" s="236">
        <v>271716.37731327518</v>
      </c>
      <c r="K104" s="237">
        <v>553462.93704999285</v>
      </c>
      <c r="L104" s="238">
        <v>22727.02891464431</v>
      </c>
      <c r="M104" s="236">
        <v>33169.458219518427</v>
      </c>
      <c r="N104" s="236">
        <v>0</v>
      </c>
      <c r="O104" s="237">
        <v>55896.487134162737</v>
      </c>
      <c r="P104" s="236">
        <v>1911.3687765</v>
      </c>
      <c r="Q104" s="236">
        <v>4138.5714254347795</v>
      </c>
      <c r="R104" s="236">
        <v>246482.02950709529</v>
      </c>
      <c r="S104" s="236">
        <v>5138.6910889667797</v>
      </c>
      <c r="T104" s="239">
        <v>257670.66079799685</v>
      </c>
      <c r="U104" s="240">
        <v>26377.229050806625</v>
      </c>
      <c r="V104" s="236">
        <v>3261.1137703635104</v>
      </c>
      <c r="W104" s="241">
        <v>59716.386728413723</v>
      </c>
      <c r="X104" s="242">
        <v>992398.99361163378</v>
      </c>
      <c r="Y104" s="243">
        <v>83059.376085762604</v>
      </c>
      <c r="Z104" s="223"/>
      <c r="AA104" s="224"/>
      <c r="AB104" s="225"/>
      <c r="AC104" s="226"/>
      <c r="AD104" s="223"/>
      <c r="AE104" s="223"/>
      <c r="AF104" s="223"/>
      <c r="AG104" s="223"/>
      <c r="AH104" s="226"/>
      <c r="AI104" s="223"/>
      <c r="AJ104" s="223"/>
      <c r="AK104" s="226"/>
      <c r="AL104" s="223"/>
    </row>
    <row r="105" spans="1:38" ht="21.6" hidden="1" customHeight="1">
      <c r="A105" s="219">
        <v>41395</v>
      </c>
      <c r="B105" s="236">
        <v>4029.9208662018909</v>
      </c>
      <c r="C105" s="236">
        <v>28097.547205747709</v>
      </c>
      <c r="D105" s="236">
        <v>9224.6091864278842</v>
      </c>
      <c r="E105" s="237">
        <v>41352.077258377481</v>
      </c>
      <c r="F105" s="236">
        <v>229181.32199153971</v>
      </c>
      <c r="G105" s="236">
        <v>11456.155941579871</v>
      </c>
      <c r="H105" s="236">
        <v>64401.236482210137</v>
      </c>
      <c r="I105" s="236">
        <v>298.55997035352829</v>
      </c>
      <c r="J105" s="236">
        <v>275172.81739512604</v>
      </c>
      <c r="K105" s="237">
        <v>580510.09178080934</v>
      </c>
      <c r="L105" s="238">
        <v>23029.93481222304</v>
      </c>
      <c r="M105" s="236">
        <v>33127.532275362857</v>
      </c>
      <c r="N105" s="236">
        <v>0</v>
      </c>
      <c r="O105" s="237">
        <v>56157.467087585901</v>
      </c>
      <c r="P105" s="236">
        <v>2023.6883983299999</v>
      </c>
      <c r="Q105" s="236">
        <v>4504.3748470081355</v>
      </c>
      <c r="R105" s="236">
        <v>244485.41144904454</v>
      </c>
      <c r="S105" s="236">
        <v>5165.972585386543</v>
      </c>
      <c r="T105" s="239">
        <v>256179.44727976923</v>
      </c>
      <c r="U105" s="240">
        <v>25009.374336319936</v>
      </c>
      <c r="V105" s="236">
        <v>4413.0958466446027</v>
      </c>
      <c r="W105" s="241">
        <v>58218.583225184673</v>
      </c>
      <c r="X105" s="242">
        <v>1021840.1368146911</v>
      </c>
      <c r="Y105" s="243">
        <v>79259.359279211771</v>
      </c>
      <c r="Z105" s="223"/>
      <c r="AA105" s="224"/>
      <c r="AB105" s="225"/>
      <c r="AC105" s="226"/>
      <c r="AD105" s="223"/>
      <c r="AE105" s="223"/>
      <c r="AF105" s="223"/>
      <c r="AG105" s="223"/>
      <c r="AH105" s="226"/>
      <c r="AI105" s="223"/>
      <c r="AJ105" s="223"/>
      <c r="AK105" s="226"/>
      <c r="AL105" s="223"/>
    </row>
    <row r="106" spans="1:38" ht="21.6" customHeight="1">
      <c r="A106" s="219">
        <v>41426</v>
      </c>
      <c r="B106" s="236">
        <v>3880.7910153801176</v>
      </c>
      <c r="C106" s="236">
        <v>28141.999478795293</v>
      </c>
      <c r="D106" s="236">
        <v>10151.768490547971</v>
      </c>
      <c r="E106" s="237">
        <v>42174.558984723379</v>
      </c>
      <c r="F106" s="236">
        <v>209466.98424653077</v>
      </c>
      <c r="G106" s="236">
        <v>8873.0575161805755</v>
      </c>
      <c r="H106" s="236">
        <v>60450.905929176195</v>
      </c>
      <c r="I106" s="236">
        <v>384.48773600076333</v>
      </c>
      <c r="J106" s="236">
        <v>277889.1891076871</v>
      </c>
      <c r="K106" s="237">
        <v>557064.62453557539</v>
      </c>
      <c r="L106" s="238">
        <v>22398.011030656187</v>
      </c>
      <c r="M106" s="236">
        <v>33426.986061342279</v>
      </c>
      <c r="N106" s="236">
        <v>0</v>
      </c>
      <c r="O106" s="237">
        <v>55824.997091998463</v>
      </c>
      <c r="P106" s="236">
        <v>1910.56088669</v>
      </c>
      <c r="Q106" s="236">
        <v>4433.8913253866158</v>
      </c>
      <c r="R106" s="236">
        <v>247153.31376983286</v>
      </c>
      <c r="S106" s="236">
        <v>5354.6861570313777</v>
      </c>
      <c r="T106" s="239">
        <v>258852.45213894086</v>
      </c>
      <c r="U106" s="240">
        <v>25578.031640610257</v>
      </c>
      <c r="V106" s="236">
        <v>4490.1979337635748</v>
      </c>
      <c r="W106" s="241">
        <v>59370.119487361488</v>
      </c>
      <c r="X106" s="242">
        <v>1003354.9818129735</v>
      </c>
      <c r="Y106" s="243">
        <v>82396.02447648035</v>
      </c>
      <c r="Z106" s="223"/>
      <c r="AA106" s="224"/>
      <c r="AB106" s="225"/>
      <c r="AC106" s="226"/>
      <c r="AD106" s="223"/>
      <c r="AE106" s="223"/>
      <c r="AF106" s="223"/>
      <c r="AG106" s="223"/>
      <c r="AH106" s="226"/>
      <c r="AI106" s="223"/>
      <c r="AJ106" s="223"/>
      <c r="AK106" s="226"/>
      <c r="AL106" s="223"/>
    </row>
    <row r="107" spans="1:38" ht="21.6" customHeight="1">
      <c r="A107" s="219">
        <v>41456</v>
      </c>
      <c r="B107" s="236">
        <v>4399.672453168796</v>
      </c>
      <c r="C107" s="236">
        <v>28845.911377799446</v>
      </c>
      <c r="D107" s="236">
        <v>9856.9029232079247</v>
      </c>
      <c r="E107" s="237">
        <v>43102.486754176171</v>
      </c>
      <c r="F107" s="236">
        <v>226422.23091285076</v>
      </c>
      <c r="G107" s="236">
        <v>14718.634986213397</v>
      </c>
      <c r="H107" s="236">
        <v>61273.923120491098</v>
      </c>
      <c r="I107" s="236">
        <v>525.28397690566101</v>
      </c>
      <c r="J107" s="236">
        <v>280260.06819464517</v>
      </c>
      <c r="K107" s="237">
        <v>583200.14119110606</v>
      </c>
      <c r="L107" s="238">
        <v>23051.591366495388</v>
      </c>
      <c r="M107" s="236">
        <v>34387.619725586366</v>
      </c>
      <c r="N107" s="236">
        <v>0</v>
      </c>
      <c r="O107" s="237">
        <v>57439.21109208175</v>
      </c>
      <c r="P107" s="236">
        <v>1846.9816478299999</v>
      </c>
      <c r="Q107" s="236">
        <v>4556.6056778832335</v>
      </c>
      <c r="R107" s="236">
        <v>248392.52522024908</v>
      </c>
      <c r="S107" s="236">
        <v>5332.6384012472836</v>
      </c>
      <c r="T107" s="239">
        <v>260128.75094720954</v>
      </c>
      <c r="U107" s="240">
        <v>28453.399480534346</v>
      </c>
      <c r="V107" s="236">
        <v>5469.3324128259519</v>
      </c>
      <c r="W107" s="241">
        <v>62763.807245401651</v>
      </c>
      <c r="X107" s="242">
        <v>1040557.1291233355</v>
      </c>
      <c r="Y107" s="243">
        <v>77093.805824002426</v>
      </c>
      <c r="Z107" s="223"/>
      <c r="AA107" s="224"/>
      <c r="AB107" s="225"/>
      <c r="AC107" s="226"/>
      <c r="AD107" s="223"/>
      <c r="AE107" s="223"/>
      <c r="AF107" s="223"/>
      <c r="AG107" s="223"/>
      <c r="AH107" s="226"/>
      <c r="AI107" s="223"/>
      <c r="AJ107" s="223"/>
      <c r="AK107" s="226"/>
      <c r="AL107" s="223"/>
    </row>
    <row r="108" spans="1:38" ht="21.6" customHeight="1">
      <c r="A108" s="219">
        <v>41487</v>
      </c>
      <c r="B108" s="236">
        <v>4328.8715194583456</v>
      </c>
      <c r="C108" s="236">
        <v>26079.403917639902</v>
      </c>
      <c r="D108" s="236">
        <v>11539.137224767033</v>
      </c>
      <c r="E108" s="237">
        <v>41947.412661865281</v>
      </c>
      <c r="F108" s="236">
        <v>201642.23773973188</v>
      </c>
      <c r="G108" s="236">
        <v>13291.317903286385</v>
      </c>
      <c r="H108" s="236">
        <v>59002.211185275606</v>
      </c>
      <c r="I108" s="236">
        <v>328.9703920295845</v>
      </c>
      <c r="J108" s="236">
        <v>280354.89569847874</v>
      </c>
      <c r="K108" s="237">
        <v>554619.63291880221</v>
      </c>
      <c r="L108" s="238">
        <v>23621.371254237791</v>
      </c>
      <c r="M108" s="236">
        <v>34981.967966864213</v>
      </c>
      <c r="N108" s="236">
        <v>0</v>
      </c>
      <c r="O108" s="237">
        <v>58603.339221102004</v>
      </c>
      <c r="P108" s="236">
        <v>1861.5179682299997</v>
      </c>
      <c r="Q108" s="236">
        <v>4578.1518455265023</v>
      </c>
      <c r="R108" s="236">
        <v>251717.37413608353</v>
      </c>
      <c r="S108" s="236">
        <v>5625.9974800944192</v>
      </c>
      <c r="T108" s="239">
        <v>263783.04142993444</v>
      </c>
      <c r="U108" s="240">
        <v>29189.758705660588</v>
      </c>
      <c r="V108" s="236">
        <v>5559.2895301262051</v>
      </c>
      <c r="W108" s="241">
        <v>71411.732976076673</v>
      </c>
      <c r="X108" s="242">
        <v>1025114.2074435673</v>
      </c>
      <c r="Y108" s="243">
        <v>77938.519070114548</v>
      </c>
      <c r="Z108" s="223"/>
      <c r="AA108" s="224"/>
      <c r="AB108" s="225"/>
      <c r="AC108" s="226"/>
      <c r="AD108" s="223"/>
      <c r="AE108" s="223"/>
      <c r="AF108" s="223"/>
      <c r="AG108" s="223"/>
      <c r="AH108" s="226"/>
      <c r="AI108" s="223"/>
      <c r="AJ108" s="223"/>
      <c r="AK108" s="226"/>
      <c r="AL108" s="223"/>
    </row>
    <row r="109" spans="1:38" ht="21.6" customHeight="1">
      <c r="A109" s="219">
        <v>41518</v>
      </c>
      <c r="B109" s="236">
        <v>4241.3018763716818</v>
      </c>
      <c r="C109" s="236">
        <v>24890.737504334746</v>
      </c>
      <c r="D109" s="236">
        <v>11640.855292581578</v>
      </c>
      <c r="E109" s="237">
        <v>40772.894673288007</v>
      </c>
      <c r="F109" s="236">
        <v>201181.30612873103</v>
      </c>
      <c r="G109" s="236">
        <v>15367.485923513073</v>
      </c>
      <c r="H109" s="236">
        <v>61736.596293362869</v>
      </c>
      <c r="I109" s="236">
        <v>412.3802881285082</v>
      </c>
      <c r="J109" s="236">
        <v>267359.381999943</v>
      </c>
      <c r="K109" s="237">
        <v>546057.15063367854</v>
      </c>
      <c r="L109" s="238">
        <v>23056.323995721505</v>
      </c>
      <c r="M109" s="236">
        <v>35832.984629299659</v>
      </c>
      <c r="N109" s="236">
        <v>0</v>
      </c>
      <c r="O109" s="237">
        <v>58889.308625021164</v>
      </c>
      <c r="P109" s="236">
        <v>1744.7541001300001</v>
      </c>
      <c r="Q109" s="236">
        <v>4635.1738163300006</v>
      </c>
      <c r="R109" s="236">
        <v>255504.36996933469</v>
      </c>
      <c r="S109" s="236">
        <v>5474.8776835143226</v>
      </c>
      <c r="T109" s="239">
        <v>267359.17556930904</v>
      </c>
      <c r="U109" s="240">
        <v>29573.916580039506</v>
      </c>
      <c r="V109" s="236">
        <v>5937.002199294634</v>
      </c>
      <c r="W109" s="241">
        <v>66756.659861477528</v>
      </c>
      <c r="X109" s="242">
        <v>1015346.1081421084</v>
      </c>
      <c r="Y109" s="243">
        <v>84791.639829964421</v>
      </c>
      <c r="Z109" s="223"/>
      <c r="AA109" s="224"/>
      <c r="AB109" s="225"/>
      <c r="AC109" s="226"/>
      <c r="AD109" s="223"/>
      <c r="AE109" s="223"/>
      <c r="AF109" s="223"/>
      <c r="AG109" s="223"/>
      <c r="AH109" s="226"/>
      <c r="AI109" s="223"/>
      <c r="AJ109" s="223"/>
      <c r="AK109" s="226"/>
      <c r="AL109" s="223"/>
    </row>
    <row r="110" spans="1:38" ht="21.6" customHeight="1">
      <c r="A110" s="219">
        <v>41548</v>
      </c>
      <c r="B110" s="236">
        <v>4811.2506011403848</v>
      </c>
      <c r="C110" s="236">
        <v>26385.796652097277</v>
      </c>
      <c r="D110" s="236">
        <v>11358.624307611208</v>
      </c>
      <c r="E110" s="237">
        <v>42555.671560848874</v>
      </c>
      <c r="F110" s="236">
        <v>197492.02880524518</v>
      </c>
      <c r="G110" s="236">
        <v>13562.874693319922</v>
      </c>
      <c r="H110" s="236">
        <v>55268.322681338752</v>
      </c>
      <c r="I110" s="236">
        <v>447.42692513944536</v>
      </c>
      <c r="J110" s="236">
        <v>267686.65164087864</v>
      </c>
      <c r="K110" s="237">
        <v>534457.30474592187</v>
      </c>
      <c r="L110" s="238">
        <v>22116.745892637948</v>
      </c>
      <c r="M110" s="236">
        <v>36231.068644660998</v>
      </c>
      <c r="N110" s="236">
        <v>0</v>
      </c>
      <c r="O110" s="237">
        <v>58347.814537298946</v>
      </c>
      <c r="P110" s="236">
        <v>1828.8747707699999</v>
      </c>
      <c r="Q110" s="236">
        <v>4706.1784363385841</v>
      </c>
      <c r="R110" s="236">
        <v>253652.4042292707</v>
      </c>
      <c r="S110" s="236">
        <v>5818.5795464006596</v>
      </c>
      <c r="T110" s="239">
        <v>266006.03698277991</v>
      </c>
      <c r="U110" s="240">
        <v>30639.468371773331</v>
      </c>
      <c r="V110" s="236">
        <v>3204.2819639692034</v>
      </c>
      <c r="W110" s="241">
        <v>58011.338147617535</v>
      </c>
      <c r="X110" s="242">
        <v>993221.91631020966</v>
      </c>
      <c r="Y110" s="243">
        <v>84512.298503910337</v>
      </c>
      <c r="Z110" s="223"/>
      <c r="AA110" s="224"/>
      <c r="AB110" s="225"/>
      <c r="AC110" s="226"/>
      <c r="AD110" s="223"/>
      <c r="AE110" s="223"/>
      <c r="AF110" s="223"/>
      <c r="AG110" s="223"/>
      <c r="AH110" s="226"/>
      <c r="AI110" s="223"/>
      <c r="AJ110" s="223"/>
      <c r="AK110" s="226"/>
      <c r="AL110" s="223"/>
    </row>
    <row r="111" spans="1:38" ht="21.6" customHeight="1">
      <c r="A111" s="219">
        <v>41579</v>
      </c>
      <c r="B111" s="236">
        <v>4467.1702216118156</v>
      </c>
      <c r="C111" s="236">
        <v>28214.962233215654</v>
      </c>
      <c r="D111" s="236">
        <v>11185.337246683976</v>
      </c>
      <c r="E111" s="237">
        <v>43867.469701511451</v>
      </c>
      <c r="F111" s="236">
        <v>201668.973496063</v>
      </c>
      <c r="G111" s="236">
        <v>14493.669740705081</v>
      </c>
      <c r="H111" s="236">
        <v>61561.754411019509</v>
      </c>
      <c r="I111" s="236">
        <v>533.67200817338755</v>
      </c>
      <c r="J111" s="236">
        <v>268190.87126118608</v>
      </c>
      <c r="K111" s="237">
        <v>546448.94091714709</v>
      </c>
      <c r="L111" s="238">
        <v>21313.562095464211</v>
      </c>
      <c r="M111" s="236">
        <v>36534.336342814095</v>
      </c>
      <c r="N111" s="236">
        <v>0</v>
      </c>
      <c r="O111" s="237">
        <v>57847.898438278309</v>
      </c>
      <c r="P111" s="236">
        <v>1975.8009962900001</v>
      </c>
      <c r="Q111" s="236">
        <v>4912.2183182799663</v>
      </c>
      <c r="R111" s="236">
        <v>256542.35086008051</v>
      </c>
      <c r="S111" s="236">
        <v>5789.3053788147263</v>
      </c>
      <c r="T111" s="239">
        <v>269219.6755534652</v>
      </c>
      <c r="U111" s="240">
        <v>30624.318209656696</v>
      </c>
      <c r="V111" s="236">
        <v>3823.9849964586647</v>
      </c>
      <c r="W111" s="241">
        <v>55512.380091501676</v>
      </c>
      <c r="X111" s="242">
        <v>1007344.667908019</v>
      </c>
      <c r="Y111" s="243">
        <v>82429.32420046936</v>
      </c>
      <c r="Z111" s="223"/>
      <c r="AA111" s="224"/>
      <c r="AB111" s="225"/>
      <c r="AC111" s="226"/>
      <c r="AD111" s="223"/>
      <c r="AE111" s="223"/>
      <c r="AF111" s="223"/>
      <c r="AG111" s="223"/>
      <c r="AH111" s="226"/>
      <c r="AI111" s="223"/>
      <c r="AJ111" s="223"/>
      <c r="AK111" s="226"/>
      <c r="AL111" s="223"/>
    </row>
    <row r="112" spans="1:38" ht="21.6" customHeight="1">
      <c r="A112" s="219">
        <v>41609</v>
      </c>
      <c r="B112" s="236">
        <v>6810.0933414541223</v>
      </c>
      <c r="C112" s="236">
        <v>32104.327647379319</v>
      </c>
      <c r="D112" s="236">
        <v>10648.579377938948</v>
      </c>
      <c r="E112" s="237">
        <v>49563.000366772394</v>
      </c>
      <c r="F112" s="236">
        <v>241109.85381519891</v>
      </c>
      <c r="G112" s="236">
        <v>11330.997677129855</v>
      </c>
      <c r="H112" s="236">
        <v>59863.851260588883</v>
      </c>
      <c r="I112" s="236">
        <v>731.03640634573128</v>
      </c>
      <c r="J112" s="236">
        <v>258154.37026382881</v>
      </c>
      <c r="K112" s="237">
        <v>571190.10942309222</v>
      </c>
      <c r="L112" s="238">
        <v>21011.114171994846</v>
      </c>
      <c r="M112" s="236">
        <v>37059.885545682861</v>
      </c>
      <c r="N112" s="236">
        <v>0</v>
      </c>
      <c r="O112" s="237">
        <v>58070.999717677711</v>
      </c>
      <c r="P112" s="236">
        <v>1861.9622497999999</v>
      </c>
      <c r="Q112" s="236">
        <v>4696.5305705006012</v>
      </c>
      <c r="R112" s="236">
        <v>258919.20191453653</v>
      </c>
      <c r="S112" s="236">
        <v>5769.7931111539401</v>
      </c>
      <c r="T112" s="239">
        <v>271247.4878459911</v>
      </c>
      <c r="U112" s="240">
        <v>33709.939182922913</v>
      </c>
      <c r="V112" s="236">
        <v>3817.7409457248541</v>
      </c>
      <c r="W112" s="241">
        <v>53218.495915106425</v>
      </c>
      <c r="X112" s="242">
        <v>1040817.7733972876</v>
      </c>
      <c r="Y112" s="243">
        <v>86111.620200683043</v>
      </c>
      <c r="Z112" s="223"/>
      <c r="AA112" s="224"/>
      <c r="AB112" s="225"/>
      <c r="AC112" s="226"/>
      <c r="AD112" s="223"/>
      <c r="AE112" s="223"/>
      <c r="AF112" s="223"/>
      <c r="AG112" s="223"/>
      <c r="AH112" s="226"/>
      <c r="AI112" s="223"/>
      <c r="AJ112" s="223"/>
      <c r="AK112" s="226"/>
      <c r="AL112" s="223"/>
    </row>
    <row r="113" spans="1:57" ht="21.6" customHeight="1">
      <c r="A113" s="219">
        <v>41640</v>
      </c>
      <c r="B113" s="236">
        <v>5069.024049682791</v>
      </c>
      <c r="C113" s="236">
        <v>31278.309183396799</v>
      </c>
      <c r="D113" s="236">
        <v>12149.355474783542</v>
      </c>
      <c r="E113" s="237">
        <v>48496.688707863133</v>
      </c>
      <c r="F113" s="236">
        <v>213504.46302230025</v>
      </c>
      <c r="G113" s="236">
        <v>11157.538159604272</v>
      </c>
      <c r="H113" s="236">
        <v>59094.832595400811</v>
      </c>
      <c r="I113" s="236">
        <v>627.66205105705922</v>
      </c>
      <c r="J113" s="236">
        <v>259686.68708638541</v>
      </c>
      <c r="K113" s="237">
        <v>544071.18291474774</v>
      </c>
      <c r="L113" s="238">
        <v>21871.693204192634</v>
      </c>
      <c r="M113" s="236">
        <v>38150.652335324557</v>
      </c>
      <c r="N113" s="236">
        <v>0</v>
      </c>
      <c r="O113" s="237">
        <v>60022.345539517191</v>
      </c>
      <c r="P113" s="236">
        <v>599.78035923999994</v>
      </c>
      <c r="Q113" s="236">
        <v>4800.9684769160085</v>
      </c>
      <c r="R113" s="236">
        <v>258422.95630467447</v>
      </c>
      <c r="S113" s="236">
        <v>5767.8365389796272</v>
      </c>
      <c r="T113" s="239">
        <v>269591.54167981009</v>
      </c>
      <c r="U113" s="240">
        <v>34534.598701656825</v>
      </c>
      <c r="V113" s="236">
        <v>2400.9949190990351</v>
      </c>
      <c r="W113" s="241">
        <v>51649.548720236475</v>
      </c>
      <c r="X113" s="242">
        <v>1010766.9011829303</v>
      </c>
      <c r="Y113" s="243">
        <v>81520.564717422894</v>
      </c>
      <c r="Z113" s="223"/>
      <c r="AA113" s="224"/>
      <c r="AB113" s="225"/>
      <c r="AC113" s="226"/>
      <c r="AD113" s="223"/>
      <c r="AE113" s="223"/>
      <c r="AF113" s="223"/>
      <c r="AG113" s="223"/>
      <c r="AH113" s="226"/>
      <c r="AI113" s="223"/>
      <c r="AJ113" s="223"/>
      <c r="AK113" s="226"/>
      <c r="AL113" s="223"/>
    </row>
    <row r="114" spans="1:57" ht="21.6" customHeight="1">
      <c r="A114" s="219">
        <v>41671</v>
      </c>
      <c r="B114" s="236">
        <v>4858.8513606829583</v>
      </c>
      <c r="C114" s="236">
        <v>37064.609421999492</v>
      </c>
      <c r="D114" s="236">
        <v>12985.686127324472</v>
      </c>
      <c r="E114" s="237">
        <v>54909.146910006923</v>
      </c>
      <c r="F114" s="236">
        <v>219188.38170315442</v>
      </c>
      <c r="G114" s="236">
        <v>7445.125906775178</v>
      </c>
      <c r="H114" s="236">
        <v>60607.024886473038</v>
      </c>
      <c r="I114" s="236">
        <v>484.1258497778316</v>
      </c>
      <c r="J114" s="236">
        <v>258128.9906881373</v>
      </c>
      <c r="K114" s="237">
        <v>545853.64903431782</v>
      </c>
      <c r="L114" s="238">
        <v>20297.090313608434</v>
      </c>
      <c r="M114" s="236">
        <v>39998.900745781175</v>
      </c>
      <c r="N114" s="236">
        <v>0</v>
      </c>
      <c r="O114" s="237">
        <v>60295.991059389606</v>
      </c>
      <c r="P114" s="236">
        <v>537.44428195999978</v>
      </c>
      <c r="Q114" s="236">
        <v>4723.1151700500004</v>
      </c>
      <c r="R114" s="236">
        <v>259577.90196538699</v>
      </c>
      <c r="S114" s="236">
        <v>5751.9439673543302</v>
      </c>
      <c r="T114" s="239">
        <v>270590.40538475133</v>
      </c>
      <c r="U114" s="240">
        <v>33295.519640815248</v>
      </c>
      <c r="V114" s="236">
        <v>4039.7461403108264</v>
      </c>
      <c r="W114" s="241">
        <v>51686.148804152734</v>
      </c>
      <c r="X114" s="242">
        <v>1020670.6069737443</v>
      </c>
      <c r="Y114" s="243">
        <v>76465.815371534773</v>
      </c>
      <c r="AA114" s="244"/>
      <c r="AB114" s="244"/>
    </row>
    <row r="115" spans="1:57" ht="21.6" customHeight="1">
      <c r="A115" s="219">
        <v>41699</v>
      </c>
      <c r="B115" s="236">
        <v>4677.8088589876961</v>
      </c>
      <c r="C115" s="236">
        <v>35347.830840093993</v>
      </c>
      <c r="D115" s="236">
        <v>15103.693457069929</v>
      </c>
      <c r="E115" s="237">
        <v>55129.333156151617</v>
      </c>
      <c r="F115" s="236">
        <v>236486.71607347639</v>
      </c>
      <c r="G115" s="236">
        <v>9679.4603381679699</v>
      </c>
      <c r="H115" s="236">
        <v>60272.620452496441</v>
      </c>
      <c r="I115" s="236">
        <v>404.76557631137359</v>
      </c>
      <c r="J115" s="236">
        <v>255697.16750234505</v>
      </c>
      <c r="K115" s="237">
        <v>562540.72994279722</v>
      </c>
      <c r="L115" s="238">
        <v>19891.185917170846</v>
      </c>
      <c r="M115" s="236">
        <v>41404.786531058096</v>
      </c>
      <c r="N115" s="236">
        <v>0</v>
      </c>
      <c r="O115" s="237">
        <v>61295.972448228946</v>
      </c>
      <c r="P115" s="236">
        <v>662.00819439999987</v>
      </c>
      <c r="Q115" s="236">
        <v>4542.2501521800004</v>
      </c>
      <c r="R115" s="236">
        <v>260030.06550859928</v>
      </c>
      <c r="S115" s="236">
        <v>5781.0270268888817</v>
      </c>
      <c r="T115" s="239">
        <v>271015.35088206816</v>
      </c>
      <c r="U115" s="240">
        <v>31751.160609195824</v>
      </c>
      <c r="V115" s="236">
        <v>6125.4585455618308</v>
      </c>
      <c r="W115" s="241">
        <v>48191.781848586528</v>
      </c>
      <c r="X115" s="242">
        <v>1036049.7874325902</v>
      </c>
      <c r="Y115" s="243">
        <v>84296.050950388628</v>
      </c>
      <c r="AA115" s="244"/>
      <c r="AB115" s="244"/>
    </row>
    <row r="116" spans="1:57" ht="21.6" customHeight="1">
      <c r="A116" s="219">
        <v>41730</v>
      </c>
      <c r="B116" s="236">
        <v>5001.6165995124438</v>
      </c>
      <c r="C116" s="236">
        <v>34975.195226555348</v>
      </c>
      <c r="D116" s="236">
        <v>15651.557001741576</v>
      </c>
      <c r="E116" s="237">
        <v>55628.368827809369</v>
      </c>
      <c r="F116" s="236">
        <v>224785.39700616617</v>
      </c>
      <c r="G116" s="236">
        <v>6751.4183300266086</v>
      </c>
      <c r="H116" s="236">
        <v>58895.977357063566</v>
      </c>
      <c r="I116" s="236">
        <v>532.92622258742745</v>
      </c>
      <c r="J116" s="236">
        <v>264694.90196888958</v>
      </c>
      <c r="K116" s="237">
        <v>555660.62088473327</v>
      </c>
      <c r="L116" s="238">
        <v>19385.555067877907</v>
      </c>
      <c r="M116" s="236">
        <v>44219.705902657792</v>
      </c>
      <c r="N116" s="236">
        <v>0</v>
      </c>
      <c r="O116" s="237">
        <v>63605.260970535703</v>
      </c>
      <c r="P116" s="236">
        <v>638.91066726999986</v>
      </c>
      <c r="Q116" s="236">
        <v>4475.2051822949998</v>
      </c>
      <c r="R116" s="236">
        <v>258880.05013901339</v>
      </c>
      <c r="S116" s="236">
        <v>6104.2650248939344</v>
      </c>
      <c r="T116" s="239">
        <v>270098.43101347232</v>
      </c>
      <c r="U116" s="240">
        <v>31689.688584023053</v>
      </c>
      <c r="V116" s="236">
        <v>4915.7592953834283</v>
      </c>
      <c r="W116" s="241">
        <v>51535.431043000914</v>
      </c>
      <c r="X116" s="242">
        <v>1033133.560618958</v>
      </c>
      <c r="Y116" s="243">
        <v>87831.740264898981</v>
      </c>
      <c r="AA116" s="244"/>
      <c r="AB116" s="244"/>
    </row>
    <row r="117" spans="1:57" ht="21.6" customHeight="1">
      <c r="A117" s="219">
        <v>41760</v>
      </c>
      <c r="B117" s="236">
        <v>4284.2831568149759</v>
      </c>
      <c r="C117" s="236">
        <v>36200.592122623988</v>
      </c>
      <c r="D117" s="236">
        <v>16872.746480860293</v>
      </c>
      <c r="E117" s="237">
        <v>57357.621760299255</v>
      </c>
      <c r="F117" s="236">
        <v>195777.90346106852</v>
      </c>
      <c r="G117" s="236">
        <v>7457.2671456919497</v>
      </c>
      <c r="H117" s="236">
        <v>63157.735522620926</v>
      </c>
      <c r="I117" s="236">
        <v>462.37334705635686</v>
      </c>
      <c r="J117" s="236">
        <v>270641.87205841206</v>
      </c>
      <c r="K117" s="237">
        <v>537497.15153484978</v>
      </c>
      <c r="L117" s="238">
        <v>19449.203798030103</v>
      </c>
      <c r="M117" s="236">
        <v>45829.315121733198</v>
      </c>
      <c r="N117" s="236">
        <v>0</v>
      </c>
      <c r="O117" s="237">
        <v>65278.518919763301</v>
      </c>
      <c r="P117" s="236">
        <v>629.68270240000004</v>
      </c>
      <c r="Q117" s="236">
        <v>4103.0691505200011</v>
      </c>
      <c r="R117" s="236">
        <v>256877.68471434969</v>
      </c>
      <c r="S117" s="236">
        <v>6113.097089343506</v>
      </c>
      <c r="T117" s="239">
        <v>267723.5336566132</v>
      </c>
      <c r="U117" s="240">
        <v>35159.629754696762</v>
      </c>
      <c r="V117" s="236">
        <v>4519.9698590793578</v>
      </c>
      <c r="W117" s="241">
        <v>50599.316390320753</v>
      </c>
      <c r="X117" s="242">
        <v>1018135.7418756223</v>
      </c>
      <c r="Y117" s="243">
        <v>92313.545399901574</v>
      </c>
      <c r="AA117" s="244"/>
      <c r="AB117" s="244"/>
    </row>
    <row r="118" spans="1:57" ht="21.6" customHeight="1">
      <c r="A118" s="219">
        <v>41791</v>
      </c>
      <c r="B118" s="236">
        <v>4659.0554516293196</v>
      </c>
      <c r="C118" s="236">
        <v>35450.801770102997</v>
      </c>
      <c r="D118" s="236">
        <v>17010.5318632323</v>
      </c>
      <c r="E118" s="237">
        <v>57120.389084964612</v>
      </c>
      <c r="F118" s="236">
        <v>189045.37336056825</v>
      </c>
      <c r="G118" s="236">
        <v>10369.533545288798</v>
      </c>
      <c r="H118" s="236">
        <v>62255.367329174507</v>
      </c>
      <c r="I118" s="236">
        <v>456.95772599887545</v>
      </c>
      <c r="J118" s="236">
        <v>271001.10262459249</v>
      </c>
      <c r="K118" s="237">
        <v>533128.33458562288</v>
      </c>
      <c r="L118" s="238">
        <v>19819.410237617558</v>
      </c>
      <c r="M118" s="236">
        <v>47476.458302434759</v>
      </c>
      <c r="N118" s="236">
        <v>0</v>
      </c>
      <c r="O118" s="237">
        <v>67295.868540052325</v>
      </c>
      <c r="P118" s="236">
        <v>650.40999287</v>
      </c>
      <c r="Q118" s="236">
        <v>4066.5693370800013</v>
      </c>
      <c r="R118" s="236">
        <v>260505.65980676812</v>
      </c>
      <c r="S118" s="236">
        <v>2822.3301723813711</v>
      </c>
      <c r="T118" s="239">
        <v>268044.96930909948</v>
      </c>
      <c r="U118" s="240">
        <v>34493.732392353057</v>
      </c>
      <c r="V118" s="236">
        <v>3610.9673657993299</v>
      </c>
      <c r="W118" s="241">
        <v>50028.784782582959</v>
      </c>
      <c r="X118" s="242">
        <v>1013723.0460604746</v>
      </c>
      <c r="Y118" s="243">
        <v>97965.217452960336</v>
      </c>
      <c r="AA118" s="244"/>
      <c r="AB118" s="244"/>
    </row>
    <row r="119" spans="1:57" ht="9.75" customHeight="1" thickBot="1">
      <c r="A119" s="245"/>
      <c r="B119" s="246"/>
      <c r="C119" s="247"/>
      <c r="D119" s="247"/>
      <c r="E119" s="248"/>
      <c r="F119" s="249"/>
      <c r="G119" s="247"/>
      <c r="H119" s="247"/>
      <c r="I119" s="247"/>
      <c r="J119" s="247"/>
      <c r="K119" s="248"/>
      <c r="L119" s="249"/>
      <c r="M119" s="247"/>
      <c r="N119" s="247"/>
      <c r="O119" s="248"/>
      <c r="P119" s="249"/>
      <c r="Q119" s="247"/>
      <c r="R119" s="247"/>
      <c r="S119" s="247"/>
      <c r="T119" s="248"/>
      <c r="U119" s="250"/>
      <c r="V119" s="246"/>
      <c r="W119" s="251"/>
      <c r="X119" s="252"/>
      <c r="Y119" s="253"/>
    </row>
    <row r="120" spans="1:57" ht="17.100000000000001" customHeight="1" thickTop="1">
      <c r="A120" s="254" t="s">
        <v>237</v>
      </c>
      <c r="K120" s="255" t="s">
        <v>238</v>
      </c>
      <c r="L120" s="256"/>
      <c r="N120" s="218"/>
      <c r="O120" s="256"/>
      <c r="R120" s="254"/>
      <c r="S120" s="218"/>
      <c r="U120" s="218"/>
      <c r="V120" s="218"/>
      <c r="W120" s="257"/>
      <c r="X120" s="218"/>
    </row>
    <row r="121" spans="1:57" ht="17.100000000000001" customHeight="1">
      <c r="A121" s="254" t="s">
        <v>239</v>
      </c>
      <c r="K121" s="258" t="s">
        <v>240</v>
      </c>
      <c r="L121" s="256"/>
      <c r="N121" s="218"/>
      <c r="O121" s="256"/>
      <c r="R121" s="254"/>
      <c r="S121" s="218"/>
      <c r="U121" s="218"/>
      <c r="V121" s="218"/>
      <c r="W121" s="257"/>
      <c r="X121" s="218"/>
      <c r="Z121" s="218"/>
      <c r="AA121" s="218"/>
      <c r="AB121" s="218"/>
      <c r="AC121" s="218"/>
      <c r="AD121" s="218"/>
      <c r="AE121" s="218"/>
    </row>
    <row r="122" spans="1:57" ht="17.100000000000001" customHeight="1">
      <c r="A122" s="259" t="s">
        <v>180</v>
      </c>
      <c r="B122" s="218"/>
      <c r="C122" s="218"/>
      <c r="D122" s="218"/>
      <c r="E122" s="218"/>
      <c r="F122" s="218"/>
      <c r="G122" s="218"/>
      <c r="H122" s="218"/>
      <c r="I122" s="218"/>
      <c r="J122" s="218"/>
      <c r="K122" s="218"/>
      <c r="L122" s="218"/>
      <c r="M122" s="260"/>
      <c r="N122" s="218"/>
      <c r="O122" s="218"/>
      <c r="P122" s="261"/>
      <c r="Q122" s="218"/>
      <c r="R122" s="218"/>
      <c r="S122" s="218"/>
      <c r="T122" s="218"/>
      <c r="U122" s="218"/>
      <c r="V122" s="218"/>
      <c r="W122" s="218"/>
      <c r="X122" s="218"/>
      <c r="Y122" s="218"/>
      <c r="Z122" s="262"/>
      <c r="AA122" s="262"/>
      <c r="AB122" s="262"/>
      <c r="AC122" s="262"/>
      <c r="AD122" s="262"/>
      <c r="AE122" s="262"/>
      <c r="AF122" s="262"/>
      <c r="AG122" s="262"/>
      <c r="AH122" s="262"/>
      <c r="AI122" s="262"/>
      <c r="AJ122" s="262"/>
      <c r="AK122" s="262"/>
      <c r="AL122" s="262"/>
      <c r="AM122" s="262"/>
      <c r="AN122" s="262"/>
      <c r="AO122" s="262"/>
      <c r="AP122" s="262"/>
      <c r="AQ122" s="262"/>
      <c r="AR122" s="262"/>
      <c r="AS122" s="262"/>
      <c r="AT122" s="262"/>
      <c r="AU122" s="262"/>
      <c r="AV122" s="262"/>
      <c r="AW122" s="262"/>
      <c r="AX122" s="262"/>
      <c r="AY122" s="262"/>
      <c r="AZ122" s="262"/>
      <c r="BA122" s="262"/>
      <c r="BB122" s="262"/>
      <c r="BC122" s="262"/>
      <c r="BD122" s="262"/>
      <c r="BE122" s="262"/>
    </row>
    <row r="123" spans="1:57" ht="17.100000000000001" customHeight="1">
      <c r="A123" s="259"/>
      <c r="B123" s="218"/>
      <c r="C123" s="218"/>
      <c r="D123" s="218"/>
      <c r="E123" s="218"/>
      <c r="F123" s="218"/>
      <c r="G123" s="218"/>
      <c r="H123" s="218"/>
      <c r="I123" s="218"/>
      <c r="J123" s="218"/>
      <c r="K123" s="218"/>
      <c r="L123" s="218"/>
      <c r="M123" s="260"/>
      <c r="N123" s="218"/>
      <c r="O123" s="218"/>
      <c r="P123" s="261"/>
      <c r="Q123" s="218"/>
      <c r="R123" s="218"/>
      <c r="S123" s="218"/>
      <c r="T123" s="218"/>
      <c r="U123" s="218"/>
      <c r="V123" s="218"/>
      <c r="W123" s="218"/>
      <c r="X123" s="218"/>
      <c r="Y123" s="218"/>
      <c r="Z123" s="262"/>
      <c r="AA123" s="262"/>
      <c r="AB123" s="262"/>
      <c r="AC123" s="262"/>
      <c r="AD123" s="262"/>
      <c r="AE123" s="262"/>
      <c r="AF123" s="262"/>
      <c r="AG123" s="262"/>
      <c r="AH123" s="262"/>
      <c r="AI123" s="262"/>
      <c r="AJ123" s="262"/>
      <c r="AK123" s="262"/>
      <c r="AL123" s="262"/>
      <c r="AM123" s="262"/>
      <c r="AN123" s="262"/>
      <c r="AO123" s="262"/>
      <c r="AP123" s="262"/>
      <c r="AQ123" s="262"/>
      <c r="AR123" s="262"/>
      <c r="AS123" s="262"/>
      <c r="AT123" s="262"/>
      <c r="AU123" s="262"/>
      <c r="AV123" s="262"/>
      <c r="AW123" s="262"/>
      <c r="AX123" s="262"/>
      <c r="AY123" s="262"/>
      <c r="AZ123" s="262"/>
      <c r="BA123" s="262"/>
      <c r="BB123" s="262"/>
      <c r="BC123" s="262"/>
      <c r="BD123" s="262"/>
      <c r="BE123" s="262"/>
    </row>
    <row r="124" spans="1:57" ht="17.100000000000001" customHeight="1">
      <c r="A124" s="263"/>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F124" s="262"/>
      <c r="AG124" s="262"/>
      <c r="AH124" s="262"/>
      <c r="AI124" s="262"/>
      <c r="AJ124" s="262"/>
      <c r="AK124" s="262"/>
      <c r="AL124" s="262"/>
      <c r="AM124" s="262"/>
      <c r="AN124" s="262"/>
      <c r="AO124" s="262"/>
      <c r="AP124" s="262"/>
      <c r="AQ124" s="262"/>
      <c r="AR124" s="262"/>
      <c r="AS124" s="262"/>
      <c r="AT124" s="262"/>
      <c r="AU124" s="262"/>
      <c r="AV124" s="262"/>
      <c r="AW124" s="262"/>
      <c r="AX124" s="262"/>
      <c r="AY124" s="262"/>
    </row>
    <row r="125" spans="1:57" ht="17.100000000000001" customHeight="1">
      <c r="A125" s="3212" t="s">
        <v>241</v>
      </c>
      <c r="B125" s="3212"/>
      <c r="C125" s="3212"/>
      <c r="D125" s="3212"/>
      <c r="E125" s="3212"/>
      <c r="F125" s="3212"/>
      <c r="G125" s="3212"/>
      <c r="H125" s="3212"/>
      <c r="I125" s="3212"/>
      <c r="J125" s="3212"/>
      <c r="K125" s="3212"/>
      <c r="L125" s="3212"/>
      <c r="M125" s="3212"/>
      <c r="N125" s="3212"/>
      <c r="O125" s="3212"/>
      <c r="P125" s="3212"/>
      <c r="Q125" s="3212"/>
      <c r="R125" s="3212"/>
      <c r="S125" s="260"/>
      <c r="T125" s="218"/>
      <c r="U125" s="218"/>
      <c r="V125" s="218"/>
      <c r="W125" s="218"/>
      <c r="X125" s="218"/>
      <c r="Y125" s="218"/>
    </row>
    <row r="126" spans="1:57" ht="17.100000000000001" customHeight="1" thickBot="1">
      <c r="R126" s="173" t="s">
        <v>74</v>
      </c>
      <c r="Y126" s="262"/>
      <c r="Z126" s="218"/>
      <c r="AA126" s="218"/>
      <c r="AB126" s="218"/>
      <c r="AC126" s="218"/>
      <c r="AD126" s="218"/>
      <c r="AE126" s="218"/>
    </row>
    <row r="127" spans="1:57" ht="17.100000000000001" customHeight="1" thickTop="1" thickBot="1">
      <c r="A127" s="174" t="s">
        <v>184</v>
      </c>
      <c r="B127" s="264" t="s">
        <v>242</v>
      </c>
      <c r="C127" s="178" t="s">
        <v>243</v>
      </c>
      <c r="D127" s="178"/>
      <c r="E127" s="178"/>
      <c r="F127" s="178"/>
      <c r="G127" s="179"/>
      <c r="H127" s="265" t="s">
        <v>203</v>
      </c>
      <c r="I127" s="265" t="s">
        <v>244</v>
      </c>
      <c r="J127" s="265" t="s">
        <v>54</v>
      </c>
      <c r="K127" s="3213" t="s">
        <v>245</v>
      </c>
      <c r="L127" s="3214"/>
      <c r="M127" s="265" t="s">
        <v>206</v>
      </c>
      <c r="N127" s="265" t="s">
        <v>246</v>
      </c>
      <c r="O127" s="266" t="s">
        <v>247</v>
      </c>
      <c r="P127" s="267" t="s">
        <v>193</v>
      </c>
      <c r="Q127" s="265" t="s">
        <v>211</v>
      </c>
      <c r="R127" s="266" t="s">
        <v>231</v>
      </c>
      <c r="S127" s="218"/>
      <c r="T127" s="218"/>
      <c r="U127" s="218"/>
      <c r="V127" s="218"/>
      <c r="W127" s="218"/>
      <c r="X127" s="218"/>
      <c r="Y127" s="218"/>
    </row>
    <row r="128" spans="1:57" ht="17.100000000000001" customHeight="1">
      <c r="A128" s="184" t="s">
        <v>194</v>
      </c>
      <c r="B128" s="268" t="s">
        <v>222</v>
      </c>
      <c r="C128" s="269" t="s">
        <v>248</v>
      </c>
      <c r="D128" s="270" t="s">
        <v>249</v>
      </c>
      <c r="E128" s="270" t="s">
        <v>250</v>
      </c>
      <c r="F128" s="270" t="s">
        <v>200</v>
      </c>
      <c r="G128" s="271" t="s">
        <v>198</v>
      </c>
      <c r="H128" s="272" t="s">
        <v>251</v>
      </c>
      <c r="I128" s="272" t="s">
        <v>54</v>
      </c>
      <c r="J128" s="272" t="s">
        <v>252</v>
      </c>
      <c r="K128" s="269" t="s">
        <v>225</v>
      </c>
      <c r="L128" s="270" t="s">
        <v>225</v>
      </c>
      <c r="M128" s="272" t="s">
        <v>253</v>
      </c>
      <c r="N128" s="272" t="s">
        <v>254</v>
      </c>
      <c r="O128" s="273" t="s">
        <v>18</v>
      </c>
      <c r="P128" s="274" t="s">
        <v>255</v>
      </c>
      <c r="Q128" s="272" t="s">
        <v>256</v>
      </c>
      <c r="R128" s="273" t="s">
        <v>28</v>
      </c>
    </row>
    <row r="129" spans="1:18" ht="17.100000000000001" customHeight="1">
      <c r="A129" s="184" t="s">
        <v>212</v>
      </c>
      <c r="B129" s="268" t="s">
        <v>5</v>
      </c>
      <c r="C129" s="275"/>
      <c r="D129" s="276"/>
      <c r="E129" s="276"/>
      <c r="F129" s="276" t="s">
        <v>257</v>
      </c>
      <c r="G129" s="277"/>
      <c r="H129" s="272"/>
      <c r="I129" s="272"/>
      <c r="J129" s="272" t="s">
        <v>197</v>
      </c>
      <c r="K129" s="275" t="s">
        <v>213</v>
      </c>
      <c r="L129" s="276" t="s">
        <v>232</v>
      </c>
      <c r="M129" s="272"/>
      <c r="N129" s="272"/>
      <c r="O129" s="273"/>
      <c r="P129" s="274" t="s">
        <v>258</v>
      </c>
      <c r="Q129" s="272"/>
      <c r="R129" s="273"/>
    </row>
    <row r="130" spans="1:18" ht="17.100000000000001" customHeight="1">
      <c r="A130" s="200" t="s">
        <v>28</v>
      </c>
      <c r="B130" s="278"/>
      <c r="C130" s="279"/>
      <c r="D130" s="280"/>
      <c r="E130" s="280"/>
      <c r="F130" s="280" t="s">
        <v>49</v>
      </c>
      <c r="G130" s="281"/>
      <c r="H130" s="282"/>
      <c r="I130" s="282"/>
      <c r="J130" s="282" t="s">
        <v>215</v>
      </c>
      <c r="K130" s="283" t="s">
        <v>215</v>
      </c>
      <c r="L130" s="279"/>
      <c r="M130" s="282"/>
      <c r="N130" s="282"/>
      <c r="O130" s="284"/>
      <c r="P130" s="285"/>
      <c r="Q130" s="282"/>
      <c r="R130" s="284"/>
    </row>
    <row r="131" spans="1:18" ht="17.100000000000001" hidden="1" customHeight="1">
      <c r="A131" s="200"/>
      <c r="B131" s="286"/>
      <c r="C131" s="287"/>
      <c r="D131" s="288"/>
      <c r="E131" s="288"/>
      <c r="F131" s="288"/>
      <c r="G131" s="289"/>
      <c r="H131" s="290"/>
      <c r="I131" s="290"/>
      <c r="J131" s="290"/>
      <c r="K131" s="291"/>
      <c r="L131" s="288"/>
      <c r="M131" s="290"/>
      <c r="N131" s="290"/>
      <c r="O131" s="292"/>
      <c r="P131" s="286"/>
      <c r="Q131" s="290"/>
      <c r="R131" s="292"/>
    </row>
    <row r="132" spans="1:18" ht="17.100000000000001" hidden="1" customHeight="1">
      <c r="A132" s="209"/>
      <c r="B132" s="293"/>
      <c r="C132" s="210"/>
      <c r="D132" s="211"/>
      <c r="E132" s="211"/>
      <c r="F132" s="211"/>
      <c r="G132" s="212"/>
      <c r="H132" s="294"/>
      <c r="I132" s="294"/>
      <c r="J132" s="294"/>
      <c r="K132" s="213"/>
      <c r="L132" s="211"/>
      <c r="M132" s="294"/>
      <c r="N132" s="294"/>
      <c r="O132" s="295"/>
      <c r="P132" s="293"/>
      <c r="Q132" s="294"/>
      <c r="R132" s="296"/>
    </row>
    <row r="133" spans="1:18" ht="17.100000000000001" hidden="1" customHeight="1">
      <c r="A133" s="219">
        <v>38507</v>
      </c>
      <c r="B133" s="212">
        <v>33314.3296652313</v>
      </c>
      <c r="C133" s="210">
        <f>12403.7541621657+137.783</f>
        <v>12541.5371621657</v>
      </c>
      <c r="D133" s="210">
        <f>63359.1606115899+1330.64</f>
        <v>64689.800611589897</v>
      </c>
      <c r="E133" s="211">
        <f>46898.3281212962+49.348</f>
        <v>46947.676121296201</v>
      </c>
      <c r="F133" s="210">
        <v>185530.59383451584</v>
      </c>
      <c r="G133" s="212">
        <f>SUM(C133:F133)</f>
        <v>309709.60772956762</v>
      </c>
      <c r="H133" s="293">
        <v>294.13099999999997</v>
      </c>
      <c r="I133" s="293">
        <v>176.06079</v>
      </c>
      <c r="J133" s="297">
        <v>1824.9484996299898</v>
      </c>
      <c r="K133" s="213">
        <v>534.96565491799993</v>
      </c>
      <c r="L133" s="211">
        <v>44451.889366543561</v>
      </c>
      <c r="M133" s="294">
        <v>233.75249338</v>
      </c>
      <c r="N133" s="218">
        <v>26172.337258578093</v>
      </c>
      <c r="O133" s="298">
        <f>B133+G133+H133+I133+J133+K133+L133+M133+N133</f>
        <v>416712.02245784854</v>
      </c>
      <c r="P133" s="293">
        <v>1386.595668385</v>
      </c>
      <c r="Q133" s="294">
        <v>7129.5542757148251</v>
      </c>
      <c r="R133" s="296">
        <v>23605.773775925765</v>
      </c>
    </row>
    <row r="134" spans="1:18" ht="17.100000000000001" hidden="1" customHeight="1">
      <c r="A134" s="219">
        <v>38537</v>
      </c>
      <c r="B134" s="212">
        <v>35655.840129182223</v>
      </c>
      <c r="C134" s="210">
        <f>12403.7318402061+120.368</f>
        <v>12524.0998402061</v>
      </c>
      <c r="D134" s="210">
        <f>63550.0828963899+1150.549</f>
        <v>64700.631896389896</v>
      </c>
      <c r="E134" s="211">
        <f>43427.00470713+48.348</f>
        <v>43475.352707129998</v>
      </c>
      <c r="F134" s="210">
        <v>172578.70953205152</v>
      </c>
      <c r="G134" s="212">
        <f>SUM(C134:F134)</f>
        <v>293278.79397577752</v>
      </c>
      <c r="H134" s="293">
        <v>439.52199999999999</v>
      </c>
      <c r="I134" s="293">
        <v>256.65156100000002</v>
      </c>
      <c r="J134" s="297">
        <v>1965.37868288</v>
      </c>
      <c r="K134" s="213">
        <v>543.55635719600002</v>
      </c>
      <c r="L134" s="211">
        <v>43598.200048683779</v>
      </c>
      <c r="M134" s="294">
        <v>197.56938764999998</v>
      </c>
      <c r="N134" s="218">
        <v>24349.856048317906</v>
      </c>
      <c r="O134" s="298">
        <f>B134+G134+H134+I134+J134+K134+L134+M134+N134</f>
        <v>400285.36819068744</v>
      </c>
      <c r="P134" s="293">
        <v>1212.9483919088393</v>
      </c>
      <c r="Q134" s="294">
        <v>6586.7872792642711</v>
      </c>
      <c r="R134" s="296">
        <v>24238.623600216506</v>
      </c>
    </row>
    <row r="135" spans="1:18" ht="17.100000000000001" hidden="1" customHeight="1">
      <c r="A135" s="219">
        <v>38568</v>
      </c>
      <c r="B135" s="212">
        <v>34807.926521993882</v>
      </c>
      <c r="C135" s="210">
        <v>12270.817540330001</v>
      </c>
      <c r="D135" s="210">
        <v>65173.569934319996</v>
      </c>
      <c r="E135" s="211">
        <v>44538.826833970001</v>
      </c>
      <c r="F135" s="210">
        <v>174702.33705945779</v>
      </c>
      <c r="G135" s="212">
        <v>296685.55136807775</v>
      </c>
      <c r="H135" s="293">
        <v>443.97899999999998</v>
      </c>
      <c r="I135" s="293">
        <v>207.467126107642</v>
      </c>
      <c r="J135" s="297">
        <v>2024.9421581700001</v>
      </c>
      <c r="K135" s="213">
        <v>767.93342603415795</v>
      </c>
      <c r="L135" s="211">
        <v>47846.490397179819</v>
      </c>
      <c r="M135" s="294">
        <v>187.29691399999999</v>
      </c>
      <c r="N135" s="218">
        <v>30819.523098918944</v>
      </c>
      <c r="O135" s="298">
        <v>413791.1100104822</v>
      </c>
      <c r="P135" s="293">
        <v>618.3953475774</v>
      </c>
      <c r="Q135" s="294">
        <v>7438.0409352728529</v>
      </c>
      <c r="R135" s="296">
        <v>24823.17850991038</v>
      </c>
    </row>
    <row r="136" spans="1:18" ht="17.100000000000001" hidden="1" customHeight="1">
      <c r="A136" s="219">
        <v>38599</v>
      </c>
      <c r="B136" s="212">
        <v>34679.337280858068</v>
      </c>
      <c r="C136" s="210">
        <v>13133.051838309999</v>
      </c>
      <c r="D136" s="210">
        <v>65814.825229919996</v>
      </c>
      <c r="E136" s="211">
        <v>45604.084845470003</v>
      </c>
      <c r="F136" s="210">
        <v>168539.09622266487</v>
      </c>
      <c r="G136" s="212">
        <v>293091.05813636485</v>
      </c>
      <c r="H136" s="293">
        <v>471.721</v>
      </c>
      <c r="I136" s="293">
        <v>498.23988800000001</v>
      </c>
      <c r="J136" s="297">
        <v>1941.948607</v>
      </c>
      <c r="K136" s="213">
        <v>376.61374038959997</v>
      </c>
      <c r="L136" s="211">
        <v>70186.567670441116</v>
      </c>
      <c r="M136" s="294">
        <v>299.35067511</v>
      </c>
      <c r="N136" s="218">
        <v>29807.131427826018</v>
      </c>
      <c r="O136" s="298">
        <v>431351.96842598967</v>
      </c>
      <c r="P136" s="293">
        <v>831.60307686940007</v>
      </c>
      <c r="Q136" s="294">
        <v>8289.9490468058011</v>
      </c>
      <c r="R136" s="296">
        <v>24860.211941645201</v>
      </c>
    </row>
    <row r="137" spans="1:18" ht="17.100000000000001" hidden="1" customHeight="1">
      <c r="A137" s="219">
        <v>38629</v>
      </c>
      <c r="B137" s="212">
        <v>34949.918854685537</v>
      </c>
      <c r="C137" s="210">
        <v>13177.965172479997</v>
      </c>
      <c r="D137" s="210">
        <v>65220.554194400014</v>
      </c>
      <c r="E137" s="211">
        <v>46809.53954939</v>
      </c>
      <c r="F137" s="210">
        <v>169555.64450865064</v>
      </c>
      <c r="G137" s="212">
        <v>294763.70342492068</v>
      </c>
      <c r="H137" s="293">
        <v>410.94436300000001</v>
      </c>
      <c r="I137" s="293">
        <v>637.72974366666665</v>
      </c>
      <c r="J137" s="297">
        <v>1919.1523198299999</v>
      </c>
      <c r="K137" s="213">
        <v>345.63559025706667</v>
      </c>
      <c r="L137" s="211">
        <v>68994.12984421193</v>
      </c>
      <c r="M137" s="294">
        <v>188.41700259999999</v>
      </c>
      <c r="N137" s="218">
        <v>28956.235910349227</v>
      </c>
      <c r="O137" s="298">
        <v>431165.8670535211</v>
      </c>
      <c r="P137" s="293">
        <v>827.45719163144372</v>
      </c>
      <c r="Q137" s="294">
        <v>7338.4225083410975</v>
      </c>
      <c r="R137" s="296">
        <v>26421.413142311201</v>
      </c>
    </row>
    <row r="138" spans="1:18" ht="17.100000000000001" hidden="1" customHeight="1">
      <c r="A138" s="219">
        <v>38660</v>
      </c>
      <c r="B138" s="212">
        <v>34569.799230259065</v>
      </c>
      <c r="C138" s="210">
        <v>13508.101885370001</v>
      </c>
      <c r="D138" s="210">
        <v>65724.891629670004</v>
      </c>
      <c r="E138" s="211">
        <v>48167.1976122958</v>
      </c>
      <c r="F138" s="210">
        <v>187200.09959854669</v>
      </c>
      <c r="G138" s="212">
        <v>314600.29072588251</v>
      </c>
      <c r="H138" s="293">
        <v>574.05638999999996</v>
      </c>
      <c r="I138" s="293">
        <v>797.50450000000001</v>
      </c>
      <c r="J138" s="297">
        <v>1909.2033610999999</v>
      </c>
      <c r="K138" s="213">
        <v>979.66696502100001</v>
      </c>
      <c r="L138" s="211">
        <v>64551.397934147477</v>
      </c>
      <c r="M138" s="294">
        <v>171.91533527000001</v>
      </c>
      <c r="N138" s="218">
        <v>32647.344193514655</v>
      </c>
      <c r="O138" s="298">
        <v>450801.17863519466</v>
      </c>
      <c r="P138" s="293">
        <v>856.7</v>
      </c>
      <c r="Q138" s="294">
        <v>7216.3</v>
      </c>
      <c r="R138" s="296">
        <v>27579.4</v>
      </c>
    </row>
    <row r="139" spans="1:18" ht="17.100000000000001" hidden="1" customHeight="1">
      <c r="A139" s="219">
        <v>38690</v>
      </c>
      <c r="B139" s="212">
        <v>34574.420254218647</v>
      </c>
      <c r="C139" s="210">
        <v>14110.53589809</v>
      </c>
      <c r="D139" s="210">
        <v>67501.420431265593</v>
      </c>
      <c r="E139" s="211">
        <v>47244.470643932567</v>
      </c>
      <c r="F139" s="210">
        <v>174181.71096754924</v>
      </c>
      <c r="G139" s="212">
        <v>303038.13794083742</v>
      </c>
      <c r="H139" s="293">
        <v>1010.2077939825701</v>
      </c>
      <c r="I139" s="293">
        <v>1437.3346373766665</v>
      </c>
      <c r="J139" s="297">
        <v>1987.4868184100001</v>
      </c>
      <c r="K139" s="213">
        <v>1076.5130019999999</v>
      </c>
      <c r="L139" s="211">
        <v>64852.58950334743</v>
      </c>
      <c r="M139" s="294">
        <v>166.07655534</v>
      </c>
      <c r="N139" s="218">
        <v>31652.435671702529</v>
      </c>
      <c r="O139" s="298">
        <v>439795.20217721525</v>
      </c>
      <c r="P139" s="293">
        <v>928.4</v>
      </c>
      <c r="Q139" s="294">
        <v>7948.1</v>
      </c>
      <c r="R139" s="296">
        <v>28045.599999999999</v>
      </c>
    </row>
    <row r="140" spans="1:18" ht="17.100000000000001" hidden="1" customHeight="1">
      <c r="A140" s="219">
        <v>38721</v>
      </c>
      <c r="B140" s="212">
        <v>36924.35446157265</v>
      </c>
      <c r="C140" s="210">
        <v>13983.074644281842</v>
      </c>
      <c r="D140" s="210">
        <v>68332.636517339997</v>
      </c>
      <c r="E140" s="211">
        <v>47491.847798671755</v>
      </c>
      <c r="F140" s="210">
        <v>176916.80491587555</v>
      </c>
      <c r="G140" s="212">
        <v>306724.36387616914</v>
      </c>
      <c r="H140" s="293">
        <v>503.04685326176002</v>
      </c>
      <c r="I140" s="293">
        <v>2070.0501545390002</v>
      </c>
      <c r="J140" s="297">
        <v>1888.4039616300001</v>
      </c>
      <c r="K140" s="213">
        <v>158.27166600000001</v>
      </c>
      <c r="L140" s="211">
        <v>60758.515065852342</v>
      </c>
      <c r="M140" s="294">
        <v>183.78642453000001</v>
      </c>
      <c r="N140" s="218">
        <v>31387.622715742345</v>
      </c>
      <c r="O140" s="298">
        <v>440598.41517929721</v>
      </c>
      <c r="P140" s="293">
        <v>1077.9000000000001</v>
      </c>
      <c r="Q140" s="294">
        <v>6275.4</v>
      </c>
      <c r="R140" s="296">
        <v>27917.4</v>
      </c>
    </row>
    <row r="141" spans="1:18" ht="17.100000000000001" hidden="1" customHeight="1">
      <c r="A141" s="219">
        <v>38752</v>
      </c>
      <c r="B141" s="212">
        <v>36627.104248475021</v>
      </c>
      <c r="C141" s="210">
        <v>12790.41216901</v>
      </c>
      <c r="D141" s="210">
        <v>70087.675198149984</v>
      </c>
      <c r="E141" s="211">
        <v>48122.885505840008</v>
      </c>
      <c r="F141" s="210">
        <v>203185.96320741251</v>
      </c>
      <c r="G141" s="212">
        <v>334186.93608041247</v>
      </c>
      <c r="H141" s="293">
        <v>497.67116764000002</v>
      </c>
      <c r="I141" s="293">
        <v>1036.3906663333332</v>
      </c>
      <c r="J141" s="297">
        <v>1878.2635167999999</v>
      </c>
      <c r="K141" s="213">
        <v>123.572222</v>
      </c>
      <c r="L141" s="211">
        <v>61300.669975414079</v>
      </c>
      <c r="M141" s="294">
        <v>237.19258668999998</v>
      </c>
      <c r="N141" s="218">
        <v>31760.560316088995</v>
      </c>
      <c r="O141" s="298">
        <v>467648.36077985395</v>
      </c>
      <c r="P141" s="293">
        <v>1099.9000000000001</v>
      </c>
      <c r="Q141" s="294">
        <v>6848.2</v>
      </c>
      <c r="R141" s="296">
        <v>27361.3</v>
      </c>
    </row>
    <row r="142" spans="1:18" ht="17.100000000000001" hidden="1" customHeight="1">
      <c r="A142" s="219">
        <v>38780</v>
      </c>
      <c r="B142" s="212">
        <v>36958.36487863915</v>
      </c>
      <c r="C142" s="210">
        <v>12805.844599700002</v>
      </c>
      <c r="D142" s="210">
        <v>69688.856829174372</v>
      </c>
      <c r="E142" s="211">
        <v>49522.178670157497</v>
      </c>
      <c r="F142" s="210">
        <v>205318.67478298573</v>
      </c>
      <c r="G142" s="212">
        <v>337335.5548820176</v>
      </c>
      <c r="H142" s="293">
        <v>666.22069099999999</v>
      </c>
      <c r="I142" s="293">
        <v>1191.648193</v>
      </c>
      <c r="J142" s="297">
        <v>1783.6481996399998</v>
      </c>
      <c r="K142" s="213">
        <v>119.6611312463</v>
      </c>
      <c r="L142" s="211">
        <v>64140.453085788766</v>
      </c>
      <c r="M142" s="294">
        <v>180.36242061000002</v>
      </c>
      <c r="N142" s="218">
        <v>32254.836692658588</v>
      </c>
      <c r="O142" s="298">
        <v>474630.7501746004</v>
      </c>
      <c r="P142" s="293">
        <v>844.1</v>
      </c>
      <c r="Q142" s="294">
        <v>7712.3</v>
      </c>
      <c r="R142" s="296">
        <v>26934.2</v>
      </c>
    </row>
    <row r="143" spans="1:18" ht="17.100000000000001" hidden="1" customHeight="1">
      <c r="A143" s="219">
        <v>38811</v>
      </c>
      <c r="B143" s="212">
        <v>37789.083059867386</v>
      </c>
      <c r="C143" s="210">
        <v>12339.17701003</v>
      </c>
      <c r="D143" s="210">
        <v>69908.187465793453</v>
      </c>
      <c r="E143" s="211">
        <v>48888.403495937499</v>
      </c>
      <c r="F143" s="210">
        <v>191542.68850449726</v>
      </c>
      <c r="G143" s="212">
        <v>322678.45647625823</v>
      </c>
      <c r="H143" s="293">
        <v>675.66790700000001</v>
      </c>
      <c r="I143" s="293">
        <v>1506.6770185</v>
      </c>
      <c r="J143" s="297">
        <v>1766.0030543200003</v>
      </c>
      <c r="K143" s="213">
        <v>115.39687499999999</v>
      </c>
      <c r="L143" s="211">
        <v>69075.346047901214</v>
      </c>
      <c r="M143" s="294">
        <v>171.32919222999999</v>
      </c>
      <c r="N143" s="218">
        <v>33618.464355409305</v>
      </c>
      <c r="O143" s="298">
        <v>467396.4239864861</v>
      </c>
      <c r="P143" s="293">
        <v>859.50071336691997</v>
      </c>
      <c r="Q143" s="294">
        <v>8681.2519002012414</v>
      </c>
      <c r="R143" s="296">
        <v>26333.643518534278</v>
      </c>
    </row>
    <row r="144" spans="1:18" ht="17.100000000000001" hidden="1" customHeight="1">
      <c r="A144" s="219">
        <v>38841</v>
      </c>
      <c r="B144" s="212">
        <v>36328.548670672157</v>
      </c>
      <c r="C144" s="210">
        <v>12456.594394139998</v>
      </c>
      <c r="D144" s="210">
        <v>69281.615019550009</v>
      </c>
      <c r="E144" s="211">
        <v>49475.622163072505</v>
      </c>
      <c r="F144" s="210">
        <v>208622.99470665227</v>
      </c>
      <c r="G144" s="212">
        <v>339836.82628341479</v>
      </c>
      <c r="H144" s="293">
        <v>608.93604400000004</v>
      </c>
      <c r="I144" s="293">
        <v>920.86022607929999</v>
      </c>
      <c r="J144" s="297">
        <v>1776.53939898</v>
      </c>
      <c r="K144" s="213">
        <v>111.3600499197</v>
      </c>
      <c r="L144" s="211">
        <v>83185.643189479306</v>
      </c>
      <c r="M144" s="294">
        <v>146.50138437999999</v>
      </c>
      <c r="N144" s="218">
        <v>35824.189557003177</v>
      </c>
      <c r="O144" s="298">
        <v>498739.40480392834</v>
      </c>
      <c r="P144" s="293">
        <v>759.54695717229401</v>
      </c>
      <c r="Q144" s="294">
        <v>9110.7840926324461</v>
      </c>
      <c r="R144" s="296">
        <v>26639.475061536417</v>
      </c>
    </row>
    <row r="145" spans="1:18" ht="17.100000000000001" hidden="1" customHeight="1">
      <c r="A145" s="219">
        <v>38872</v>
      </c>
      <c r="B145" s="212">
        <v>35945.678492865554</v>
      </c>
      <c r="C145" s="210">
        <v>14240.402501648103</v>
      </c>
      <c r="D145" s="210">
        <v>70504.164355250003</v>
      </c>
      <c r="E145" s="211">
        <v>50414.439548219998</v>
      </c>
      <c r="F145" s="210">
        <v>208440.57626165368</v>
      </c>
      <c r="G145" s="212">
        <v>343599.58266677184</v>
      </c>
      <c r="H145" s="293">
        <v>841.06467599999996</v>
      </c>
      <c r="I145" s="293">
        <v>1393.282193342762</v>
      </c>
      <c r="J145" s="297">
        <v>1680.85943479</v>
      </c>
      <c r="K145" s="213">
        <v>106.961805</v>
      </c>
      <c r="L145" s="211">
        <v>73413.897162165798</v>
      </c>
      <c r="M145" s="294">
        <v>268.34537397999998</v>
      </c>
      <c r="N145" s="218">
        <v>34041.51757578503</v>
      </c>
      <c r="O145" s="298">
        <v>491291.18938070093</v>
      </c>
      <c r="P145" s="293">
        <v>884.22912759779695</v>
      </c>
      <c r="Q145" s="294">
        <v>9224.5234574953029</v>
      </c>
      <c r="R145" s="296">
        <v>25183.870442024734</v>
      </c>
    </row>
    <row r="146" spans="1:18" ht="17.100000000000001" hidden="1" customHeight="1">
      <c r="A146" s="219">
        <v>38902</v>
      </c>
      <c r="B146" s="212">
        <v>38856.715565693012</v>
      </c>
      <c r="C146" s="210">
        <v>13651.915797934758</v>
      </c>
      <c r="D146" s="210">
        <v>70665.480435509991</v>
      </c>
      <c r="E146" s="211">
        <v>51500.670103259996</v>
      </c>
      <c r="F146" s="210">
        <v>217617.05176535808</v>
      </c>
      <c r="G146" s="212">
        <v>353435.11810206284</v>
      </c>
      <c r="H146" s="293">
        <v>1017.480589</v>
      </c>
      <c r="I146" s="293">
        <v>789.3799865574</v>
      </c>
      <c r="J146" s="297">
        <v>1663.21851984</v>
      </c>
      <c r="K146" s="213">
        <v>103.833333</v>
      </c>
      <c r="L146" s="211">
        <v>80259.341724990096</v>
      </c>
      <c r="M146" s="294">
        <v>184.77071556000001</v>
      </c>
      <c r="N146" s="218">
        <v>33472.357200486753</v>
      </c>
      <c r="O146" s="298">
        <v>509782.2157371901</v>
      </c>
      <c r="P146" s="293">
        <v>811.86053165465</v>
      </c>
      <c r="Q146" s="294">
        <v>9500.8478939076012</v>
      </c>
      <c r="R146" s="296">
        <v>24376.632046391231</v>
      </c>
    </row>
    <row r="147" spans="1:18" ht="17.100000000000001" hidden="1" customHeight="1">
      <c r="A147" s="219">
        <v>38933</v>
      </c>
      <c r="B147" s="212">
        <v>39538.894083582309</v>
      </c>
      <c r="C147" s="210">
        <v>14606.158464992388</v>
      </c>
      <c r="D147" s="210">
        <v>71360.13975301999</v>
      </c>
      <c r="E147" s="211">
        <v>52029.152807316896</v>
      </c>
      <c r="F147" s="210">
        <v>222634.03862917353</v>
      </c>
      <c r="G147" s="212">
        <v>360629.48965450283</v>
      </c>
      <c r="H147" s="293">
        <v>763.323081</v>
      </c>
      <c r="I147" s="293">
        <v>1007.0960447402</v>
      </c>
      <c r="J147" s="297">
        <v>2103.03426756</v>
      </c>
      <c r="K147" s="213">
        <v>103.34861594253333</v>
      </c>
      <c r="L147" s="211">
        <v>83111.495058473738</v>
      </c>
      <c r="M147" s="294">
        <v>185.93523019999998</v>
      </c>
      <c r="N147" s="218">
        <v>34806.996549945376</v>
      </c>
      <c r="O147" s="298">
        <v>522249.61258594698</v>
      </c>
      <c r="P147" s="293">
        <v>909.05931357014083</v>
      </c>
      <c r="Q147" s="294">
        <v>11204.916419407582</v>
      </c>
      <c r="R147" s="296">
        <v>24534.506904093349</v>
      </c>
    </row>
    <row r="148" spans="1:18" ht="17.100000000000001" hidden="1" customHeight="1">
      <c r="A148" s="219">
        <v>38964</v>
      </c>
      <c r="B148" s="212">
        <v>38415.680143325524</v>
      </c>
      <c r="C148" s="210">
        <v>14755.339781037763</v>
      </c>
      <c r="D148" s="210">
        <v>70865.407833656151</v>
      </c>
      <c r="E148" s="211">
        <v>52258.20919070152</v>
      </c>
      <c r="F148" s="210">
        <v>246474.22319282172</v>
      </c>
      <c r="G148" s="212">
        <v>384353.17999821715</v>
      </c>
      <c r="H148" s="293">
        <v>576.47537799999998</v>
      </c>
      <c r="I148" s="293">
        <v>1542.863464</v>
      </c>
      <c r="J148" s="297">
        <v>1645.1564350599999</v>
      </c>
      <c r="K148" s="213">
        <v>99.100597968799988</v>
      </c>
      <c r="L148" s="211">
        <v>82272.749120402979</v>
      </c>
      <c r="M148" s="294">
        <v>409.62573135000002</v>
      </c>
      <c r="N148" s="218">
        <v>38681.221334301532</v>
      </c>
      <c r="O148" s="298">
        <v>547996.0522026259</v>
      </c>
      <c r="P148" s="293">
        <v>784.88532452712388</v>
      </c>
      <c r="Q148" s="294">
        <v>13396.544971753299</v>
      </c>
      <c r="R148" s="296">
        <v>24891.347758025375</v>
      </c>
    </row>
    <row r="149" spans="1:18" ht="17.100000000000001" hidden="1" customHeight="1">
      <c r="A149" s="219">
        <v>38994</v>
      </c>
      <c r="B149" s="212">
        <v>39183.210187195349</v>
      </c>
      <c r="C149" s="210">
        <v>13763.312606333302</v>
      </c>
      <c r="D149" s="210">
        <v>70353.759731990474</v>
      </c>
      <c r="E149" s="211">
        <v>52952.367946641803</v>
      </c>
      <c r="F149" s="210">
        <v>247893.75165553577</v>
      </c>
      <c r="G149" s="212">
        <v>384963.19194050133</v>
      </c>
      <c r="H149" s="293">
        <v>1942.4446660000001</v>
      </c>
      <c r="I149" s="293">
        <v>1525.3531800000001</v>
      </c>
      <c r="J149" s="297">
        <v>1544.2456067999999</v>
      </c>
      <c r="K149" s="213">
        <v>99.152777</v>
      </c>
      <c r="L149" s="211">
        <v>85273.871437792142</v>
      </c>
      <c r="M149" s="294">
        <v>181.78692365000001</v>
      </c>
      <c r="N149" s="218">
        <v>38968.708448031422</v>
      </c>
      <c r="O149" s="298">
        <v>553681.96516697027</v>
      </c>
      <c r="P149" s="293">
        <v>948.10002470860195</v>
      </c>
      <c r="Q149" s="294">
        <v>14847.023643733521</v>
      </c>
      <c r="R149" s="296">
        <v>25647.676949284843</v>
      </c>
    </row>
    <row r="150" spans="1:18" ht="17.100000000000001" hidden="1" customHeight="1">
      <c r="A150" s="219">
        <v>39025</v>
      </c>
      <c r="B150" s="212">
        <v>39628.254322696332</v>
      </c>
      <c r="C150" s="210">
        <v>14530.925454881601</v>
      </c>
      <c r="D150" s="210">
        <v>70805.037313051493</v>
      </c>
      <c r="E150" s="211">
        <v>52101.017588882773</v>
      </c>
      <c r="F150" s="210">
        <v>272561.67765062919</v>
      </c>
      <c r="G150" s="212">
        <v>409998.65800744505</v>
      </c>
      <c r="H150" s="293">
        <v>1735.303161</v>
      </c>
      <c r="I150" s="293">
        <v>1552.3153500000001</v>
      </c>
      <c r="J150" s="297">
        <v>1541.1359628</v>
      </c>
      <c r="K150" s="213">
        <v>90.284722000000002</v>
      </c>
      <c r="L150" s="211">
        <v>83848.779267479214</v>
      </c>
      <c r="M150" s="294">
        <v>195.18050628</v>
      </c>
      <c r="N150" s="218">
        <v>41365.106218092849</v>
      </c>
      <c r="O150" s="298">
        <v>579955.01751779357</v>
      </c>
      <c r="P150" s="293">
        <v>920.66912907108997</v>
      </c>
      <c r="Q150" s="294">
        <v>14385.066447959533</v>
      </c>
      <c r="R150" s="296">
        <v>26797.138012394582</v>
      </c>
    </row>
    <row r="151" spans="1:18" ht="17.100000000000001" hidden="1" customHeight="1">
      <c r="A151" s="219">
        <v>39055</v>
      </c>
      <c r="B151" s="212">
        <v>38264.265274796315</v>
      </c>
      <c r="C151" s="210">
        <v>15094.59161351</v>
      </c>
      <c r="D151" s="210">
        <v>72630.524212953576</v>
      </c>
      <c r="E151" s="211">
        <v>52007.626654745</v>
      </c>
      <c r="F151" s="210">
        <v>299459.55919592892</v>
      </c>
      <c r="G151" s="212">
        <v>439192.3016771375</v>
      </c>
      <c r="H151" s="293">
        <v>1942.5017720000001</v>
      </c>
      <c r="I151" s="293">
        <v>922.40969308000001</v>
      </c>
      <c r="J151" s="297">
        <v>1535.6781856100001</v>
      </c>
      <c r="K151" s="213">
        <v>1710.8034720000001</v>
      </c>
      <c r="L151" s="211">
        <v>85821.266988164993</v>
      </c>
      <c r="M151" s="294">
        <v>188.93912783999997</v>
      </c>
      <c r="N151" s="218">
        <v>39696.624835439325</v>
      </c>
      <c r="O151" s="298">
        <v>609274.79102606804</v>
      </c>
      <c r="P151" s="293">
        <v>1036.9925128875</v>
      </c>
      <c r="Q151" s="294">
        <v>14817.26762307225</v>
      </c>
      <c r="R151" s="296">
        <v>26745.332369011503</v>
      </c>
    </row>
    <row r="152" spans="1:18" ht="17.100000000000001" hidden="1" customHeight="1">
      <c r="A152" s="219">
        <v>39086</v>
      </c>
      <c r="B152" s="212">
        <v>41237.896880329274</v>
      </c>
      <c r="C152" s="210">
        <v>14926.672092806451</v>
      </c>
      <c r="D152" s="210">
        <v>72075.320443250006</v>
      </c>
      <c r="E152" s="211">
        <v>52383.656059624169</v>
      </c>
      <c r="F152" s="210">
        <v>273912.26782859705</v>
      </c>
      <c r="G152" s="212">
        <v>413297.9164242777</v>
      </c>
      <c r="H152" s="293">
        <v>495.6</v>
      </c>
      <c r="I152" s="293">
        <v>2034.7150406097501</v>
      </c>
      <c r="J152" s="297">
        <v>1439.55187161</v>
      </c>
      <c r="K152" s="213">
        <v>84.233287000000004</v>
      </c>
      <c r="L152" s="211">
        <v>82434.071374812906</v>
      </c>
      <c r="M152" s="294">
        <v>394.68905271000006</v>
      </c>
      <c r="N152" s="218">
        <v>37759.681166899434</v>
      </c>
      <c r="O152" s="298">
        <v>579178.35509824904</v>
      </c>
      <c r="P152" s="293">
        <v>894.8075234487676</v>
      </c>
      <c r="Q152" s="294">
        <v>20719.872950271463</v>
      </c>
      <c r="R152" s="296">
        <v>27121.786636066317</v>
      </c>
    </row>
    <row r="153" spans="1:18" ht="17.100000000000001" hidden="1" customHeight="1">
      <c r="A153" s="219">
        <v>39117</v>
      </c>
      <c r="B153" s="212">
        <v>39361.552037328802</v>
      </c>
      <c r="C153" s="210">
        <v>15969.821559922933</v>
      </c>
      <c r="D153" s="210">
        <v>73475.119023290012</v>
      </c>
      <c r="E153" s="211">
        <v>52703.943840727508</v>
      </c>
      <c r="F153" s="210">
        <v>275346.52046434314</v>
      </c>
      <c r="G153" s="212">
        <v>417495.40488828358</v>
      </c>
      <c r="H153" s="293">
        <v>1432.41155</v>
      </c>
      <c r="I153" s="293">
        <v>596.00466031999997</v>
      </c>
      <c r="J153" s="297">
        <v>1437.4964736100001</v>
      </c>
      <c r="K153" s="213">
        <v>87.513453148183331</v>
      </c>
      <c r="L153" s="211">
        <v>82689.254730108049</v>
      </c>
      <c r="M153" s="294">
        <v>202.66117700000001</v>
      </c>
      <c r="N153" s="218">
        <v>38679.908281309705</v>
      </c>
      <c r="O153" s="298">
        <v>581982.20725110837</v>
      </c>
      <c r="P153" s="293">
        <v>634.22318991004317</v>
      </c>
      <c r="Q153" s="294">
        <v>13048.87204747268</v>
      </c>
      <c r="R153" s="296">
        <v>27789.450119973182</v>
      </c>
    </row>
    <row r="154" spans="1:18" ht="17.100000000000001" hidden="1" customHeight="1">
      <c r="A154" s="219">
        <v>39145</v>
      </c>
      <c r="B154" s="212">
        <v>39093.285654012958</v>
      </c>
      <c r="C154" s="210">
        <v>15971.881930221802</v>
      </c>
      <c r="D154" s="210">
        <v>73118.177204579988</v>
      </c>
      <c r="E154" s="211">
        <v>54628.388704122393</v>
      </c>
      <c r="F154" s="210">
        <v>283611.89338598202</v>
      </c>
      <c r="G154" s="212">
        <v>427330.34122490621</v>
      </c>
      <c r="H154" s="293">
        <v>1260.2740650000001</v>
      </c>
      <c r="I154" s="293">
        <v>1166.8732867342976</v>
      </c>
      <c r="J154" s="297">
        <v>1435.15478981</v>
      </c>
      <c r="K154" s="213">
        <v>71.990440748531313</v>
      </c>
      <c r="L154" s="211">
        <v>87663.059775620422</v>
      </c>
      <c r="M154" s="294">
        <v>194.75647052000002</v>
      </c>
      <c r="N154" s="218">
        <v>40042.757555454584</v>
      </c>
      <c r="O154" s="298">
        <v>598258.49326280702</v>
      </c>
      <c r="P154" s="293">
        <v>668.99630235338998</v>
      </c>
      <c r="Q154" s="294">
        <v>13823.225738575306</v>
      </c>
      <c r="R154" s="296">
        <v>26889.231380395693</v>
      </c>
    </row>
    <row r="155" spans="1:18" ht="17.100000000000001" hidden="1" customHeight="1">
      <c r="A155" s="219">
        <v>39176</v>
      </c>
      <c r="B155" s="212">
        <v>40016.14276302675</v>
      </c>
      <c r="C155" s="210">
        <v>16421.777443627736</v>
      </c>
      <c r="D155" s="210">
        <v>73037.387095263563</v>
      </c>
      <c r="E155" s="211">
        <v>54999.42761372737</v>
      </c>
      <c r="F155" s="210">
        <v>282141.28529764002</v>
      </c>
      <c r="G155" s="212">
        <v>426599.8774502587</v>
      </c>
      <c r="H155" s="293">
        <v>1176.9680900000001</v>
      </c>
      <c r="I155" s="293">
        <v>1435.8381945547274</v>
      </c>
      <c r="J155" s="297">
        <v>1340.0286288099999</v>
      </c>
      <c r="K155" s="213">
        <v>856.250001</v>
      </c>
      <c r="L155" s="211">
        <v>86063.911275163235</v>
      </c>
      <c r="M155" s="294">
        <v>172.40133334999999</v>
      </c>
      <c r="N155" s="218">
        <v>40046.096965503864</v>
      </c>
      <c r="O155" s="298">
        <v>597707.51470166724</v>
      </c>
      <c r="P155" s="293">
        <v>616.82661953017669</v>
      </c>
      <c r="Q155" s="294">
        <v>14862.392229500863</v>
      </c>
      <c r="R155" s="296">
        <v>27547.850340083387</v>
      </c>
    </row>
    <row r="156" spans="1:18" ht="17.100000000000001" hidden="1" customHeight="1">
      <c r="A156" s="219">
        <v>39206</v>
      </c>
      <c r="B156" s="212">
        <v>39592.090761160915</v>
      </c>
      <c r="C156" s="210">
        <v>17439.220281897567</v>
      </c>
      <c r="D156" s="210">
        <v>72496.842956805354</v>
      </c>
      <c r="E156" s="211">
        <v>55883.906478431891</v>
      </c>
      <c r="F156" s="210">
        <v>275617.64896454872</v>
      </c>
      <c r="G156" s="212">
        <v>421437.61868168355</v>
      </c>
      <c r="H156" s="293">
        <v>2068.7641610000001</v>
      </c>
      <c r="I156" s="293">
        <v>570.24548286940001</v>
      </c>
      <c r="J156" s="297">
        <v>1339.9668938099999</v>
      </c>
      <c r="K156" s="213">
        <v>3166.3652769999999</v>
      </c>
      <c r="L156" s="211">
        <v>92525.658885445999</v>
      </c>
      <c r="M156" s="294">
        <v>198.01183466999998</v>
      </c>
      <c r="N156" s="218">
        <v>43505.211066319098</v>
      </c>
      <c r="O156" s="298">
        <v>604403.93304395897</v>
      </c>
      <c r="P156" s="293">
        <v>1570.99340514</v>
      </c>
      <c r="Q156" s="294">
        <v>12298.885359942966</v>
      </c>
      <c r="R156" s="296">
        <v>28485.965913041888</v>
      </c>
    </row>
    <row r="157" spans="1:18" ht="17.100000000000001" hidden="1" customHeight="1">
      <c r="A157" s="219">
        <v>39237</v>
      </c>
      <c r="B157" s="212">
        <v>39761.497566172409</v>
      </c>
      <c r="C157" s="210">
        <v>16218.650150268439</v>
      </c>
      <c r="D157" s="210">
        <v>75083.559045704606</v>
      </c>
      <c r="E157" s="211">
        <v>56171.337685987099</v>
      </c>
      <c r="F157" s="210">
        <v>286940.21505947877</v>
      </c>
      <c r="G157" s="212">
        <v>434413.76194143889</v>
      </c>
      <c r="H157" s="293">
        <v>740.66122600000006</v>
      </c>
      <c r="I157" s="293">
        <v>1095.6070701645601</v>
      </c>
      <c r="J157" s="297">
        <v>1337.4968465999998</v>
      </c>
      <c r="K157" s="213">
        <v>2388.9479135000001</v>
      </c>
      <c r="L157" s="211">
        <v>101448.19552319779</v>
      </c>
      <c r="M157" s="294">
        <v>179.19547094999999</v>
      </c>
      <c r="N157" s="218">
        <v>42533.540475688707</v>
      </c>
      <c r="O157" s="298">
        <v>623898.90403371223</v>
      </c>
      <c r="P157" s="293">
        <v>754.09366899313</v>
      </c>
      <c r="Q157" s="294">
        <v>14636.019580593207</v>
      </c>
      <c r="R157" s="296">
        <v>29108.232753626628</v>
      </c>
    </row>
    <row r="158" spans="1:18" ht="17.100000000000001" hidden="1" customHeight="1">
      <c r="A158" s="219">
        <v>39267</v>
      </c>
      <c r="B158" s="212">
        <v>42815.13521403545</v>
      </c>
      <c r="C158" s="210">
        <v>14882.622112465391</v>
      </c>
      <c r="D158" s="210">
        <v>74439.564063894199</v>
      </c>
      <c r="E158" s="211">
        <v>57338.248666217769</v>
      </c>
      <c r="F158" s="210">
        <v>321345.06791420595</v>
      </c>
      <c r="G158" s="212">
        <v>468005.50275678333</v>
      </c>
      <c r="H158" s="293">
        <v>793.87748399999998</v>
      </c>
      <c r="I158" s="293">
        <v>1331.0079938677331</v>
      </c>
      <c r="J158" s="297">
        <v>1240.68604329</v>
      </c>
      <c r="K158" s="213">
        <v>51.508333</v>
      </c>
      <c r="L158" s="211">
        <v>91349.802510185749</v>
      </c>
      <c r="M158" s="294">
        <v>204.43575978000001</v>
      </c>
      <c r="N158" s="218">
        <v>39711.031656833256</v>
      </c>
      <c r="O158" s="298">
        <v>645502.98775177554</v>
      </c>
      <c r="P158" s="293">
        <v>660.59865343611864</v>
      </c>
      <c r="Q158" s="294">
        <v>14579.387111143475</v>
      </c>
      <c r="R158" s="296">
        <v>28445.738697732326</v>
      </c>
    </row>
    <row r="159" spans="1:18" ht="17.100000000000001" hidden="1" customHeight="1">
      <c r="A159" s="219">
        <v>39298</v>
      </c>
      <c r="B159" s="212">
        <v>42107.660789130772</v>
      </c>
      <c r="C159" s="210">
        <v>15038.221269937188</v>
      </c>
      <c r="D159" s="210">
        <v>74510.392492476822</v>
      </c>
      <c r="E159" s="211">
        <v>59252.264913179082</v>
      </c>
      <c r="F159" s="210">
        <v>327309.68400544632</v>
      </c>
      <c r="G159" s="212">
        <v>476110.56268103939</v>
      </c>
      <c r="H159" s="293">
        <v>1200.041553</v>
      </c>
      <c r="I159" s="293">
        <v>2090.1869199770999</v>
      </c>
      <c r="J159" s="297">
        <v>1240.57743891</v>
      </c>
      <c r="K159" s="213">
        <v>47.124304999999993</v>
      </c>
      <c r="L159" s="211">
        <v>97019.453372070886</v>
      </c>
      <c r="M159" s="294">
        <v>262.66118234999999</v>
      </c>
      <c r="N159" s="218">
        <v>42523.403885241409</v>
      </c>
      <c r="O159" s="298">
        <v>662601.6721267195</v>
      </c>
      <c r="P159" s="293">
        <v>1871.4671275974499</v>
      </c>
      <c r="Q159" s="294">
        <v>14424.54493593898</v>
      </c>
      <c r="R159" s="296">
        <v>29897.428364197403</v>
      </c>
    </row>
    <row r="160" spans="1:18" ht="17.100000000000001" hidden="1" customHeight="1">
      <c r="A160" s="219">
        <v>39329</v>
      </c>
      <c r="B160" s="212">
        <v>41351.253952710242</v>
      </c>
      <c r="C160" s="210">
        <v>17698.460957907664</v>
      </c>
      <c r="D160" s="210">
        <v>74643.907522941721</v>
      </c>
      <c r="E160" s="211">
        <v>59005.12241185984</v>
      </c>
      <c r="F160" s="210">
        <v>332024.35019516654</v>
      </c>
      <c r="G160" s="212">
        <v>483371.84108787577</v>
      </c>
      <c r="H160" s="293">
        <v>598.56087500000001</v>
      </c>
      <c r="I160" s="293">
        <v>2428.8150328634665</v>
      </c>
      <c r="J160" s="297">
        <v>1238.2822980000001</v>
      </c>
      <c r="K160" s="213">
        <v>157.33760255819118</v>
      </c>
      <c r="L160" s="211">
        <v>101282.39344934023</v>
      </c>
      <c r="M160" s="294">
        <v>223.00376259999999</v>
      </c>
      <c r="N160" s="218">
        <v>42014.882050474902</v>
      </c>
      <c r="O160" s="298">
        <v>672666.37011142273</v>
      </c>
      <c r="P160" s="293">
        <v>1760.2558156549348</v>
      </c>
      <c r="Q160" s="294">
        <v>15610.524431525258</v>
      </c>
      <c r="R160" s="296">
        <v>30790.800912059651</v>
      </c>
    </row>
    <row r="161" spans="1:18" ht="17.100000000000001" hidden="1" customHeight="1">
      <c r="A161" s="219">
        <v>39359</v>
      </c>
      <c r="B161" s="212">
        <v>41761.875019543375</v>
      </c>
      <c r="C161" s="210">
        <v>17484.290051539319</v>
      </c>
      <c r="D161" s="210">
        <v>74176.35885617754</v>
      </c>
      <c r="E161" s="211">
        <v>60562.157653942711</v>
      </c>
      <c r="F161" s="210">
        <v>334505.25595951884</v>
      </c>
      <c r="G161" s="212">
        <v>486728.06252117839</v>
      </c>
      <c r="H161" s="293">
        <v>550.20000000000005</v>
      </c>
      <c r="I161" s="293">
        <v>1167.161942</v>
      </c>
      <c r="J161" s="297">
        <v>1138.8180956800002</v>
      </c>
      <c r="K161" s="213">
        <v>127.737499</v>
      </c>
      <c r="L161" s="211">
        <v>93162.695088233537</v>
      </c>
      <c r="M161" s="294">
        <v>176.05114791999998</v>
      </c>
      <c r="N161" s="218">
        <v>45414.605347294979</v>
      </c>
      <c r="O161" s="298">
        <v>670227.20666085021</v>
      </c>
      <c r="P161" s="293">
        <v>742.39100515989878</v>
      </c>
      <c r="Q161" s="294">
        <v>18279.364566641376</v>
      </c>
      <c r="R161" s="296">
        <v>32099.461166553127</v>
      </c>
    </row>
    <row r="162" spans="1:18" ht="17.100000000000001" hidden="1" customHeight="1">
      <c r="A162" s="219">
        <v>39390</v>
      </c>
      <c r="B162" s="212">
        <v>41349.790478749084</v>
      </c>
      <c r="C162" s="210">
        <v>17581.012513052476</v>
      </c>
      <c r="D162" s="210">
        <v>75478.222469530127</v>
      </c>
      <c r="E162" s="211">
        <v>62086.77497899274</v>
      </c>
      <c r="F162" s="210">
        <v>369659.41182994132</v>
      </c>
      <c r="G162" s="212">
        <v>524805.42179151671</v>
      </c>
      <c r="H162" s="293">
        <v>1580.2014790000001</v>
      </c>
      <c r="I162" s="293">
        <v>1699.1791639999999</v>
      </c>
      <c r="J162" s="297">
        <v>1138.8181356800001</v>
      </c>
      <c r="K162" s="213">
        <v>122.185832</v>
      </c>
      <c r="L162" s="211">
        <v>97693.564260183644</v>
      </c>
      <c r="M162" s="294">
        <v>194.71733823000002</v>
      </c>
      <c r="N162" s="218">
        <v>45926.496207031982</v>
      </c>
      <c r="O162" s="298">
        <v>714510.37468639144</v>
      </c>
      <c r="P162" s="293">
        <v>1846.1546069188505</v>
      </c>
      <c r="Q162" s="294">
        <v>14067.362827346911</v>
      </c>
      <c r="R162" s="296">
        <v>32088.866855681736</v>
      </c>
    </row>
    <row r="163" spans="1:18" ht="17.100000000000001" hidden="1" customHeight="1">
      <c r="A163" s="219">
        <v>39420</v>
      </c>
      <c r="B163" s="212">
        <v>40608.749888339378</v>
      </c>
      <c r="C163" s="210">
        <v>20988.844513389162</v>
      </c>
      <c r="D163" s="210">
        <v>80058.047623434672</v>
      </c>
      <c r="E163" s="211">
        <v>60979.576944237982</v>
      </c>
      <c r="F163" s="210">
        <v>341766.62186746439</v>
      </c>
      <c r="G163" s="212">
        <v>503793.09094852622</v>
      </c>
      <c r="H163" s="293">
        <v>1688.2</v>
      </c>
      <c r="I163" s="293">
        <v>1179.985846</v>
      </c>
      <c r="J163" s="297">
        <v>1039.8980081</v>
      </c>
      <c r="K163" s="213">
        <v>27.756944000000001</v>
      </c>
      <c r="L163" s="211">
        <v>98714.051315161196</v>
      </c>
      <c r="M163" s="294">
        <v>156.28003122999999</v>
      </c>
      <c r="N163" s="218">
        <v>47550.322329328767</v>
      </c>
      <c r="O163" s="298">
        <v>694758.33531068545</v>
      </c>
      <c r="P163" s="293">
        <v>1915.9548169166123</v>
      </c>
      <c r="Q163" s="294">
        <v>20762.554697381362</v>
      </c>
      <c r="R163" s="296">
        <v>24875.468099713384</v>
      </c>
    </row>
    <row r="164" spans="1:18" ht="17.100000000000001" hidden="1" customHeight="1">
      <c r="A164" s="219">
        <v>39451</v>
      </c>
      <c r="B164" s="212">
        <v>45219.733712550544</v>
      </c>
      <c r="C164" s="210">
        <v>18534.134153139501</v>
      </c>
      <c r="D164" s="210">
        <v>81207.245343740928</v>
      </c>
      <c r="E164" s="211">
        <v>63277.397415653177</v>
      </c>
      <c r="F164" s="210">
        <v>371821.6633845421</v>
      </c>
      <c r="G164" s="212">
        <v>534840.44029707578</v>
      </c>
      <c r="H164" s="293">
        <v>528.68053399999997</v>
      </c>
      <c r="I164" s="293">
        <v>1391.4727522820558</v>
      </c>
      <c r="J164" s="297">
        <v>1031.7192833500001</v>
      </c>
      <c r="K164" s="213">
        <v>663.72923800000001</v>
      </c>
      <c r="L164" s="211">
        <v>94578.328081936867</v>
      </c>
      <c r="M164" s="294">
        <v>258.47888306999999</v>
      </c>
      <c r="N164" s="218">
        <v>44956.311655903381</v>
      </c>
      <c r="O164" s="298">
        <v>723468.89443816862</v>
      </c>
      <c r="P164" s="293">
        <v>797.35901141019599</v>
      </c>
      <c r="Q164" s="294">
        <v>15835.307889879743</v>
      </c>
      <c r="R164" s="296">
        <v>33587.159823334492</v>
      </c>
    </row>
    <row r="165" spans="1:18" ht="17.100000000000001" hidden="1" customHeight="1">
      <c r="A165" s="219">
        <v>39482</v>
      </c>
      <c r="B165" s="212">
        <v>44157.010248564169</v>
      </c>
      <c r="C165" s="210">
        <v>18412.574908160284</v>
      </c>
      <c r="D165" s="210">
        <v>83938.260442163475</v>
      </c>
      <c r="E165" s="211">
        <v>63170.641707209703</v>
      </c>
      <c r="F165" s="210">
        <v>349702.87977487751</v>
      </c>
      <c r="G165" s="212">
        <v>515224.35683241097</v>
      </c>
      <c r="H165" s="293">
        <v>619.20630000000006</v>
      </c>
      <c r="I165" s="293">
        <v>2392.6345342760801</v>
      </c>
      <c r="J165" s="297">
        <v>1031.7117390999999</v>
      </c>
      <c r="K165" s="213">
        <v>673.01901154910229</v>
      </c>
      <c r="L165" s="211">
        <v>96548.267291048774</v>
      </c>
      <c r="M165" s="294">
        <v>251.84620692999999</v>
      </c>
      <c r="N165" s="218">
        <v>43935.237624523965</v>
      </c>
      <c r="O165" s="298">
        <v>704833.28978840297</v>
      </c>
      <c r="P165" s="293">
        <v>683.9946615662401</v>
      </c>
      <c r="Q165" s="294">
        <v>13923.390133913685</v>
      </c>
      <c r="R165" s="296">
        <v>33365.485037089602</v>
      </c>
    </row>
    <row r="166" spans="1:18" ht="17.100000000000001" hidden="1" customHeight="1">
      <c r="A166" s="219">
        <v>39511</v>
      </c>
      <c r="B166" s="212">
        <v>44910.173476965756</v>
      </c>
      <c r="C166" s="210">
        <v>19724.030662492001</v>
      </c>
      <c r="D166" s="210">
        <v>84561.29692060352</v>
      </c>
      <c r="E166" s="211">
        <v>63780.792761205383</v>
      </c>
      <c r="F166" s="210">
        <v>333992.21119524055</v>
      </c>
      <c r="G166" s="212">
        <v>502058.33153954148</v>
      </c>
      <c r="H166" s="293">
        <v>522.72570900000005</v>
      </c>
      <c r="I166" s="293">
        <v>1708.8411643392001</v>
      </c>
      <c r="J166" s="297">
        <v>948.38940024999999</v>
      </c>
      <c r="K166" s="213">
        <v>1448.8523960578514</v>
      </c>
      <c r="L166" s="211">
        <v>99935.646526357232</v>
      </c>
      <c r="M166" s="294">
        <v>212.59675449000002</v>
      </c>
      <c r="N166" s="218">
        <v>41830.212677692951</v>
      </c>
      <c r="O166" s="298">
        <v>693575.76964469452</v>
      </c>
      <c r="P166" s="293">
        <v>679.58188638586478</v>
      </c>
      <c r="Q166" s="294">
        <v>13558.901720736643</v>
      </c>
      <c r="R166" s="296">
        <v>32722.405401442564</v>
      </c>
    </row>
    <row r="167" spans="1:18" ht="17.100000000000001" hidden="1" customHeight="1">
      <c r="A167" s="219">
        <v>39542</v>
      </c>
      <c r="B167" s="212">
        <v>45848.841611171447</v>
      </c>
      <c r="C167" s="210">
        <v>19734.298720471084</v>
      </c>
      <c r="D167" s="210">
        <v>84690.78256286215</v>
      </c>
      <c r="E167" s="211">
        <v>65010.498764904842</v>
      </c>
      <c r="F167" s="210">
        <v>324774.01394262968</v>
      </c>
      <c r="G167" s="212">
        <v>494209.59399086778</v>
      </c>
      <c r="H167" s="293">
        <v>802.36300000000006</v>
      </c>
      <c r="I167" s="293">
        <v>2093.9754046900002</v>
      </c>
      <c r="J167" s="297">
        <v>920.78114125000002</v>
      </c>
      <c r="K167" s="213">
        <v>576.63443815050289</v>
      </c>
      <c r="L167" s="211">
        <v>94274.512404133231</v>
      </c>
      <c r="M167" s="294">
        <v>222.74640398000003</v>
      </c>
      <c r="N167" s="218">
        <v>42076.990137140856</v>
      </c>
      <c r="O167" s="298">
        <v>681026.43853138376</v>
      </c>
      <c r="P167" s="293">
        <v>578.80602092979598</v>
      </c>
      <c r="Q167" s="294">
        <v>14802.094783983917</v>
      </c>
      <c r="R167" s="296">
        <v>32662.521141380668</v>
      </c>
    </row>
    <row r="168" spans="1:18" ht="15.75" hidden="1">
      <c r="A168" s="219">
        <v>39572</v>
      </c>
      <c r="B168" s="212">
        <v>47177.779339516645</v>
      </c>
      <c r="C168" s="210">
        <v>19685.681642919943</v>
      </c>
      <c r="D168" s="210">
        <v>85463.976679167085</v>
      </c>
      <c r="E168" s="211">
        <v>65817.924610309477</v>
      </c>
      <c r="F168" s="210">
        <v>360244.46664578613</v>
      </c>
      <c r="G168" s="212">
        <v>531212.04957818263</v>
      </c>
      <c r="H168" s="293">
        <v>1003.659224</v>
      </c>
      <c r="I168" s="293">
        <v>2641.5220657513678</v>
      </c>
      <c r="J168" s="297">
        <v>920.78114225000002</v>
      </c>
      <c r="K168" s="213">
        <v>603.82880214461977</v>
      </c>
      <c r="L168" s="211">
        <v>88488.464074485993</v>
      </c>
      <c r="M168" s="294">
        <v>414.39452836000004</v>
      </c>
      <c r="N168" s="218">
        <v>45458.324808682773</v>
      </c>
      <c r="O168" s="298">
        <v>717920.80356337398</v>
      </c>
      <c r="P168" s="293">
        <v>546.942120975889</v>
      </c>
      <c r="Q168" s="294">
        <v>15101.476187212389</v>
      </c>
      <c r="R168" s="296">
        <v>37316.926964848237</v>
      </c>
    </row>
    <row r="169" spans="1:18" ht="15.75" hidden="1">
      <c r="A169" s="219">
        <v>39603</v>
      </c>
      <c r="B169" s="212">
        <v>47360.804633645967</v>
      </c>
      <c r="C169" s="210">
        <v>21507.384456406235</v>
      </c>
      <c r="D169" s="210">
        <v>88942.767253905346</v>
      </c>
      <c r="E169" s="211">
        <v>63879.467641770272</v>
      </c>
      <c r="F169" s="210">
        <v>361915.3205144697</v>
      </c>
      <c r="G169" s="212">
        <v>536244.93986655155</v>
      </c>
      <c r="H169" s="293">
        <v>832.39395200000001</v>
      </c>
      <c r="I169" s="293">
        <v>1134.3030817885001</v>
      </c>
      <c r="J169" s="297">
        <v>836.01806525999996</v>
      </c>
      <c r="K169" s="213">
        <v>1441.3874209032226</v>
      </c>
      <c r="L169" s="211">
        <v>95825.776374097186</v>
      </c>
      <c r="M169" s="294">
        <v>296.52655923000003</v>
      </c>
      <c r="N169" s="218">
        <v>45370.31866591471</v>
      </c>
      <c r="O169" s="298">
        <v>729342.46861939097</v>
      </c>
      <c r="P169" s="293">
        <v>556.66365399074368</v>
      </c>
      <c r="Q169" s="294">
        <v>16837.667766306666</v>
      </c>
      <c r="R169" s="296">
        <v>36383.167117811172</v>
      </c>
    </row>
    <row r="170" spans="1:18" ht="15.75" hidden="1">
      <c r="A170" s="219">
        <v>39633</v>
      </c>
      <c r="B170" s="212">
        <v>49144.686777378432</v>
      </c>
      <c r="C170" s="210">
        <v>21475.655013545398</v>
      </c>
      <c r="D170" s="210">
        <v>88717.012885069897</v>
      </c>
      <c r="E170" s="211">
        <v>66791.014981336702</v>
      </c>
      <c r="F170" s="210">
        <v>378284.92903650901</v>
      </c>
      <c r="G170" s="212">
        <v>555268.61191646103</v>
      </c>
      <c r="H170" s="293">
        <v>1425.744909</v>
      </c>
      <c r="I170" s="293">
        <v>3194.8850221512498</v>
      </c>
      <c r="J170" s="297">
        <v>806.85000100000002</v>
      </c>
      <c r="K170" s="213">
        <v>483.66829337891187</v>
      </c>
      <c r="L170" s="211">
        <v>93151.564762463036</v>
      </c>
      <c r="M170" s="294">
        <v>172.64354832999999</v>
      </c>
      <c r="N170" s="218">
        <v>43791.883484629529</v>
      </c>
      <c r="O170" s="298">
        <v>747440.53871479211</v>
      </c>
      <c r="P170" s="293">
        <v>571.37464843946839</v>
      </c>
      <c r="Q170" s="294">
        <v>20302.100770603825</v>
      </c>
      <c r="R170" s="296">
        <v>33168.255893505731</v>
      </c>
    </row>
    <row r="171" spans="1:18" ht="15.75" hidden="1">
      <c r="A171" s="219">
        <v>39664</v>
      </c>
      <c r="B171" s="212">
        <v>51340.932441332523</v>
      </c>
      <c r="C171" s="210">
        <v>21134.872596868096</v>
      </c>
      <c r="D171" s="210">
        <v>90539.478492278417</v>
      </c>
      <c r="E171" s="211">
        <v>67987.345907546434</v>
      </c>
      <c r="F171" s="210">
        <v>361505.7955692744</v>
      </c>
      <c r="G171" s="212">
        <v>541167.49256596738</v>
      </c>
      <c r="H171" s="293">
        <v>496.41699999999997</v>
      </c>
      <c r="I171" s="293">
        <v>2912.2194842146</v>
      </c>
      <c r="J171" s="297">
        <v>806.85000026</v>
      </c>
      <c r="K171" s="213">
        <v>428.9992502465808</v>
      </c>
      <c r="L171" s="211">
        <v>95045.208723996795</v>
      </c>
      <c r="M171" s="294">
        <v>197.95109120999999</v>
      </c>
      <c r="N171" s="218">
        <v>45303.54849054887</v>
      </c>
      <c r="O171" s="298">
        <v>737699.61904777668</v>
      </c>
      <c r="P171" s="293">
        <v>593.14658540923926</v>
      </c>
      <c r="Q171" s="294">
        <v>21393.544766134102</v>
      </c>
      <c r="R171" s="296">
        <v>33392.036226588069</v>
      </c>
    </row>
    <row r="172" spans="1:18" ht="15.75" hidden="1">
      <c r="A172" s="219">
        <v>39695</v>
      </c>
      <c r="B172" s="212">
        <v>50216.105079680594</v>
      </c>
      <c r="C172" s="210">
        <v>22304.164342481843</v>
      </c>
      <c r="D172" s="210">
        <v>89344.572167662031</v>
      </c>
      <c r="E172" s="211">
        <v>68170.122612989639</v>
      </c>
      <c r="F172" s="210">
        <v>348498.6935376653</v>
      </c>
      <c r="G172" s="212">
        <v>528317.55266079889</v>
      </c>
      <c r="H172" s="293">
        <v>487.24700000000001</v>
      </c>
      <c r="I172" s="293">
        <v>3292.5991291874998</v>
      </c>
      <c r="J172" s="297">
        <v>4113.2387461899998</v>
      </c>
      <c r="K172" s="213">
        <v>157.03017788684411</v>
      </c>
      <c r="L172" s="211">
        <v>89352.648733748138</v>
      </c>
      <c r="M172" s="294">
        <v>222.63850665999996</v>
      </c>
      <c r="N172" s="218">
        <v>48639.851340202571</v>
      </c>
      <c r="O172" s="298">
        <v>724798.9113743545</v>
      </c>
      <c r="P172" s="293">
        <v>594.39894971594413</v>
      </c>
      <c r="Q172" s="294">
        <v>17244.768851782479</v>
      </c>
      <c r="R172" s="296">
        <v>33812.558937183348</v>
      </c>
    </row>
    <row r="173" spans="1:18" ht="15.75" hidden="1">
      <c r="A173" s="219">
        <v>39725</v>
      </c>
      <c r="B173" s="212">
        <v>51729.080520453237</v>
      </c>
      <c r="C173" s="210">
        <v>20511.657671893747</v>
      </c>
      <c r="D173" s="210">
        <v>88694.685949735169</v>
      </c>
      <c r="E173" s="211">
        <v>68678.174452889565</v>
      </c>
      <c r="F173" s="210">
        <v>373608.02982834564</v>
      </c>
      <c r="G173" s="212">
        <v>551492.54790286417</v>
      </c>
      <c r="H173" s="293">
        <v>526.87300000000005</v>
      </c>
      <c r="I173" s="293">
        <v>2147.0628055925999</v>
      </c>
      <c r="J173" s="297">
        <v>3333.8130922747</v>
      </c>
      <c r="K173" s="213">
        <v>610.7525222577367</v>
      </c>
      <c r="L173" s="211">
        <v>97682.110377361721</v>
      </c>
      <c r="M173" s="294">
        <v>206.12754294760001</v>
      </c>
      <c r="N173" s="218">
        <v>51219.215057716414</v>
      </c>
      <c r="O173" s="298">
        <v>758947.58282146824</v>
      </c>
      <c r="P173" s="293">
        <v>786.25701884270302</v>
      </c>
      <c r="Q173" s="294">
        <v>14122.024991602661</v>
      </c>
      <c r="R173" s="296">
        <v>33784.364646441754</v>
      </c>
    </row>
    <row r="174" spans="1:18" ht="15.75" hidden="1">
      <c r="A174" s="219">
        <v>39756</v>
      </c>
      <c r="B174" s="212">
        <v>52853.248062491599</v>
      </c>
      <c r="C174" s="210">
        <v>20841.055160320411</v>
      </c>
      <c r="D174" s="210">
        <v>89034.257963490003</v>
      </c>
      <c r="E174" s="211">
        <v>69351.55656582168</v>
      </c>
      <c r="F174" s="210">
        <v>372210.63852001436</v>
      </c>
      <c r="G174" s="212">
        <v>551437.50820964645</v>
      </c>
      <c r="H174" s="293">
        <v>1348.5377089999999</v>
      </c>
      <c r="I174" s="293">
        <v>1222.2685451919999</v>
      </c>
      <c r="J174" s="297">
        <v>1943.3734891232</v>
      </c>
      <c r="K174" s="213">
        <v>108.30803224993818</v>
      </c>
      <c r="L174" s="211">
        <v>96953.76987736435</v>
      </c>
      <c r="M174" s="294">
        <v>259.99400323280003</v>
      </c>
      <c r="N174" s="218">
        <v>51740.552854688089</v>
      </c>
      <c r="O174" s="298">
        <v>757867.56078298844</v>
      </c>
      <c r="P174" s="293">
        <v>874.13585125856923</v>
      </c>
      <c r="Q174" s="294">
        <v>13784.792607661788</v>
      </c>
      <c r="R174" s="296">
        <v>33663.999416034982</v>
      </c>
    </row>
    <row r="175" spans="1:18" ht="15.75" hidden="1">
      <c r="A175" s="219">
        <v>39786</v>
      </c>
      <c r="B175" s="212">
        <v>54700.343137394317</v>
      </c>
      <c r="C175" s="210">
        <v>22844.721323428636</v>
      </c>
      <c r="D175" s="210">
        <v>92669.709372234051</v>
      </c>
      <c r="E175" s="211">
        <v>69807.812998389098</v>
      </c>
      <c r="F175" s="210">
        <v>362019.32611493685</v>
      </c>
      <c r="G175" s="212">
        <v>547341.5698089886</v>
      </c>
      <c r="H175" s="293">
        <v>802.36400000000003</v>
      </c>
      <c r="I175" s="293">
        <v>2052.5273361</v>
      </c>
      <c r="J175" s="297">
        <v>1046.4665269899999</v>
      </c>
      <c r="K175" s="213">
        <v>1894.7161161956001</v>
      </c>
      <c r="L175" s="211">
        <v>95617.851318108107</v>
      </c>
      <c r="M175" s="294">
        <v>221.77706874840001</v>
      </c>
      <c r="N175" s="218">
        <v>50786.295439785128</v>
      </c>
      <c r="O175" s="298">
        <v>754463.91075231007</v>
      </c>
      <c r="P175" s="293">
        <v>860.23191000476345</v>
      </c>
      <c r="Q175" s="294">
        <v>13595.05324248684</v>
      </c>
      <c r="R175" s="296">
        <v>34423.613467809737</v>
      </c>
    </row>
    <row r="176" spans="1:18" ht="15.75" hidden="1">
      <c r="A176" s="219">
        <v>39817</v>
      </c>
      <c r="B176" s="212">
        <v>58857.989894412516</v>
      </c>
      <c r="C176" s="210">
        <v>21162.444175694542</v>
      </c>
      <c r="D176" s="210">
        <v>93319.282377482974</v>
      </c>
      <c r="E176" s="211">
        <v>71270.215750839605</v>
      </c>
      <c r="F176" s="210">
        <v>366897.56039632543</v>
      </c>
      <c r="G176" s="212">
        <v>552649.50270034256</v>
      </c>
      <c r="H176" s="293">
        <v>1545.654442</v>
      </c>
      <c r="I176" s="293">
        <v>1935.5991266999999</v>
      </c>
      <c r="J176" s="297">
        <v>708.50234898999997</v>
      </c>
      <c r="K176" s="213">
        <v>305.550929</v>
      </c>
      <c r="L176" s="211">
        <v>95114.735272365855</v>
      </c>
      <c r="M176" s="294">
        <v>292.67397846000006</v>
      </c>
      <c r="N176" s="218">
        <v>48553.225396595313</v>
      </c>
      <c r="O176" s="298">
        <v>759963.43408886623</v>
      </c>
      <c r="P176" s="293">
        <v>747.78617163979743</v>
      </c>
      <c r="Q176" s="294">
        <v>15630.616656338127</v>
      </c>
      <c r="R176" s="296">
        <v>33380.924579800638</v>
      </c>
    </row>
    <row r="177" spans="1:18" ht="15.75" hidden="1">
      <c r="A177" s="219">
        <v>39848</v>
      </c>
      <c r="B177" s="212">
        <v>60166.100554600511</v>
      </c>
      <c r="C177" s="210">
        <v>21787.346253175554</v>
      </c>
      <c r="D177" s="210">
        <v>97048.745818822383</v>
      </c>
      <c r="E177" s="211">
        <v>69140.669554318418</v>
      </c>
      <c r="F177" s="210">
        <v>371794.90896761115</v>
      </c>
      <c r="G177" s="212">
        <v>559771.6705939275</v>
      </c>
      <c r="H177" s="293">
        <v>1041.838</v>
      </c>
      <c r="I177" s="293">
        <v>1784.46137275</v>
      </c>
      <c r="J177" s="297">
        <v>743.81295198999999</v>
      </c>
      <c r="K177" s="213">
        <v>36.565853641600015</v>
      </c>
      <c r="L177" s="211">
        <v>99738.3217176951</v>
      </c>
      <c r="M177" s="294">
        <v>257.89429102720004</v>
      </c>
      <c r="N177" s="218">
        <v>46291.264199137979</v>
      </c>
      <c r="O177" s="298">
        <v>769831.92953476985</v>
      </c>
      <c r="P177" s="293">
        <v>688.32938447617107</v>
      </c>
      <c r="Q177" s="294">
        <v>15048.786912847008</v>
      </c>
      <c r="R177" s="296">
        <v>33129.926348115448</v>
      </c>
    </row>
    <row r="178" spans="1:18" ht="15.75" hidden="1">
      <c r="A178" s="219">
        <v>39873</v>
      </c>
      <c r="B178" s="212">
        <v>62953.644872439858</v>
      </c>
      <c r="C178" s="210">
        <v>21385.308853695024</v>
      </c>
      <c r="D178" s="210">
        <v>97652.100510577875</v>
      </c>
      <c r="E178" s="211">
        <v>70456.998155416484</v>
      </c>
      <c r="F178" s="210">
        <v>366535.51354843064</v>
      </c>
      <c r="G178" s="212">
        <v>556029.92106812005</v>
      </c>
      <c r="H178" s="293">
        <v>767.279</v>
      </c>
      <c r="I178" s="293">
        <v>2604.8436032179998</v>
      </c>
      <c r="J178" s="297">
        <v>487.72308737999998</v>
      </c>
      <c r="K178" s="213">
        <v>1694.3440419999999</v>
      </c>
      <c r="L178" s="211">
        <v>93470.135853915897</v>
      </c>
      <c r="M178" s="294">
        <v>228.20029296520002</v>
      </c>
      <c r="N178" s="218">
        <v>44538.422700314746</v>
      </c>
      <c r="O178" s="298">
        <v>762774.51452035375</v>
      </c>
      <c r="P178" s="293">
        <v>599.85100501955935</v>
      </c>
      <c r="Q178" s="294">
        <v>14537.89662064004</v>
      </c>
      <c r="R178" s="296">
        <v>33646.992286966066</v>
      </c>
    </row>
    <row r="179" spans="1:18" ht="15.75" hidden="1">
      <c r="A179" s="219">
        <v>39907</v>
      </c>
      <c r="B179" s="212">
        <v>61599.155955257971</v>
      </c>
      <c r="C179" s="210">
        <v>22643.723497651659</v>
      </c>
      <c r="D179" s="210">
        <v>96213.609601596501</v>
      </c>
      <c r="E179" s="211">
        <v>70501.880388499543</v>
      </c>
      <c r="F179" s="210">
        <v>364065.51867827045</v>
      </c>
      <c r="G179" s="212">
        <v>553424.7321660181</v>
      </c>
      <c r="H179" s="293">
        <v>990.61699999999996</v>
      </c>
      <c r="I179" s="293">
        <v>2345.1108859069996</v>
      </c>
      <c r="J179" s="297">
        <v>460.46300437999997</v>
      </c>
      <c r="K179" s="213">
        <v>0</v>
      </c>
      <c r="L179" s="211">
        <v>85439.550612757273</v>
      </c>
      <c r="M179" s="294">
        <v>189.77917418000001</v>
      </c>
      <c r="N179" s="218">
        <v>48045.101579254704</v>
      </c>
      <c r="O179" s="298">
        <v>752494.51037775492</v>
      </c>
      <c r="P179" s="293">
        <v>587.85364539409352</v>
      </c>
      <c r="Q179" s="294">
        <v>14430.403990702565</v>
      </c>
      <c r="R179" s="296">
        <v>34843.785867487306</v>
      </c>
    </row>
    <row r="180" spans="1:18" ht="15.75" hidden="1">
      <c r="A180" s="219">
        <v>39937</v>
      </c>
      <c r="B180" s="212">
        <v>60137.435609038781</v>
      </c>
      <c r="C180" s="210">
        <v>22969.437891841248</v>
      </c>
      <c r="D180" s="210">
        <v>97012.589999816802</v>
      </c>
      <c r="E180" s="211">
        <v>71313.036934640142</v>
      </c>
      <c r="F180" s="210">
        <v>364263.76003305835</v>
      </c>
      <c r="G180" s="212">
        <v>555558.82485935651</v>
      </c>
      <c r="H180" s="293">
        <v>639.61599999999999</v>
      </c>
      <c r="I180" s="293">
        <v>1171.7315468959998</v>
      </c>
      <c r="J180" s="297">
        <v>457.09956438</v>
      </c>
      <c r="K180" s="213">
        <v>1052.40977709</v>
      </c>
      <c r="L180" s="211">
        <v>77984.557781941199</v>
      </c>
      <c r="M180" s="294">
        <v>200.94665505695201</v>
      </c>
      <c r="N180" s="218">
        <v>47111.267697345</v>
      </c>
      <c r="O180" s="298">
        <v>744313.88949110452</v>
      </c>
      <c r="P180" s="293">
        <v>695.16017213884834</v>
      </c>
      <c r="Q180" s="294">
        <v>13298.053462980382</v>
      </c>
      <c r="R180" s="296">
        <v>33625.451352652024</v>
      </c>
    </row>
    <row r="181" spans="1:18" ht="15.75" hidden="1">
      <c r="A181" s="219">
        <v>39968</v>
      </c>
      <c r="B181" s="212">
        <v>60638.934105374392</v>
      </c>
      <c r="C181" s="210">
        <v>24660.848066690891</v>
      </c>
      <c r="D181" s="210">
        <v>99170.970640773055</v>
      </c>
      <c r="E181" s="211">
        <v>71892.474309693629</v>
      </c>
      <c r="F181" s="210">
        <v>351092.8373943466</v>
      </c>
      <c r="G181" s="212">
        <v>546817.13041150419</v>
      </c>
      <c r="H181" s="293">
        <v>945.46699999999998</v>
      </c>
      <c r="I181" s="293">
        <v>2621.4465825488001</v>
      </c>
      <c r="J181" s="297">
        <v>452.69533885000004</v>
      </c>
      <c r="K181" s="213">
        <v>9096.6384214655991</v>
      </c>
      <c r="L181" s="211">
        <v>75381.104810002726</v>
      </c>
      <c r="M181" s="294">
        <v>217.88154949246402</v>
      </c>
      <c r="N181" s="218">
        <v>47183.109431425612</v>
      </c>
      <c r="O181" s="298">
        <v>743354.40765066363</v>
      </c>
      <c r="P181" s="293">
        <v>683.94380281842825</v>
      </c>
      <c r="Q181" s="294">
        <v>15800.262109073437</v>
      </c>
      <c r="R181" s="296">
        <v>36194.886017207922</v>
      </c>
    </row>
    <row r="182" spans="1:18" ht="15.75" hidden="1">
      <c r="A182" s="219">
        <v>39998</v>
      </c>
      <c r="B182" s="212">
        <v>63310.04966833441</v>
      </c>
      <c r="C182" s="210">
        <v>24383.715771260006</v>
      </c>
      <c r="D182" s="210">
        <v>99304.822027424074</v>
      </c>
      <c r="E182" s="211">
        <v>73341.416255129268</v>
      </c>
      <c r="F182" s="210">
        <v>347319.40878746758</v>
      </c>
      <c r="G182" s="212">
        <v>544349.36284128088</v>
      </c>
      <c r="H182" s="293">
        <v>1319.0889999999999</v>
      </c>
      <c r="I182" s="293">
        <v>1405.4850506135999</v>
      </c>
      <c r="J182" s="297">
        <v>462.58009242000003</v>
      </c>
      <c r="K182" s="213">
        <v>772.20568403800007</v>
      </c>
      <c r="L182" s="211">
        <v>84025.869412232176</v>
      </c>
      <c r="M182" s="294">
        <v>243.824599229097</v>
      </c>
      <c r="N182" s="218">
        <v>42841.637353917242</v>
      </c>
      <c r="O182" s="298">
        <v>738730.10370206553</v>
      </c>
      <c r="P182" s="293">
        <v>705.88179097797536</v>
      </c>
      <c r="Q182" s="294">
        <v>14378.144842656218</v>
      </c>
      <c r="R182" s="296">
        <v>38432.926176483554</v>
      </c>
    </row>
    <row r="183" spans="1:18" ht="15.75" hidden="1">
      <c r="A183" s="219">
        <v>40029</v>
      </c>
      <c r="B183" s="212">
        <v>63117.091124944825</v>
      </c>
      <c r="C183" s="210">
        <v>24701.374362548806</v>
      </c>
      <c r="D183" s="210">
        <v>100572.77282245575</v>
      </c>
      <c r="E183" s="211">
        <v>72956.364376813319</v>
      </c>
      <c r="F183" s="210">
        <v>338901.28668538213</v>
      </c>
      <c r="G183" s="212">
        <v>537131.79824719997</v>
      </c>
      <c r="H183" s="293">
        <v>597.60299999999995</v>
      </c>
      <c r="I183" s="293">
        <v>811.08419085909998</v>
      </c>
      <c r="J183" s="297">
        <v>462.18009241999999</v>
      </c>
      <c r="K183" s="213">
        <v>3216.3249145012996</v>
      </c>
      <c r="L183" s="211">
        <v>84605.003176492697</v>
      </c>
      <c r="M183" s="294">
        <v>222.29705368637897</v>
      </c>
      <c r="N183" s="218">
        <v>46202.034381075879</v>
      </c>
      <c r="O183" s="298">
        <v>736365.41618118028</v>
      </c>
      <c r="P183" s="293">
        <v>841.77812490621181</v>
      </c>
      <c r="Q183" s="294">
        <v>16199.676937812368</v>
      </c>
      <c r="R183" s="296">
        <v>39728.972339206332</v>
      </c>
    </row>
    <row r="184" spans="1:18" ht="15.75" hidden="1">
      <c r="A184" s="219">
        <v>40060</v>
      </c>
      <c r="B184" s="212">
        <v>60270.263501462847</v>
      </c>
      <c r="C184" s="210">
        <v>25408.006177711872</v>
      </c>
      <c r="D184" s="210">
        <v>101205.02584365846</v>
      </c>
      <c r="E184" s="211">
        <v>70772.101154821808</v>
      </c>
      <c r="F184" s="210">
        <v>338202.52197144518</v>
      </c>
      <c r="G184" s="212">
        <v>535587.65514763724</v>
      </c>
      <c r="H184" s="293">
        <v>590.00010199999997</v>
      </c>
      <c r="I184" s="293">
        <v>1754.6526391672</v>
      </c>
      <c r="J184" s="297">
        <v>413.25054242000004</v>
      </c>
      <c r="K184" s="213">
        <v>12501.32108602</v>
      </c>
      <c r="L184" s="211">
        <v>83323.615262644555</v>
      </c>
      <c r="M184" s="294">
        <v>279.96912524733995</v>
      </c>
      <c r="N184" s="218">
        <v>43898.677469838753</v>
      </c>
      <c r="O184" s="298">
        <v>738619.40487643797</v>
      </c>
      <c r="P184" s="293">
        <v>696.35762966758557</v>
      </c>
      <c r="Q184" s="294">
        <v>15754.287299319312</v>
      </c>
      <c r="R184" s="296">
        <v>37576.247091223755</v>
      </c>
    </row>
    <row r="185" spans="1:18" ht="15.75" hidden="1">
      <c r="A185" s="219">
        <v>40090</v>
      </c>
      <c r="B185" s="212">
        <v>58614.921235808266</v>
      </c>
      <c r="C185" s="210">
        <v>25541.324838773071</v>
      </c>
      <c r="D185" s="210">
        <v>101682.3562799466</v>
      </c>
      <c r="E185" s="211">
        <v>71257.78200145025</v>
      </c>
      <c r="F185" s="210">
        <v>344703.39074290846</v>
      </c>
      <c r="G185" s="212">
        <v>543184.8538630784</v>
      </c>
      <c r="H185" s="293">
        <v>574.73800000000006</v>
      </c>
      <c r="I185" s="293">
        <v>1869.1356212365499</v>
      </c>
      <c r="J185" s="297">
        <v>365.42098736000003</v>
      </c>
      <c r="K185" s="213">
        <v>4886.9200119999996</v>
      </c>
      <c r="L185" s="211">
        <v>80699.100584355561</v>
      </c>
      <c r="M185" s="294">
        <v>219.93677501367003</v>
      </c>
      <c r="N185" s="218">
        <v>43454.601246132122</v>
      </c>
      <c r="O185" s="298">
        <v>733869.62832498457</v>
      </c>
      <c r="P185" s="293">
        <v>804.64957255244565</v>
      </c>
      <c r="Q185" s="294">
        <v>13315.379064818513</v>
      </c>
      <c r="R185" s="296">
        <v>36123.136526732145</v>
      </c>
    </row>
    <row r="186" spans="1:18" ht="15.75" hidden="1">
      <c r="A186" s="219">
        <v>40121</v>
      </c>
      <c r="B186" s="212">
        <v>57720.947676280644</v>
      </c>
      <c r="C186" s="210">
        <v>26396.26670676767</v>
      </c>
      <c r="D186" s="210">
        <v>101932.73453164015</v>
      </c>
      <c r="E186" s="211">
        <v>71392.822813875347</v>
      </c>
      <c r="F186" s="210">
        <v>335529.00979733584</v>
      </c>
      <c r="G186" s="212">
        <v>535250.83384961903</v>
      </c>
      <c r="H186" s="293">
        <v>539.995</v>
      </c>
      <c r="I186" s="293">
        <v>938.23169517168003</v>
      </c>
      <c r="J186" s="297">
        <v>365.42098736000003</v>
      </c>
      <c r="K186" s="213">
        <v>4047.6405648699997</v>
      </c>
      <c r="L186" s="211">
        <v>81192.308700342226</v>
      </c>
      <c r="M186" s="294">
        <v>242.558543944848</v>
      </c>
      <c r="N186" s="218">
        <v>46117.773024352355</v>
      </c>
      <c r="O186" s="298">
        <v>726415.71004194068</v>
      </c>
      <c r="P186" s="293">
        <v>812.32342899062257</v>
      </c>
      <c r="Q186" s="294">
        <v>13939.539499181197</v>
      </c>
      <c r="R186" s="296">
        <v>37733.165838412795</v>
      </c>
    </row>
    <row r="187" spans="1:18" ht="15.75" hidden="1">
      <c r="A187" s="219">
        <v>40151</v>
      </c>
      <c r="B187" s="212">
        <v>59648.150701442661</v>
      </c>
      <c r="C187" s="210">
        <v>27901.590387446253</v>
      </c>
      <c r="D187" s="210">
        <v>105915.75618267751</v>
      </c>
      <c r="E187" s="211">
        <v>73072.342645833138</v>
      </c>
      <c r="F187" s="210">
        <v>352095.89741475391</v>
      </c>
      <c r="G187" s="212">
        <v>558985.58663071087</v>
      </c>
      <c r="H187" s="293">
        <v>845.947</v>
      </c>
      <c r="I187" s="293">
        <v>1830.5481243183203</v>
      </c>
      <c r="J187" s="297">
        <v>1430.0372753600002</v>
      </c>
      <c r="K187" s="213">
        <v>2896.7726990400001</v>
      </c>
      <c r="L187" s="211">
        <v>81732.602769156903</v>
      </c>
      <c r="M187" s="294">
        <v>195.25768278197202</v>
      </c>
      <c r="N187" s="218">
        <v>43692.676524058392</v>
      </c>
      <c r="O187" s="298">
        <v>751257.57940686925</v>
      </c>
      <c r="P187" s="293">
        <v>899.89029019846896</v>
      </c>
      <c r="Q187" s="294">
        <v>9142.3687734577506</v>
      </c>
      <c r="R187" s="296">
        <v>44498.830561086426</v>
      </c>
    </row>
    <row r="188" spans="1:18" ht="15.75" hidden="1">
      <c r="A188" s="219">
        <v>40182</v>
      </c>
      <c r="B188" s="212">
        <v>63088.254963484345</v>
      </c>
      <c r="C188" s="210">
        <v>25771.048575719818</v>
      </c>
      <c r="D188" s="210">
        <v>107634.71024283554</v>
      </c>
      <c r="E188" s="211">
        <v>71754.820625917258</v>
      </c>
      <c r="F188" s="210">
        <v>363452.46963566192</v>
      </c>
      <c r="G188" s="212">
        <v>568613.0490801346</v>
      </c>
      <c r="H188" s="293">
        <v>657.73299999999995</v>
      </c>
      <c r="I188" s="293">
        <v>2379.4219479885996</v>
      </c>
      <c r="J188" s="297">
        <v>333.21099047000001</v>
      </c>
      <c r="K188" s="213">
        <v>6641.7400369000006</v>
      </c>
      <c r="L188" s="211">
        <v>78540.627635632729</v>
      </c>
      <c r="M188" s="294">
        <v>275.35400546631399</v>
      </c>
      <c r="N188" s="218">
        <v>40285.269598589002</v>
      </c>
      <c r="O188" s="298">
        <v>760814.66125866561</v>
      </c>
      <c r="P188" s="293">
        <v>839.42731636216206</v>
      </c>
      <c r="Q188" s="294">
        <v>15412.779712187546</v>
      </c>
      <c r="R188" s="296">
        <v>39295.962771278239</v>
      </c>
    </row>
    <row r="189" spans="1:18" ht="15.75" hidden="1">
      <c r="A189" s="219">
        <v>40213</v>
      </c>
      <c r="B189" s="212">
        <v>63536.374062793846</v>
      </c>
      <c r="C189" s="210">
        <v>25545.988949335038</v>
      </c>
      <c r="D189" s="210">
        <v>109078.69935259863</v>
      </c>
      <c r="E189" s="211">
        <v>72240.931718022883</v>
      </c>
      <c r="F189" s="210">
        <v>367483.3846103804</v>
      </c>
      <c r="G189" s="212">
        <v>574349.004630337</v>
      </c>
      <c r="H189" s="293">
        <v>669.02501500000005</v>
      </c>
      <c r="I189" s="293">
        <v>1313.4365986536998</v>
      </c>
      <c r="J189" s="297">
        <v>363.92599050999996</v>
      </c>
      <c r="K189" s="213">
        <v>6068.6632345840007</v>
      </c>
      <c r="L189" s="211">
        <v>80973.788461741671</v>
      </c>
      <c r="M189" s="294">
        <v>288.75883642715002</v>
      </c>
      <c r="N189" s="218">
        <v>41488.168410227459</v>
      </c>
      <c r="O189" s="298">
        <v>769051.14524027484</v>
      </c>
      <c r="P189" s="293">
        <v>939.29816982476905</v>
      </c>
      <c r="Q189" s="294">
        <v>16530.551057188768</v>
      </c>
      <c r="R189" s="296">
        <v>44119.407261529195</v>
      </c>
    </row>
    <row r="190" spans="1:18" ht="15.75" hidden="1">
      <c r="A190" s="219">
        <v>40241</v>
      </c>
      <c r="B190" s="212">
        <v>63685.445589822688</v>
      </c>
      <c r="C190" s="210">
        <v>26766.646982739643</v>
      </c>
      <c r="D190" s="210">
        <v>109194.86743656197</v>
      </c>
      <c r="E190" s="211">
        <v>72647.718333594152</v>
      </c>
      <c r="F190" s="210">
        <v>376848.3720023185</v>
      </c>
      <c r="G190" s="212">
        <v>585457.6047552143</v>
      </c>
      <c r="H190" s="293">
        <v>766.63499999999999</v>
      </c>
      <c r="I190" s="293">
        <v>1893.776658864</v>
      </c>
      <c r="J190" s="297">
        <v>348.39862247000002</v>
      </c>
      <c r="K190" s="213">
        <v>1005.37250264</v>
      </c>
      <c r="L190" s="211">
        <v>80709.760527384336</v>
      </c>
      <c r="M190" s="294">
        <v>245.53002126599998</v>
      </c>
      <c r="N190" s="218">
        <v>42477.258020842986</v>
      </c>
      <c r="O190" s="298">
        <v>776589.78169850435</v>
      </c>
      <c r="P190" s="293">
        <v>1006.6991333039598</v>
      </c>
      <c r="Q190" s="294">
        <v>15921.337542578091</v>
      </c>
      <c r="R190" s="296">
        <v>43465.422247112241</v>
      </c>
    </row>
    <row r="191" spans="1:18" ht="15.75" hidden="1">
      <c r="A191" s="219">
        <v>40272</v>
      </c>
      <c r="B191" s="212">
        <v>64155.037333835753</v>
      </c>
      <c r="C191" s="210">
        <v>25424.543586466887</v>
      </c>
      <c r="D191" s="210">
        <v>111529.21988229034</v>
      </c>
      <c r="E191" s="211">
        <v>70829.486090551378</v>
      </c>
      <c r="F191" s="210">
        <v>359078.4299898615</v>
      </c>
      <c r="G191" s="212">
        <v>566861.67954917008</v>
      </c>
      <c r="H191" s="293">
        <v>728.07500000000005</v>
      </c>
      <c r="I191" s="293">
        <v>2997.5087838333816</v>
      </c>
      <c r="J191" s="297">
        <v>362.14667774000003</v>
      </c>
      <c r="K191" s="213">
        <v>3169.3483500700004</v>
      </c>
      <c r="L191" s="211">
        <v>92725.45034858596</v>
      </c>
      <c r="M191" s="294">
        <v>243.22210433356304</v>
      </c>
      <c r="N191" s="218">
        <v>40439.307847336931</v>
      </c>
      <c r="O191" s="298">
        <v>771681.77599490562</v>
      </c>
      <c r="P191" s="293">
        <v>1103.5665607132212</v>
      </c>
      <c r="Q191" s="294">
        <v>16350.244152235589</v>
      </c>
      <c r="R191" s="296">
        <v>43944.273826036057</v>
      </c>
    </row>
    <row r="192" spans="1:18" ht="15.75" hidden="1" customHeight="1">
      <c r="A192" s="219">
        <v>40302</v>
      </c>
      <c r="B192" s="212">
        <v>66502.903105371413</v>
      </c>
      <c r="C192" s="210">
        <v>27591.654213031969</v>
      </c>
      <c r="D192" s="210">
        <v>111167.86030812196</v>
      </c>
      <c r="E192" s="211">
        <v>70632.556758248131</v>
      </c>
      <c r="F192" s="210">
        <v>412386.00942964578</v>
      </c>
      <c r="G192" s="212">
        <v>621778.08070904785</v>
      </c>
      <c r="H192" s="293">
        <v>653.27200000000005</v>
      </c>
      <c r="I192" s="293">
        <v>1450.7473077499997</v>
      </c>
      <c r="J192" s="297">
        <v>334.18167774</v>
      </c>
      <c r="K192" s="213">
        <v>5566.8358775196621</v>
      </c>
      <c r="L192" s="211">
        <v>104327.30432343241</v>
      </c>
      <c r="M192" s="294">
        <v>278.622239245081</v>
      </c>
      <c r="N192" s="218">
        <v>48151.832603799216</v>
      </c>
      <c r="O192" s="298">
        <v>849043.77984390559</v>
      </c>
      <c r="P192" s="293">
        <v>1095.8451834909629</v>
      </c>
      <c r="Q192" s="294">
        <v>18030.516394027152</v>
      </c>
      <c r="R192" s="296">
        <v>44927.594887161038</v>
      </c>
    </row>
    <row r="193" spans="1:19" ht="15.75" hidden="1" customHeight="1">
      <c r="A193" s="219">
        <v>40333</v>
      </c>
      <c r="B193" s="212">
        <v>68275.818700393953</v>
      </c>
      <c r="C193" s="210">
        <v>27921.061733068374</v>
      </c>
      <c r="D193" s="210">
        <v>112552.85981934627</v>
      </c>
      <c r="E193" s="211">
        <v>75464.248917661142</v>
      </c>
      <c r="F193" s="210">
        <v>403825.21422575816</v>
      </c>
      <c r="G193" s="212">
        <v>619763.3846958339</v>
      </c>
      <c r="H193" s="293">
        <v>780.17200000000003</v>
      </c>
      <c r="I193" s="293">
        <v>2204.0221570507001</v>
      </c>
      <c r="J193" s="297">
        <v>373.5310801</v>
      </c>
      <c r="K193" s="213">
        <v>1463.8916393789</v>
      </c>
      <c r="L193" s="211">
        <v>103522.78615831111</v>
      </c>
      <c r="M193" s="294">
        <v>292.49951222285603</v>
      </c>
      <c r="N193" s="218">
        <v>46497.611193766192</v>
      </c>
      <c r="O193" s="298">
        <v>843173.71713705768</v>
      </c>
      <c r="P193" s="293">
        <v>2464.8077281573505</v>
      </c>
      <c r="Q193" s="294">
        <v>32572.595280409791</v>
      </c>
      <c r="R193" s="296">
        <v>44052.640414172922</v>
      </c>
    </row>
    <row r="194" spans="1:19" ht="15.75" hidden="1" customHeight="1">
      <c r="A194" s="219">
        <v>40363</v>
      </c>
      <c r="B194" s="212">
        <v>71227.077879063654</v>
      </c>
      <c r="C194" s="210">
        <v>26836.789889825268</v>
      </c>
      <c r="D194" s="210">
        <v>113362.1409121715</v>
      </c>
      <c r="E194" s="211">
        <v>74981.814501889821</v>
      </c>
      <c r="F194" s="210">
        <v>364273.46238650411</v>
      </c>
      <c r="G194" s="212">
        <v>579454.20769039076</v>
      </c>
      <c r="H194" s="293">
        <v>717.21</v>
      </c>
      <c r="I194" s="293">
        <v>766.21901896999998</v>
      </c>
      <c r="J194" s="297">
        <v>328.68392384000003</v>
      </c>
      <c r="K194" s="213">
        <v>4466.5441746214274</v>
      </c>
      <c r="L194" s="211">
        <v>97405.679435756538</v>
      </c>
      <c r="M194" s="294">
        <v>263.951469272883</v>
      </c>
      <c r="N194" s="218">
        <v>41826.251316656526</v>
      </c>
      <c r="O194" s="298">
        <v>796455.82490857178</v>
      </c>
      <c r="P194" s="293">
        <v>2390.2858265569771</v>
      </c>
      <c r="Q194" s="294">
        <v>30590.023338938641</v>
      </c>
      <c r="R194" s="296">
        <v>40053.217704810544</v>
      </c>
    </row>
    <row r="195" spans="1:19" ht="15.75" hidden="1" customHeight="1">
      <c r="A195" s="219">
        <v>40394</v>
      </c>
      <c r="B195" s="212">
        <v>71143.551478769718</v>
      </c>
      <c r="C195" s="210">
        <v>27617.747624458225</v>
      </c>
      <c r="D195" s="210">
        <v>114336.55092844734</v>
      </c>
      <c r="E195" s="211">
        <v>72254.534627499917</v>
      </c>
      <c r="F195" s="210">
        <v>390803.05053912569</v>
      </c>
      <c r="G195" s="212">
        <v>605011.88371953112</v>
      </c>
      <c r="H195" s="293">
        <v>650.89344400000004</v>
      </c>
      <c r="I195" s="293">
        <v>1555.9278199600001</v>
      </c>
      <c r="J195" s="297">
        <v>360.44601583999997</v>
      </c>
      <c r="K195" s="213">
        <v>5969.537134231</v>
      </c>
      <c r="L195" s="211">
        <v>105313.20449475345</v>
      </c>
      <c r="M195" s="294">
        <v>250.99309935346901</v>
      </c>
      <c r="N195" s="218">
        <v>40738.41247306166</v>
      </c>
      <c r="O195" s="298">
        <v>830994.84967950056</v>
      </c>
      <c r="P195" s="293">
        <v>2647.8517933424091</v>
      </c>
      <c r="Q195" s="294">
        <v>26835.493648603526</v>
      </c>
      <c r="R195" s="296">
        <v>40096.466051720912</v>
      </c>
    </row>
    <row r="196" spans="1:19" ht="15.75" hidden="1" customHeight="1">
      <c r="A196" s="219">
        <v>40425</v>
      </c>
      <c r="B196" s="212">
        <v>69708.82198647123</v>
      </c>
      <c r="C196" s="210">
        <v>28158.5908656826</v>
      </c>
      <c r="D196" s="210">
        <v>115806.69826929308</v>
      </c>
      <c r="E196" s="211">
        <v>71850.427301611518</v>
      </c>
      <c r="F196" s="210">
        <v>394936.08643463557</v>
      </c>
      <c r="G196" s="212">
        <v>610751.80287122272</v>
      </c>
      <c r="H196" s="293">
        <v>658.91700000000003</v>
      </c>
      <c r="I196" s="293">
        <v>2669.8709598399996</v>
      </c>
      <c r="J196" s="297">
        <v>544.81786240999998</v>
      </c>
      <c r="K196" s="213">
        <v>5846.0067053005996</v>
      </c>
      <c r="L196" s="211">
        <v>101666.27468922634</v>
      </c>
      <c r="M196" s="294">
        <v>258.90709036369998</v>
      </c>
      <c r="N196" s="218">
        <v>45422.94097523349</v>
      </c>
      <c r="O196" s="298">
        <v>837528.36014006799</v>
      </c>
      <c r="P196" s="293">
        <v>2715.5322607255866</v>
      </c>
      <c r="Q196" s="294">
        <v>24938.611197876184</v>
      </c>
      <c r="R196" s="296">
        <v>40457.421742769839</v>
      </c>
    </row>
    <row r="197" spans="1:19" ht="15.75" hidden="1" customHeight="1">
      <c r="A197" s="227" t="s">
        <v>236</v>
      </c>
      <c r="B197" s="212">
        <v>69811.232807923821</v>
      </c>
      <c r="C197" s="210">
        <v>28069.971441576639</v>
      </c>
      <c r="D197" s="210">
        <v>116689.99198776182</v>
      </c>
      <c r="E197" s="211">
        <v>72775.969485212001</v>
      </c>
      <c r="F197" s="210">
        <v>395447.09165531205</v>
      </c>
      <c r="G197" s="212">
        <v>612983.02456986252</v>
      </c>
      <c r="H197" s="293">
        <v>664.99199999999996</v>
      </c>
      <c r="I197" s="293">
        <v>1876.6600001796</v>
      </c>
      <c r="J197" s="297">
        <v>596.49269889000004</v>
      </c>
      <c r="K197" s="213">
        <v>7062.0755323124395</v>
      </c>
      <c r="L197" s="211">
        <v>94597.841468001847</v>
      </c>
      <c r="M197" s="294">
        <v>261.33919234705996</v>
      </c>
      <c r="N197" s="218">
        <v>54024.731617983125</v>
      </c>
      <c r="O197" s="298">
        <v>841878.38988750032</v>
      </c>
      <c r="P197" s="293">
        <v>2698.9364488039237</v>
      </c>
      <c r="Q197" s="294">
        <v>26535.341211770436</v>
      </c>
      <c r="R197" s="296">
        <v>41496.152804299374</v>
      </c>
    </row>
    <row r="198" spans="1:19" ht="15.75" hidden="1" customHeight="1">
      <c r="A198" s="219">
        <v>40483</v>
      </c>
      <c r="B198" s="212">
        <v>71819.55398807906</v>
      </c>
      <c r="C198" s="210">
        <v>29345.241082260334</v>
      </c>
      <c r="D198" s="210">
        <v>116312.2510405466</v>
      </c>
      <c r="E198" s="211">
        <v>74901.84571583246</v>
      </c>
      <c r="F198" s="210">
        <v>398861.89993510942</v>
      </c>
      <c r="G198" s="212">
        <v>619421.23777374881</v>
      </c>
      <c r="H198" s="293">
        <v>658.99199999999996</v>
      </c>
      <c r="I198" s="293">
        <v>4308.4024994402798</v>
      </c>
      <c r="J198" s="297">
        <v>991.04507108999996</v>
      </c>
      <c r="K198" s="213">
        <v>8280.4925598495392</v>
      </c>
      <c r="L198" s="211">
        <v>92509.907109523716</v>
      </c>
      <c r="M198" s="294">
        <v>296.15530191341998</v>
      </c>
      <c r="N198" s="218">
        <v>56719.292914647733</v>
      </c>
      <c r="O198" s="298">
        <v>855005.07921829249</v>
      </c>
      <c r="P198" s="293">
        <v>2750.5133399917759</v>
      </c>
      <c r="Q198" s="294">
        <v>26772.55397464706</v>
      </c>
      <c r="R198" s="296">
        <v>41911.244149020196</v>
      </c>
    </row>
    <row r="199" spans="1:19" ht="15.75" hidden="1" customHeight="1">
      <c r="A199" s="219">
        <v>40516</v>
      </c>
      <c r="B199" s="212">
        <v>71958.184168184671</v>
      </c>
      <c r="C199" s="210">
        <v>32673.637819172611</v>
      </c>
      <c r="D199" s="210">
        <v>121023.3822818949</v>
      </c>
      <c r="E199" s="211">
        <v>73718.453441072648</v>
      </c>
      <c r="F199" s="210">
        <v>405381.70867787389</v>
      </c>
      <c r="G199" s="212">
        <v>632797.18222001405</v>
      </c>
      <c r="H199" s="293">
        <v>843.41600000000005</v>
      </c>
      <c r="I199" s="293">
        <v>5232.7412640064977</v>
      </c>
      <c r="J199" s="297">
        <v>975.03363002999993</v>
      </c>
      <c r="K199" s="213">
        <v>4269.4683195600001</v>
      </c>
      <c r="L199" s="211">
        <v>85682.043937697104</v>
      </c>
      <c r="M199" s="294">
        <v>198.71203370812003</v>
      </c>
      <c r="N199" s="218">
        <v>61510.666985200674</v>
      </c>
      <c r="O199" s="298">
        <v>863467.44855840108</v>
      </c>
      <c r="P199" s="293">
        <v>2859.652860248671</v>
      </c>
      <c r="Q199" s="294">
        <v>26960.933966428613</v>
      </c>
      <c r="R199" s="296">
        <v>42633.226976758349</v>
      </c>
    </row>
    <row r="200" spans="1:19" ht="15.75" hidden="1" customHeight="1">
      <c r="A200" s="219">
        <v>40547</v>
      </c>
      <c r="B200" s="212">
        <v>74047.987046456576</v>
      </c>
      <c r="C200" s="210">
        <v>31288.605026666588</v>
      </c>
      <c r="D200" s="210">
        <v>122498.978109989</v>
      </c>
      <c r="E200" s="211">
        <v>72211.759921383491</v>
      </c>
      <c r="F200" s="210">
        <v>401444.17940840899</v>
      </c>
      <c r="G200" s="212">
        <v>627443.52246644802</v>
      </c>
      <c r="H200" s="293">
        <v>717.59400000000005</v>
      </c>
      <c r="I200" s="293">
        <v>3357.6084247100002</v>
      </c>
      <c r="J200" s="297">
        <v>964.52194749</v>
      </c>
      <c r="K200" s="213">
        <v>6602.1330069706819</v>
      </c>
      <c r="L200" s="211">
        <v>79903.781870258084</v>
      </c>
      <c r="M200" s="294">
        <v>260.22613338603406</v>
      </c>
      <c r="N200" s="218">
        <v>56781.474286654178</v>
      </c>
      <c r="O200" s="298">
        <v>850078.84918237349</v>
      </c>
      <c r="P200" s="293">
        <v>2829.0815550333891</v>
      </c>
      <c r="Q200" s="294">
        <v>24828.466673689371</v>
      </c>
      <c r="R200" s="296">
        <v>42577.222749494111</v>
      </c>
    </row>
    <row r="201" spans="1:19" ht="15.75" hidden="1" customHeight="1">
      <c r="A201" s="219">
        <v>40578</v>
      </c>
      <c r="B201" s="212">
        <v>74853.636671657572</v>
      </c>
      <c r="C201" s="210">
        <v>30362.404696405716</v>
      </c>
      <c r="D201" s="210">
        <v>125350.91506899617</v>
      </c>
      <c r="E201" s="211">
        <v>69858.125045171881</v>
      </c>
      <c r="F201" s="210">
        <v>402591.59376523638</v>
      </c>
      <c r="G201" s="212">
        <v>628163.03857581015</v>
      </c>
      <c r="H201" s="293">
        <v>952.37</v>
      </c>
      <c r="I201" s="293">
        <v>4986.6584145321995</v>
      </c>
      <c r="J201" s="297">
        <v>964.26194749000001</v>
      </c>
      <c r="K201" s="213">
        <v>5400.817612978899</v>
      </c>
      <c r="L201" s="211">
        <v>81804.495652096724</v>
      </c>
      <c r="M201" s="294">
        <v>282.56577364748892</v>
      </c>
      <c r="N201" s="218">
        <v>57912.447611142008</v>
      </c>
      <c r="O201" s="298">
        <v>855320.29225935496</v>
      </c>
      <c r="P201" s="293">
        <v>2646.7960228920742</v>
      </c>
      <c r="Q201" s="294">
        <v>27818.897027598854</v>
      </c>
      <c r="R201" s="296">
        <v>43867.195843430054</v>
      </c>
    </row>
    <row r="202" spans="1:19" ht="15.75" hidden="1" customHeight="1">
      <c r="A202" s="219">
        <v>40606</v>
      </c>
      <c r="B202" s="212">
        <v>76789.355354269515</v>
      </c>
      <c r="C202" s="210">
        <v>30110.77207123808</v>
      </c>
      <c r="D202" s="210">
        <v>125789.94411874903</v>
      </c>
      <c r="E202" s="211">
        <v>69454.516815334442</v>
      </c>
      <c r="F202" s="210">
        <v>372193.8817414756</v>
      </c>
      <c r="G202" s="212">
        <v>597549.11474679713</v>
      </c>
      <c r="H202" s="293">
        <v>1120.8430000000001</v>
      </c>
      <c r="I202" s="293">
        <v>3662.2113458216004</v>
      </c>
      <c r="J202" s="297">
        <v>206.23537719999999</v>
      </c>
      <c r="K202" s="213">
        <v>3501.8580761788139</v>
      </c>
      <c r="L202" s="211">
        <v>80573.079040452387</v>
      </c>
      <c r="M202" s="294">
        <v>275.55106499726401</v>
      </c>
      <c r="N202" s="218">
        <v>61493.759920640921</v>
      </c>
      <c r="O202" s="298">
        <v>825172.00792635768</v>
      </c>
      <c r="P202" s="293">
        <v>2646.6184642214239</v>
      </c>
      <c r="Q202" s="294">
        <v>28354.504783170109</v>
      </c>
      <c r="R202" s="296">
        <v>44588.035072971819</v>
      </c>
    </row>
    <row r="203" spans="1:19" ht="15.75" hidden="1" customHeight="1">
      <c r="A203" s="219">
        <v>40637</v>
      </c>
      <c r="B203" s="212">
        <v>76456.287781692372</v>
      </c>
      <c r="C203" s="210">
        <v>30195.506958344908</v>
      </c>
      <c r="D203" s="210">
        <v>127277.36113852791</v>
      </c>
      <c r="E203" s="211">
        <v>69103.301405043414</v>
      </c>
      <c r="F203" s="210">
        <v>402319.98389230797</v>
      </c>
      <c r="G203" s="212">
        <v>628896.15339422412</v>
      </c>
      <c r="H203" s="293">
        <v>1335.222</v>
      </c>
      <c r="I203" s="293">
        <v>3628.0564652045</v>
      </c>
      <c r="J203" s="297">
        <v>194.97344360999998</v>
      </c>
      <c r="K203" s="213">
        <v>2932.404509</v>
      </c>
      <c r="L203" s="211">
        <v>92964.283602078969</v>
      </c>
      <c r="M203" s="294">
        <v>299.16057685304497</v>
      </c>
      <c r="N203" s="218">
        <v>49933.369513303514</v>
      </c>
      <c r="O203" s="298">
        <v>856639.91128596652</v>
      </c>
      <c r="P203" s="293">
        <v>2665.9516886849851</v>
      </c>
      <c r="Q203" s="294">
        <v>24509.200000000001</v>
      </c>
      <c r="R203" s="296">
        <v>47047.520488739028</v>
      </c>
    </row>
    <row r="204" spans="1:19" ht="15.75" hidden="1" customHeight="1">
      <c r="A204" s="219">
        <v>40667</v>
      </c>
      <c r="B204" s="212">
        <v>75743.364788620805</v>
      </c>
      <c r="C204" s="210">
        <v>30702.244648725151</v>
      </c>
      <c r="D204" s="210">
        <v>124162.58745766095</v>
      </c>
      <c r="E204" s="211">
        <v>69671.653472228849</v>
      </c>
      <c r="F204" s="210">
        <v>380544.03353076626</v>
      </c>
      <c r="G204" s="212">
        <v>605080.51910938125</v>
      </c>
      <c r="H204" s="293">
        <v>1103.53</v>
      </c>
      <c r="I204" s="293">
        <v>4062.3501496975314</v>
      </c>
      <c r="J204" s="297">
        <v>595.30344361000004</v>
      </c>
      <c r="K204" s="213">
        <v>3258.8127845355566</v>
      </c>
      <c r="L204" s="211">
        <v>72877.70659559971</v>
      </c>
      <c r="M204" s="294">
        <v>360.21468015017592</v>
      </c>
      <c r="N204" s="218">
        <v>63214.590903155535</v>
      </c>
      <c r="O204" s="298">
        <v>826296.3924547506</v>
      </c>
      <c r="P204" s="293">
        <v>2633.1786993020978</v>
      </c>
      <c r="Q204" s="294">
        <v>26977.951248752091</v>
      </c>
      <c r="R204" s="296">
        <v>47346.651298817073</v>
      </c>
    </row>
    <row r="205" spans="1:19" ht="15.75" hidden="1" customHeight="1">
      <c r="A205" s="219">
        <v>40698</v>
      </c>
      <c r="B205" s="212">
        <v>75418.780908623216</v>
      </c>
      <c r="C205" s="210">
        <v>32314.753671814229</v>
      </c>
      <c r="D205" s="210">
        <v>126316.97466999752</v>
      </c>
      <c r="E205" s="211">
        <v>70253.61582255215</v>
      </c>
      <c r="F205" s="210">
        <v>411103.27486864943</v>
      </c>
      <c r="G205" s="212">
        <v>639988.61903301335</v>
      </c>
      <c r="H205" s="293">
        <v>1113.778</v>
      </c>
      <c r="I205" s="293">
        <v>8807.9412896494414</v>
      </c>
      <c r="J205" s="297">
        <v>179.43377349000002</v>
      </c>
      <c r="K205" s="213">
        <v>3354.4412090664</v>
      </c>
      <c r="L205" s="211">
        <v>83245.746823911497</v>
      </c>
      <c r="M205" s="294">
        <v>333.593312587078</v>
      </c>
      <c r="N205" s="218">
        <v>62634.729257178449</v>
      </c>
      <c r="O205" s="298">
        <v>875077.06360751949</v>
      </c>
      <c r="P205" s="293">
        <v>2603.3067927765378</v>
      </c>
      <c r="Q205" s="294">
        <v>26632.993703269691</v>
      </c>
      <c r="R205" s="296">
        <v>49109.966994062182</v>
      </c>
    </row>
    <row r="206" spans="1:19" ht="15.75" hidden="1" customHeight="1">
      <c r="A206" s="219">
        <v>40728</v>
      </c>
      <c r="B206" s="212">
        <v>78585.051613898977</v>
      </c>
      <c r="C206" s="210">
        <v>31720.918188238265</v>
      </c>
      <c r="D206" s="210">
        <v>126653.07644592701</v>
      </c>
      <c r="E206" s="211">
        <v>70247.93777623566</v>
      </c>
      <c r="F206" s="210">
        <v>389723.32285252446</v>
      </c>
      <c r="G206" s="212">
        <v>618345.25526292541</v>
      </c>
      <c r="H206" s="293">
        <v>1262.942</v>
      </c>
      <c r="I206" s="293">
        <v>7933.1365532320006</v>
      </c>
      <c r="J206" s="297">
        <v>1751.7216656400001</v>
      </c>
      <c r="K206" s="213">
        <v>305.82475157700003</v>
      </c>
      <c r="L206" s="211">
        <v>90804.137829566462</v>
      </c>
      <c r="M206" s="294">
        <v>348.38155762139502</v>
      </c>
      <c r="N206" s="218">
        <v>54609.295382354954</v>
      </c>
      <c r="O206" s="298">
        <v>853945.74661681615</v>
      </c>
      <c r="P206" s="293">
        <v>2462.0230517719156</v>
      </c>
      <c r="Q206" s="294">
        <v>26767.340365850243</v>
      </c>
      <c r="R206" s="296">
        <v>48995.382306296371</v>
      </c>
      <c r="S206" s="218"/>
    </row>
    <row r="207" spans="1:19" ht="15.75" hidden="1" customHeight="1">
      <c r="A207" s="219">
        <v>40759</v>
      </c>
      <c r="B207" s="212">
        <v>83513.63737184956</v>
      </c>
      <c r="C207" s="210">
        <v>32649.066461258</v>
      </c>
      <c r="D207" s="210">
        <v>126916.60251138601</v>
      </c>
      <c r="E207" s="211">
        <v>70622.341774945497</v>
      </c>
      <c r="F207" s="210">
        <v>376917.27474054921</v>
      </c>
      <c r="G207" s="212">
        <v>607105.28548813867</v>
      </c>
      <c r="H207" s="293">
        <v>1525.6179669999999</v>
      </c>
      <c r="I207" s="293">
        <v>3772.7239561060001</v>
      </c>
      <c r="J207" s="297">
        <v>1030.6016440000001</v>
      </c>
      <c r="K207" s="213">
        <v>3069.0622507974999</v>
      </c>
      <c r="L207" s="211">
        <v>94995.251343593016</v>
      </c>
      <c r="M207" s="294">
        <v>315.24851019800002</v>
      </c>
      <c r="N207" s="218">
        <v>47358.553310397372</v>
      </c>
      <c r="O207" s="298">
        <v>842685.98184208001</v>
      </c>
      <c r="P207" s="293">
        <v>2535.9199841785003</v>
      </c>
      <c r="Q207" s="294">
        <v>26014.205287048499</v>
      </c>
      <c r="R207" s="296">
        <v>49651.359854466937</v>
      </c>
      <c r="S207" s="218"/>
    </row>
    <row r="208" spans="1:19" ht="15.75" hidden="1" customHeight="1">
      <c r="A208" s="219">
        <v>40790</v>
      </c>
      <c r="B208" s="212">
        <v>85113.952867349668</v>
      </c>
      <c r="C208" s="210">
        <v>33515.651613825801</v>
      </c>
      <c r="D208" s="210">
        <v>126974.66010586319</v>
      </c>
      <c r="E208" s="211">
        <v>71003.748970558998</v>
      </c>
      <c r="F208" s="210">
        <v>381492.103888679</v>
      </c>
      <c r="G208" s="212">
        <v>612986.16457892698</v>
      </c>
      <c r="H208" s="293">
        <v>1119.211</v>
      </c>
      <c r="I208" s="293">
        <v>5476.6288919655999</v>
      </c>
      <c r="J208" s="297">
        <v>724.05278499999997</v>
      </c>
      <c r="K208" s="213">
        <v>3922.798037</v>
      </c>
      <c r="L208" s="211">
        <v>104003.16297190395</v>
      </c>
      <c r="M208" s="294">
        <v>308.32020056019996</v>
      </c>
      <c r="N208" s="218">
        <v>57154.047460545866</v>
      </c>
      <c r="O208" s="298">
        <v>870808.33879325213</v>
      </c>
      <c r="P208" s="293">
        <v>2597.2604368578</v>
      </c>
      <c r="Q208" s="294">
        <v>27323.143967645599</v>
      </c>
      <c r="R208" s="296">
        <v>47860.403664682999</v>
      </c>
      <c r="S208" s="218"/>
    </row>
    <row r="209" spans="1:19" ht="15.75" hidden="1" customHeight="1">
      <c r="A209" s="219">
        <v>40820</v>
      </c>
      <c r="B209" s="212">
        <v>83604.5</v>
      </c>
      <c r="C209" s="210">
        <v>32843.699999999997</v>
      </c>
      <c r="D209" s="210">
        <v>127213.2</v>
      </c>
      <c r="E209" s="211">
        <v>71351.100000000006</v>
      </c>
      <c r="F209" s="210">
        <v>377609</v>
      </c>
      <c r="G209" s="212">
        <v>609017.1</v>
      </c>
      <c r="H209" s="293">
        <v>2084.1</v>
      </c>
      <c r="I209" s="293">
        <v>4607</v>
      </c>
      <c r="J209" s="297">
        <v>911.3</v>
      </c>
      <c r="K209" s="213">
        <v>3910.4</v>
      </c>
      <c r="L209" s="211">
        <v>109553.3</v>
      </c>
      <c r="M209" s="294">
        <v>318.89999999999998</v>
      </c>
      <c r="N209" s="218">
        <v>60165.599999999999</v>
      </c>
      <c r="O209" s="298">
        <v>874172.2</v>
      </c>
      <c r="P209" s="293">
        <v>2738.358101460447</v>
      </c>
      <c r="Q209" s="294">
        <v>28017.652141925264</v>
      </c>
      <c r="R209" s="296">
        <v>46216.42294878247</v>
      </c>
      <c r="S209" s="218"/>
    </row>
    <row r="210" spans="1:19" ht="15.75" hidden="1" customHeight="1">
      <c r="A210" s="219">
        <v>40851</v>
      </c>
      <c r="B210" s="212">
        <v>85341.287007083054</v>
      </c>
      <c r="C210" s="210">
        <v>33745.1397557608</v>
      </c>
      <c r="D210" s="210">
        <v>127172.70092677772</v>
      </c>
      <c r="E210" s="211">
        <v>71453.389077017811</v>
      </c>
      <c r="F210" s="210">
        <v>430756.73283985478</v>
      </c>
      <c r="G210" s="212">
        <v>663127.96259941114</v>
      </c>
      <c r="H210" s="293">
        <v>1071.5450000000001</v>
      </c>
      <c r="I210" s="293">
        <v>3956.188830539917</v>
      </c>
      <c r="J210" s="297">
        <v>1067.5176299799998</v>
      </c>
      <c r="K210" s="213">
        <v>4928.5981398961239</v>
      </c>
      <c r="L210" s="211">
        <v>99983.950569355657</v>
      </c>
      <c r="M210" s="294">
        <v>608.77041252340791</v>
      </c>
      <c r="N210" s="218">
        <v>64138.715578088493</v>
      </c>
      <c r="O210" s="298">
        <v>924224.53576687793</v>
      </c>
      <c r="P210" s="293">
        <v>2755.7193201143809</v>
      </c>
      <c r="Q210" s="294">
        <v>29792.334706412927</v>
      </c>
      <c r="R210" s="296">
        <v>50108.563052711856</v>
      </c>
      <c r="S210" s="218"/>
    </row>
    <row r="211" spans="1:19" ht="15.75" hidden="1" customHeight="1">
      <c r="A211" s="219">
        <v>40881</v>
      </c>
      <c r="B211" s="212">
        <v>83809.825626176127</v>
      </c>
      <c r="C211" s="210">
        <v>36033.443504546158</v>
      </c>
      <c r="D211" s="210">
        <v>132425.0388905812</v>
      </c>
      <c r="E211" s="211">
        <v>72181.618174025338</v>
      </c>
      <c r="F211" s="210">
        <v>372016.90833563538</v>
      </c>
      <c r="G211" s="212">
        <v>612657.00890478806</v>
      </c>
      <c r="H211" s="293">
        <v>1042.915</v>
      </c>
      <c r="I211" s="293">
        <v>6005.4004488969003</v>
      </c>
      <c r="J211" s="297">
        <v>1114.8821868599998</v>
      </c>
      <c r="K211" s="213">
        <v>5193.1934919624</v>
      </c>
      <c r="L211" s="211">
        <v>109465.72838847182</v>
      </c>
      <c r="M211" s="294">
        <v>368.97363175252798</v>
      </c>
      <c r="N211" s="218">
        <v>63303.988222508458</v>
      </c>
      <c r="O211" s="298">
        <v>882961.91590141621</v>
      </c>
      <c r="P211" s="293">
        <v>2884.7155837824475</v>
      </c>
      <c r="Q211" s="294">
        <v>28366.883551936127</v>
      </c>
      <c r="R211" s="296">
        <v>51669.554598906543</v>
      </c>
      <c r="S211" s="218"/>
    </row>
    <row r="212" spans="1:19" ht="15.75" hidden="1" customHeight="1">
      <c r="A212" s="219">
        <v>40912</v>
      </c>
      <c r="B212" s="212">
        <v>84758.099934525875</v>
      </c>
      <c r="C212" s="210">
        <v>35994.433152732134</v>
      </c>
      <c r="D212" s="210">
        <v>132814.2099145664</v>
      </c>
      <c r="E212" s="211">
        <v>70973.653296346049</v>
      </c>
      <c r="F212" s="210">
        <v>346577.08356266248</v>
      </c>
      <c r="G212" s="212">
        <v>586359.37992630713</v>
      </c>
      <c r="H212" s="293">
        <v>1481.6949999999999</v>
      </c>
      <c r="I212" s="293">
        <v>3766.7715452600423</v>
      </c>
      <c r="J212" s="297">
        <v>1091.41321634</v>
      </c>
      <c r="K212" s="213">
        <v>3185.3655339797301</v>
      </c>
      <c r="L212" s="211">
        <v>115355.29027617861</v>
      </c>
      <c r="M212" s="294">
        <v>434.13260952365994</v>
      </c>
      <c r="N212" s="218">
        <v>59752.185234568191</v>
      </c>
      <c r="O212" s="298">
        <v>856184.33327668335</v>
      </c>
      <c r="P212" s="293">
        <v>2821.7123677397631</v>
      </c>
      <c r="Q212" s="294">
        <v>28813.052995399325</v>
      </c>
      <c r="R212" s="296">
        <v>49916.131804591445</v>
      </c>
      <c r="S212" s="218"/>
    </row>
    <row r="213" spans="1:19" ht="15.75" hidden="1" customHeight="1">
      <c r="A213" s="219">
        <v>40943</v>
      </c>
      <c r="B213" s="212">
        <v>84859.899867073589</v>
      </c>
      <c r="C213" s="210">
        <v>35068.282943368475</v>
      </c>
      <c r="D213" s="210">
        <v>134939.53384215693</v>
      </c>
      <c r="E213" s="211">
        <v>69704.701686358734</v>
      </c>
      <c r="F213" s="210">
        <v>355238.7194571257</v>
      </c>
      <c r="G213" s="212">
        <v>594951.23792900983</v>
      </c>
      <c r="H213" s="293">
        <v>1515.202</v>
      </c>
      <c r="I213" s="293">
        <v>3103.0469215846401</v>
      </c>
      <c r="J213" s="297">
        <v>1099.7932091700002</v>
      </c>
      <c r="K213" s="213">
        <v>701.66408002906599</v>
      </c>
      <c r="L213" s="211">
        <v>111905.48699807325</v>
      </c>
      <c r="M213" s="294">
        <v>427.30459541964598</v>
      </c>
      <c r="N213" s="218">
        <v>61883.695068951522</v>
      </c>
      <c r="O213" s="298">
        <v>860447.33066931169</v>
      </c>
      <c r="P213" s="293">
        <v>2759.411751148617</v>
      </c>
      <c r="Q213" s="294">
        <v>29158.089065161621</v>
      </c>
      <c r="R213" s="296">
        <v>49456.438670597287</v>
      </c>
      <c r="S213" s="218"/>
    </row>
    <row r="214" spans="1:19" ht="15.75" hidden="1" customHeight="1">
      <c r="A214" s="219">
        <v>40972</v>
      </c>
      <c r="B214" s="212">
        <v>87766.875483462922</v>
      </c>
      <c r="C214" s="210">
        <v>34553.902894812614</v>
      </c>
      <c r="D214" s="210">
        <v>135882.10005695315</v>
      </c>
      <c r="E214" s="211">
        <v>70872.015047895955</v>
      </c>
      <c r="F214" s="210">
        <v>411038.85604893375</v>
      </c>
      <c r="G214" s="212">
        <v>652346.87404859543</v>
      </c>
      <c r="H214" s="293">
        <v>1478.809</v>
      </c>
      <c r="I214" s="293">
        <v>6344.8398908775007</v>
      </c>
      <c r="J214" s="297">
        <v>1099.0506297099998</v>
      </c>
      <c r="K214" s="213">
        <v>1554.7469978331999</v>
      </c>
      <c r="L214" s="211">
        <v>105675.52312420629</v>
      </c>
      <c r="M214" s="294">
        <v>460.90758538229551</v>
      </c>
      <c r="N214" s="218">
        <v>57634.144197996582</v>
      </c>
      <c r="O214" s="298">
        <v>914361.77095806436</v>
      </c>
      <c r="P214" s="293">
        <v>2885.45057107393</v>
      </c>
      <c r="Q214" s="294">
        <v>22976.781313039559</v>
      </c>
      <c r="R214" s="296">
        <v>48682.216322745699</v>
      </c>
      <c r="S214" s="218"/>
    </row>
    <row r="215" spans="1:19" ht="15.75" hidden="1" customHeight="1">
      <c r="A215" s="219">
        <v>41003</v>
      </c>
      <c r="B215" s="212">
        <v>89176.489317551852</v>
      </c>
      <c r="C215" s="210">
        <v>35025.171655382081</v>
      </c>
      <c r="D215" s="210">
        <v>134899.50693514047</v>
      </c>
      <c r="E215" s="211">
        <v>70776.944392959427</v>
      </c>
      <c r="F215" s="210">
        <v>413604.75025362393</v>
      </c>
      <c r="G215" s="212">
        <v>654306.3732371059</v>
      </c>
      <c r="H215" s="293">
        <v>1556.537</v>
      </c>
      <c r="I215" s="293">
        <v>5801.6094873497896</v>
      </c>
      <c r="J215" s="297">
        <v>1080.7483627700001</v>
      </c>
      <c r="K215" s="213">
        <v>1167.9430645350139</v>
      </c>
      <c r="L215" s="211">
        <v>106091.22996343728</v>
      </c>
      <c r="M215" s="294">
        <v>406.22929911051796</v>
      </c>
      <c r="N215" s="218">
        <v>58454.321538450604</v>
      </c>
      <c r="O215" s="298">
        <v>918041.48127031082</v>
      </c>
      <c r="P215" s="293">
        <v>2790.1429762011853</v>
      </c>
      <c r="Q215" s="294">
        <v>22428.198355347962</v>
      </c>
      <c r="R215" s="296">
        <v>47816.856658170429</v>
      </c>
      <c r="S215" s="218"/>
    </row>
    <row r="216" spans="1:19" ht="15.75" hidden="1" customHeight="1">
      <c r="A216" s="219">
        <v>41033</v>
      </c>
      <c r="B216" s="212">
        <v>91156.019585703049</v>
      </c>
      <c r="C216" s="210">
        <v>34945.694702214802</v>
      </c>
      <c r="D216" s="210">
        <v>134116.2918903417</v>
      </c>
      <c r="E216" s="211">
        <v>75286.2817948374</v>
      </c>
      <c r="F216" s="210">
        <v>425156.63291932363</v>
      </c>
      <c r="G216" s="212">
        <v>669504.90130671754</v>
      </c>
      <c r="H216" s="293">
        <v>1632.962</v>
      </c>
      <c r="I216" s="293">
        <v>3586.473140854333</v>
      </c>
      <c r="J216" s="297">
        <v>49.19253057000001</v>
      </c>
      <c r="K216" s="213">
        <v>2052.9093821399997</v>
      </c>
      <c r="L216" s="211">
        <v>103244.94422507088</v>
      </c>
      <c r="M216" s="294">
        <v>404.15151633362996</v>
      </c>
      <c r="N216" s="218">
        <v>67724.628858044613</v>
      </c>
      <c r="O216" s="298">
        <v>939356.18254543422</v>
      </c>
      <c r="P216" s="293">
        <v>2887.5245964966307</v>
      </c>
      <c r="Q216" s="294">
        <v>26897.386207970292</v>
      </c>
      <c r="R216" s="296">
        <v>49131.265151558451</v>
      </c>
      <c r="S216" s="218"/>
    </row>
    <row r="217" spans="1:19" ht="15.75" hidden="1" customHeight="1">
      <c r="A217" s="219">
        <v>41064</v>
      </c>
      <c r="B217" s="212">
        <v>91384.349566698365</v>
      </c>
      <c r="C217" s="210">
        <v>36269.300144301204</v>
      </c>
      <c r="D217" s="210">
        <v>136714.59807530811</v>
      </c>
      <c r="E217" s="211">
        <v>75783.123382673628</v>
      </c>
      <c r="F217" s="210">
        <v>369930.90738595295</v>
      </c>
      <c r="G217" s="212">
        <v>618697.92898823589</v>
      </c>
      <c r="H217" s="293">
        <v>1876.806</v>
      </c>
      <c r="I217" s="293">
        <v>3925.9665552144957</v>
      </c>
      <c r="J217" s="297">
        <v>412.99217190999997</v>
      </c>
      <c r="K217" s="213">
        <v>2728.6366338249836</v>
      </c>
      <c r="L217" s="211">
        <v>122329.52647481611</v>
      </c>
      <c r="M217" s="294">
        <v>487.65999416487853</v>
      </c>
      <c r="N217" s="218">
        <v>68455.999422508961</v>
      </c>
      <c r="O217" s="298">
        <v>910299.86580737366</v>
      </c>
      <c r="P217" s="293">
        <v>3083.6774514934064</v>
      </c>
      <c r="Q217" s="294">
        <v>24242.75302641427</v>
      </c>
      <c r="R217" s="296">
        <v>49790.801942226535</v>
      </c>
      <c r="S217" s="218"/>
    </row>
    <row r="218" spans="1:19" ht="15.75" hidden="1" customHeight="1">
      <c r="A218" s="219">
        <v>41094</v>
      </c>
      <c r="B218" s="212">
        <v>98382.627742234064</v>
      </c>
      <c r="C218" s="210">
        <v>35496.121872483913</v>
      </c>
      <c r="D218" s="210">
        <v>136630.76520391487</v>
      </c>
      <c r="E218" s="211">
        <v>77682.339250770237</v>
      </c>
      <c r="F218" s="210">
        <v>395364.27094781742</v>
      </c>
      <c r="G218" s="212">
        <v>645173.49727498647</v>
      </c>
      <c r="H218" s="293">
        <v>2072.1239999999998</v>
      </c>
      <c r="I218" s="293">
        <v>3249.7536127762878</v>
      </c>
      <c r="J218" s="297">
        <v>146.05067693000001</v>
      </c>
      <c r="K218" s="213">
        <v>2751.2126752029826</v>
      </c>
      <c r="L218" s="211">
        <v>124101.68618888553</v>
      </c>
      <c r="M218" s="294">
        <v>395.43364768092817</v>
      </c>
      <c r="N218" s="218">
        <v>57484.145346347701</v>
      </c>
      <c r="O218" s="298">
        <v>933756.53116504382</v>
      </c>
      <c r="P218" s="293">
        <v>2970.4374520983065</v>
      </c>
      <c r="Q218" s="294">
        <v>24868.537926476474</v>
      </c>
      <c r="R218" s="296">
        <v>48822.314249406161</v>
      </c>
      <c r="S218" s="218"/>
    </row>
    <row r="219" spans="1:19" ht="15.75" hidden="1" customHeight="1">
      <c r="A219" s="219">
        <v>41125</v>
      </c>
      <c r="B219" s="212">
        <v>97907.611665978606</v>
      </c>
      <c r="C219" s="210">
        <v>35754.208645643441</v>
      </c>
      <c r="D219" s="210">
        <v>135650.61588188368</v>
      </c>
      <c r="E219" s="211">
        <v>77987.019456369351</v>
      </c>
      <c r="F219" s="210">
        <v>367616.12938914134</v>
      </c>
      <c r="G219" s="212">
        <v>617007.97337303776</v>
      </c>
      <c r="H219" s="293">
        <v>1955.866</v>
      </c>
      <c r="I219" s="293">
        <v>2357.4808087414003</v>
      </c>
      <c r="J219" s="297">
        <v>393.41489346000003</v>
      </c>
      <c r="K219" s="213">
        <v>4657.7173166195998</v>
      </c>
      <c r="L219" s="211">
        <v>114482.75394695339</v>
      </c>
      <c r="M219" s="294">
        <v>454.96120877411801</v>
      </c>
      <c r="N219" s="218">
        <v>60352.571566303937</v>
      </c>
      <c r="O219" s="298">
        <v>899570.35077986878</v>
      </c>
      <c r="P219" s="293">
        <v>1702.9001914878536</v>
      </c>
      <c r="Q219" s="294">
        <v>23146.837936082269</v>
      </c>
      <c r="R219" s="296">
        <v>49125.929034897556</v>
      </c>
      <c r="S219" s="218"/>
    </row>
    <row r="220" spans="1:19" ht="15.75" hidden="1" customHeight="1">
      <c r="A220" s="219">
        <v>41156</v>
      </c>
      <c r="B220" s="212">
        <v>96881.462614304997</v>
      </c>
      <c r="C220" s="210">
        <v>37030.468995217656</v>
      </c>
      <c r="D220" s="210">
        <v>136326.92188617151</v>
      </c>
      <c r="E220" s="211">
        <v>77467.350737829867</v>
      </c>
      <c r="F220" s="210">
        <v>385672.81742309337</v>
      </c>
      <c r="G220" s="212">
        <v>636497.55904231244</v>
      </c>
      <c r="H220" s="293">
        <v>2602.277</v>
      </c>
      <c r="I220" s="293">
        <v>5054.3314289325999</v>
      </c>
      <c r="J220" s="297">
        <v>733.80487335999999</v>
      </c>
      <c r="K220" s="213">
        <v>2917.7640274945998</v>
      </c>
      <c r="L220" s="211">
        <v>109620.85304694989</v>
      </c>
      <c r="M220" s="294">
        <v>521.980057976117</v>
      </c>
      <c r="N220" s="218">
        <v>60369.260861811767</v>
      </c>
      <c r="O220" s="298">
        <v>915199.29295314243</v>
      </c>
      <c r="P220" s="293">
        <v>1894.7533679080273</v>
      </c>
      <c r="Q220" s="294">
        <v>24988.138734956254</v>
      </c>
      <c r="R220" s="296">
        <v>48779.174670822809</v>
      </c>
      <c r="S220" s="218"/>
    </row>
    <row r="221" spans="1:19" ht="15.75" hidden="1" customHeight="1">
      <c r="A221" s="219">
        <v>41186</v>
      </c>
      <c r="B221" s="212">
        <v>97076.172045706786</v>
      </c>
      <c r="C221" s="210">
        <v>37064.39128620577</v>
      </c>
      <c r="D221" s="210">
        <v>136773.42095758097</v>
      </c>
      <c r="E221" s="211">
        <v>79028.251180180247</v>
      </c>
      <c r="F221" s="210">
        <v>407842.70777050621</v>
      </c>
      <c r="G221" s="212">
        <v>660708.77119447314</v>
      </c>
      <c r="H221" s="293">
        <v>2485.9369999999999</v>
      </c>
      <c r="I221" s="293">
        <v>5773.0419858782661</v>
      </c>
      <c r="J221" s="297">
        <v>1136.9511042399999</v>
      </c>
      <c r="K221" s="213">
        <v>2362.9800911197667</v>
      </c>
      <c r="L221" s="211">
        <v>107730.51994653618</v>
      </c>
      <c r="M221" s="294">
        <v>605.87070970520733</v>
      </c>
      <c r="N221" s="218">
        <v>61317.331878739889</v>
      </c>
      <c r="O221" s="298">
        <v>939197.5759563992</v>
      </c>
      <c r="P221" s="293">
        <v>2199.5915504234122</v>
      </c>
      <c r="Q221" s="294">
        <v>25512.491195062394</v>
      </c>
      <c r="R221" s="296">
        <v>54888.656902949697</v>
      </c>
      <c r="S221" s="218"/>
    </row>
    <row r="222" spans="1:19" ht="15.75" hidden="1" customHeight="1">
      <c r="A222" s="219">
        <v>41217</v>
      </c>
      <c r="B222" s="212">
        <v>97482.070865125366</v>
      </c>
      <c r="C222" s="210">
        <v>39064.807807585894</v>
      </c>
      <c r="D222" s="210">
        <v>138489.48924704039</v>
      </c>
      <c r="E222" s="211">
        <v>78044.768641169256</v>
      </c>
      <c r="F222" s="210">
        <v>410271.21637331153</v>
      </c>
      <c r="G222" s="212">
        <v>665870.28206910705</v>
      </c>
      <c r="H222" s="293">
        <v>2953.7240000000002</v>
      </c>
      <c r="I222" s="293">
        <v>6887.7218985971003</v>
      </c>
      <c r="J222" s="297">
        <v>1303.6555494700001</v>
      </c>
      <c r="K222" s="213">
        <v>3646.1320080641003</v>
      </c>
      <c r="L222" s="211">
        <v>117066.49395234675</v>
      </c>
      <c r="M222" s="294">
        <v>427.34712131923999</v>
      </c>
      <c r="N222" s="218">
        <v>60343.331037252436</v>
      </c>
      <c r="O222" s="298">
        <v>955980.75850128208</v>
      </c>
      <c r="P222" s="293">
        <v>1540.1135014479787</v>
      </c>
      <c r="Q222" s="294">
        <v>28097.316402587625</v>
      </c>
      <c r="R222" s="296">
        <v>54908.796404550099</v>
      </c>
      <c r="S222" s="218"/>
    </row>
    <row r="223" spans="1:19" ht="15.75" hidden="1" customHeight="1">
      <c r="A223" s="219">
        <v>41247</v>
      </c>
      <c r="B223" s="212">
        <v>101361.58656761546</v>
      </c>
      <c r="C223" s="210">
        <v>41808.676887730289</v>
      </c>
      <c r="D223" s="210">
        <v>143888.01180297983</v>
      </c>
      <c r="E223" s="211">
        <v>80502.059675700715</v>
      </c>
      <c r="F223" s="210">
        <v>425858.106576722</v>
      </c>
      <c r="G223" s="212">
        <v>692056.85494313273</v>
      </c>
      <c r="H223" s="293">
        <v>2645.3780000000002</v>
      </c>
      <c r="I223" s="293">
        <v>5655.3527691017334</v>
      </c>
      <c r="J223" s="297">
        <v>1683.54041646</v>
      </c>
      <c r="K223" s="213">
        <v>3240.2310300600002</v>
      </c>
      <c r="L223" s="211">
        <v>94514.342478617182</v>
      </c>
      <c r="M223" s="294">
        <v>387.41557493874535</v>
      </c>
      <c r="N223" s="218">
        <v>66575.490621872072</v>
      </c>
      <c r="O223" s="298">
        <v>968120.19240179798</v>
      </c>
      <c r="P223" s="293">
        <v>1208.2960913727682</v>
      </c>
      <c r="Q223" s="294">
        <v>31067.654204137452</v>
      </c>
      <c r="R223" s="296">
        <v>64923.748210942336</v>
      </c>
      <c r="S223" s="218"/>
    </row>
    <row r="224" spans="1:19" ht="15.75" hidden="1" customHeight="1">
      <c r="A224" s="219">
        <v>41278</v>
      </c>
      <c r="B224" s="212">
        <v>103641.42483111612</v>
      </c>
      <c r="C224" s="210">
        <v>38751.752792921485</v>
      </c>
      <c r="D224" s="210">
        <v>146025.27074579359</v>
      </c>
      <c r="E224" s="211">
        <v>77722.963236239171</v>
      </c>
      <c r="F224" s="210">
        <v>452468.23856931919</v>
      </c>
      <c r="G224" s="212">
        <v>714968.22534427349</v>
      </c>
      <c r="H224" s="293">
        <v>2554.8195999999998</v>
      </c>
      <c r="I224" s="293">
        <v>5743.2109549015995</v>
      </c>
      <c r="J224" s="297">
        <v>2005.1633440000001</v>
      </c>
      <c r="K224" s="213">
        <v>3375.5633542003002</v>
      </c>
      <c r="L224" s="211">
        <v>84045.245613034524</v>
      </c>
      <c r="M224" s="294">
        <v>754.16461722296003</v>
      </c>
      <c r="N224" s="218">
        <v>63197.498067439679</v>
      </c>
      <c r="O224" s="298">
        <v>980285.31572618883</v>
      </c>
      <c r="P224" s="293">
        <v>990.13897649769535</v>
      </c>
      <c r="Q224" s="294">
        <v>31565.876404111816</v>
      </c>
      <c r="R224" s="296">
        <v>64930.754908843934</v>
      </c>
      <c r="S224" s="218"/>
    </row>
    <row r="225" spans="1:19" ht="15.75" hidden="1" customHeight="1">
      <c r="A225" s="219">
        <v>41309</v>
      </c>
      <c r="B225" s="212">
        <v>106291.61916462411</v>
      </c>
      <c r="C225" s="210">
        <v>38916.4462463089</v>
      </c>
      <c r="D225" s="210">
        <v>147538.59328962941</v>
      </c>
      <c r="E225" s="211">
        <v>78434.000505821998</v>
      </c>
      <c r="F225" s="210">
        <v>385569.57175160054</v>
      </c>
      <c r="G225" s="212">
        <v>650458.61179336091</v>
      </c>
      <c r="H225" s="293">
        <v>2598.7691</v>
      </c>
      <c r="I225" s="293">
        <v>5309.8425065540005</v>
      </c>
      <c r="J225" s="297">
        <v>2087.05935615</v>
      </c>
      <c r="K225" s="213">
        <v>4666.6075818724994</v>
      </c>
      <c r="L225" s="211">
        <v>106916.12558513699</v>
      </c>
      <c r="M225" s="294">
        <v>807.00224155120009</v>
      </c>
      <c r="N225" s="218">
        <v>66439.043608616848</v>
      </c>
      <c r="O225" s="298">
        <v>945574.68093786656</v>
      </c>
      <c r="P225" s="293">
        <v>979.65441154156065</v>
      </c>
      <c r="Q225" s="294">
        <v>28510.423479334862</v>
      </c>
      <c r="R225" s="296">
        <v>54463.202254289885</v>
      </c>
      <c r="S225" s="218"/>
    </row>
    <row r="226" spans="1:19" ht="21" hidden="1" customHeight="1">
      <c r="A226" s="219">
        <v>41337</v>
      </c>
      <c r="B226" s="212">
        <v>107527.05209255208</v>
      </c>
      <c r="C226" s="210">
        <v>39164.301635152602</v>
      </c>
      <c r="D226" s="210">
        <v>149898.52133020444</v>
      </c>
      <c r="E226" s="211">
        <v>76186.218043362562</v>
      </c>
      <c r="F226" s="210">
        <v>419145.27462464356</v>
      </c>
      <c r="G226" s="212">
        <v>684394.31563336321</v>
      </c>
      <c r="H226" s="293">
        <v>2255.052584</v>
      </c>
      <c r="I226" s="293">
        <v>7383.2674957429999</v>
      </c>
      <c r="J226" s="297">
        <v>2074.5940845099999</v>
      </c>
      <c r="K226" s="213">
        <v>3777.6737054855994</v>
      </c>
      <c r="L226" s="211">
        <v>109820.4615187282</v>
      </c>
      <c r="M226" s="294">
        <v>466.03184701176593</v>
      </c>
      <c r="N226" s="218">
        <v>61967.026579957586</v>
      </c>
      <c r="O226" s="298">
        <v>979665.47554135148</v>
      </c>
      <c r="P226" s="293">
        <v>1047.8503617295296</v>
      </c>
      <c r="Q226" s="294">
        <v>31228.834401101027</v>
      </c>
      <c r="R226" s="296">
        <v>55486.063276284593</v>
      </c>
      <c r="S226" s="218"/>
    </row>
    <row r="227" spans="1:19" ht="21.6" hidden="1" customHeight="1">
      <c r="A227" s="219">
        <v>41368</v>
      </c>
      <c r="B227" s="299">
        <v>109069.37230200633</v>
      </c>
      <c r="C227" s="300">
        <v>37780.252607630988</v>
      </c>
      <c r="D227" s="300">
        <v>149015.76377286506</v>
      </c>
      <c r="E227" s="301">
        <v>75864.901121229472</v>
      </c>
      <c r="F227" s="300">
        <v>422102.52269197057</v>
      </c>
      <c r="G227" s="299">
        <v>684763.44019369606</v>
      </c>
      <c r="H227" s="302">
        <v>2378.9403200000002</v>
      </c>
      <c r="I227" s="302">
        <v>9905.0847239239647</v>
      </c>
      <c r="J227" s="303">
        <v>2252.31105316</v>
      </c>
      <c r="K227" s="304">
        <v>6177.3104167951415</v>
      </c>
      <c r="L227" s="301">
        <v>111499.81338063299</v>
      </c>
      <c r="M227" s="305">
        <v>414.760302605878</v>
      </c>
      <c r="N227" s="306">
        <v>65937.960919616671</v>
      </c>
      <c r="O227" s="307">
        <v>992398.99361243716</v>
      </c>
      <c r="P227" s="302">
        <v>1104.7091760099158</v>
      </c>
      <c r="Q227" s="305">
        <v>29123.561871476242</v>
      </c>
      <c r="R227" s="308">
        <v>52831.105038026442</v>
      </c>
      <c r="S227" s="218"/>
    </row>
    <row r="228" spans="1:19" ht="21.6" hidden="1" customHeight="1">
      <c r="A228" s="219">
        <v>41398</v>
      </c>
      <c r="B228" s="299">
        <v>106735.2740661859</v>
      </c>
      <c r="C228" s="300">
        <v>37540.20188631893</v>
      </c>
      <c r="D228" s="300">
        <v>150060.349384072</v>
      </c>
      <c r="E228" s="301">
        <v>75028.966918558406</v>
      </c>
      <c r="F228" s="300">
        <v>455763.45858387725</v>
      </c>
      <c r="G228" s="299">
        <v>718392.97677282663</v>
      </c>
      <c r="H228" s="302">
        <v>2453.9703140000001</v>
      </c>
      <c r="I228" s="302">
        <v>6335.933228955917</v>
      </c>
      <c r="J228" s="303">
        <v>1222.0581701100002</v>
      </c>
      <c r="K228" s="304">
        <v>4094.4430260318004</v>
      </c>
      <c r="L228" s="301">
        <v>116561.49309773525</v>
      </c>
      <c r="M228" s="305">
        <v>451.511737786548</v>
      </c>
      <c r="N228" s="306">
        <v>65592.476401083768</v>
      </c>
      <c r="O228" s="307">
        <v>1021840.1368147159</v>
      </c>
      <c r="P228" s="302">
        <v>1215.6319843220642</v>
      </c>
      <c r="Q228" s="305">
        <v>26541.251021432898</v>
      </c>
      <c r="R228" s="308">
        <v>51502.476273206819</v>
      </c>
      <c r="S228" s="218"/>
    </row>
    <row r="229" spans="1:19" ht="21.6" customHeight="1">
      <c r="A229" s="219">
        <v>41429</v>
      </c>
      <c r="B229" s="299">
        <v>108051.10349062947</v>
      </c>
      <c r="C229" s="300">
        <v>38547.35022861349</v>
      </c>
      <c r="D229" s="300">
        <v>152975.47512036291</v>
      </c>
      <c r="E229" s="301">
        <v>75141.590768111942</v>
      </c>
      <c r="F229" s="300">
        <v>421524.42024419096</v>
      </c>
      <c r="G229" s="299">
        <v>688188.83636127925</v>
      </c>
      <c r="H229" s="302">
        <v>2339.7638940000002</v>
      </c>
      <c r="I229" s="302">
        <v>4835.941547502629</v>
      </c>
      <c r="J229" s="303">
        <v>1484.4217406999999</v>
      </c>
      <c r="K229" s="304">
        <v>3451.6725393251668</v>
      </c>
      <c r="L229" s="301">
        <v>125085.50529765349</v>
      </c>
      <c r="M229" s="305">
        <v>450.34510120137918</v>
      </c>
      <c r="N229" s="306">
        <v>69467.391842437864</v>
      </c>
      <c r="O229" s="307">
        <v>1003354.9818147292</v>
      </c>
      <c r="P229" s="302">
        <v>1271.0925735450653</v>
      </c>
      <c r="Q229" s="305">
        <v>27986.487260750673</v>
      </c>
      <c r="R229" s="308">
        <v>53138.444642184601</v>
      </c>
      <c r="S229" s="218"/>
    </row>
    <row r="230" spans="1:19" ht="21.6" customHeight="1">
      <c r="A230" s="219">
        <v>41459</v>
      </c>
      <c r="B230" s="299">
        <v>112599.7371725314</v>
      </c>
      <c r="C230" s="300">
        <v>40300.552147983653</v>
      </c>
      <c r="D230" s="300">
        <v>151896.21656499436</v>
      </c>
      <c r="E230" s="301">
        <v>74905.380089453378</v>
      </c>
      <c r="F230" s="300">
        <v>444418.29373781296</v>
      </c>
      <c r="G230" s="299">
        <v>711520.44254024443</v>
      </c>
      <c r="H230" s="302">
        <v>5396.1125451522694</v>
      </c>
      <c r="I230" s="302">
        <v>4627.0329300490748</v>
      </c>
      <c r="J230" s="303">
        <v>1660.1278906499999</v>
      </c>
      <c r="K230" s="304">
        <v>6331.4959958721829</v>
      </c>
      <c r="L230" s="301">
        <v>132746.32796449782</v>
      </c>
      <c r="M230" s="305">
        <v>538.90703109214519</v>
      </c>
      <c r="N230" s="306">
        <v>65136.945052547846</v>
      </c>
      <c r="O230" s="307">
        <v>1040557.1291226372</v>
      </c>
      <c r="P230" s="302">
        <v>1298.379691753365</v>
      </c>
      <c r="Q230" s="305">
        <v>25041.828910930584</v>
      </c>
      <c r="R230" s="308">
        <v>50753.59722106847</v>
      </c>
      <c r="S230" s="218"/>
    </row>
    <row r="231" spans="1:19" ht="21.6" customHeight="1">
      <c r="A231" s="219">
        <v>41490</v>
      </c>
      <c r="B231" s="299">
        <v>115586.33043776441</v>
      </c>
      <c r="C231" s="300">
        <v>38794.744283445478</v>
      </c>
      <c r="D231" s="300">
        <v>150573.15641929119</v>
      </c>
      <c r="E231" s="301">
        <v>72791.545872789909</v>
      </c>
      <c r="F231" s="300">
        <v>419084.00354090222</v>
      </c>
      <c r="G231" s="299">
        <v>681243.45011642878</v>
      </c>
      <c r="H231" s="302">
        <v>5059.2149305739749</v>
      </c>
      <c r="I231" s="302">
        <v>7809.8617600638818</v>
      </c>
      <c r="J231" s="303">
        <v>1936.7734258500002</v>
      </c>
      <c r="K231" s="304">
        <v>6437.5084608477673</v>
      </c>
      <c r="L231" s="301">
        <v>133097.78856321087</v>
      </c>
      <c r="M231" s="305">
        <v>530.84155032017384</v>
      </c>
      <c r="N231" s="306">
        <v>73412.43819734361</v>
      </c>
      <c r="O231" s="307">
        <v>1025114.2074424034</v>
      </c>
      <c r="P231" s="302">
        <v>1046.5208881726687</v>
      </c>
      <c r="Q231" s="305">
        <v>25822.068969003067</v>
      </c>
      <c r="R231" s="308">
        <v>51069.929212938812</v>
      </c>
      <c r="S231" s="218"/>
    </row>
    <row r="232" spans="1:19" ht="21.6" customHeight="1">
      <c r="A232" s="219">
        <v>41521</v>
      </c>
      <c r="B232" s="299">
        <v>113687.13974312221</v>
      </c>
      <c r="C232" s="300">
        <v>39225.803488901831</v>
      </c>
      <c r="D232" s="300">
        <v>150521.61759732736</v>
      </c>
      <c r="E232" s="301">
        <v>72473.860855201885</v>
      </c>
      <c r="F232" s="300">
        <v>410420.38927739882</v>
      </c>
      <c r="G232" s="299">
        <v>672641.67121882993</v>
      </c>
      <c r="H232" s="302">
        <v>5045.2414780269055</v>
      </c>
      <c r="I232" s="302">
        <v>7438.9877084926966</v>
      </c>
      <c r="J232" s="303">
        <v>2950.5819387999995</v>
      </c>
      <c r="K232" s="304">
        <v>6319.1822747415017</v>
      </c>
      <c r="L232" s="301">
        <v>133027.07388840363</v>
      </c>
      <c r="M232" s="305">
        <v>444.60701396990106</v>
      </c>
      <c r="N232" s="306">
        <v>73791.622877979113</v>
      </c>
      <c r="O232" s="307">
        <v>1015346.1081423661</v>
      </c>
      <c r="P232" s="302">
        <v>1015.7431562634966</v>
      </c>
      <c r="Q232" s="305">
        <v>33783.006303363189</v>
      </c>
      <c r="R232" s="308">
        <v>49992.890370337722</v>
      </c>
      <c r="S232" s="218"/>
    </row>
    <row r="233" spans="1:19" ht="21.6" customHeight="1">
      <c r="A233" s="219">
        <v>41551</v>
      </c>
      <c r="B233" s="299">
        <v>113099.96486244278</v>
      </c>
      <c r="C233" s="300">
        <v>38545.475487481679</v>
      </c>
      <c r="D233" s="300">
        <v>149504.02347328491</v>
      </c>
      <c r="E233" s="301">
        <v>74962.916132986051</v>
      </c>
      <c r="F233" s="300">
        <v>405654.00701326714</v>
      </c>
      <c r="G233" s="299">
        <v>668666.42210701981</v>
      </c>
      <c r="H233" s="302">
        <v>6432.3440037689934</v>
      </c>
      <c r="I233" s="302">
        <v>4089.5677306657049</v>
      </c>
      <c r="J233" s="303">
        <v>2453.0548415999997</v>
      </c>
      <c r="K233" s="304">
        <v>3630.1557938526412</v>
      </c>
      <c r="L233" s="301">
        <v>126532.35375308557</v>
      </c>
      <c r="M233" s="305">
        <v>430.76485708793319</v>
      </c>
      <c r="N233" s="306">
        <v>67887.288360685983</v>
      </c>
      <c r="O233" s="307">
        <v>993221.91631020955</v>
      </c>
      <c r="P233" s="302">
        <v>1014.984180862668</v>
      </c>
      <c r="Q233" s="305">
        <v>32109.234760939253</v>
      </c>
      <c r="R233" s="308">
        <v>51388.079562108433</v>
      </c>
      <c r="S233" s="218"/>
    </row>
    <row r="234" spans="1:19" ht="21.6" customHeight="1">
      <c r="A234" s="219">
        <v>41582</v>
      </c>
      <c r="B234" s="237">
        <v>113232.81144966342</v>
      </c>
      <c r="C234" s="236">
        <v>39901.547065491162</v>
      </c>
      <c r="D234" s="236">
        <v>150649.98707840461</v>
      </c>
      <c r="E234" s="309">
        <v>75986.894353106502</v>
      </c>
      <c r="F234" s="236">
        <v>402393.98343250819</v>
      </c>
      <c r="G234" s="237">
        <v>668932.41192951053</v>
      </c>
      <c r="H234" s="310">
        <v>5260.0114080683406</v>
      </c>
      <c r="I234" s="310">
        <v>8119.7839221598706</v>
      </c>
      <c r="J234" s="311">
        <v>2589.4961869700001</v>
      </c>
      <c r="K234" s="312">
        <v>4169.8072827085662</v>
      </c>
      <c r="L234" s="309">
        <v>140836.62999045831</v>
      </c>
      <c r="M234" s="313">
        <v>410.28985471068802</v>
      </c>
      <c r="N234" s="314">
        <v>63793.425883773569</v>
      </c>
      <c r="O234" s="315">
        <v>1007344.6679080235</v>
      </c>
      <c r="P234" s="310">
        <v>995.21993414301949</v>
      </c>
      <c r="Q234" s="313">
        <v>30270.914961447212</v>
      </c>
      <c r="R234" s="316">
        <v>51163.189304879132</v>
      </c>
      <c r="S234" s="218"/>
    </row>
    <row r="235" spans="1:19" ht="21.6" customHeight="1">
      <c r="A235" s="219">
        <v>41612</v>
      </c>
      <c r="B235" s="317">
        <v>111987.33230480846</v>
      </c>
      <c r="C235" s="236">
        <v>43025.449592383011</v>
      </c>
      <c r="D235" s="236">
        <v>155968.48852920404</v>
      </c>
      <c r="E235" s="309">
        <v>78361.819123151203</v>
      </c>
      <c r="F235" s="236">
        <v>455857.93937059434</v>
      </c>
      <c r="G235" s="237">
        <v>733213.6966153325</v>
      </c>
      <c r="H235" s="310">
        <v>4747.5682827875153</v>
      </c>
      <c r="I235" s="310">
        <v>7566.0607467365517</v>
      </c>
      <c r="J235" s="311">
        <v>2584.04830135665</v>
      </c>
      <c r="K235" s="312">
        <v>3095.315864473851</v>
      </c>
      <c r="L235" s="309">
        <v>114655.72707817541</v>
      </c>
      <c r="M235" s="313">
        <v>249.98995268617247</v>
      </c>
      <c r="N235" s="318">
        <v>62718.034250787692</v>
      </c>
      <c r="O235" s="315">
        <v>1040817.7733971449</v>
      </c>
      <c r="P235" s="310">
        <v>844.41048086490343</v>
      </c>
      <c r="Q235" s="313">
        <v>31404.036490688482</v>
      </c>
      <c r="R235" s="316">
        <v>53863.173229129658</v>
      </c>
      <c r="S235" s="218"/>
    </row>
    <row r="236" spans="1:19" ht="21.6" customHeight="1">
      <c r="A236" s="219">
        <v>41643</v>
      </c>
      <c r="B236" s="317">
        <v>118480.56664864114</v>
      </c>
      <c r="C236" s="236">
        <v>44410.061704477172</v>
      </c>
      <c r="D236" s="236">
        <v>157641.37688271687</v>
      </c>
      <c r="E236" s="309">
        <v>77097.410718269894</v>
      </c>
      <c r="F236" s="236">
        <v>424814.10780279938</v>
      </c>
      <c r="G236" s="237">
        <v>703962.95710826339</v>
      </c>
      <c r="H236" s="310">
        <v>4066.0457253630088</v>
      </c>
      <c r="I236" s="310">
        <v>5736.6757128412646</v>
      </c>
      <c r="J236" s="311">
        <v>3420.4605920586005</v>
      </c>
      <c r="K236" s="312">
        <v>2310.1896738029586</v>
      </c>
      <c r="L236" s="309">
        <v>114919.58497640165</v>
      </c>
      <c r="M236" s="313">
        <v>397.34183199315038</v>
      </c>
      <c r="N236" s="318">
        <v>57473.078912417928</v>
      </c>
      <c r="O236" s="315">
        <v>1010766.9011817831</v>
      </c>
      <c r="P236" s="310">
        <v>706.49010410182882</v>
      </c>
      <c r="Q236" s="313">
        <v>29176.052153816985</v>
      </c>
      <c r="R236" s="316">
        <v>51638.022459504078</v>
      </c>
      <c r="S236" s="218"/>
    </row>
    <row r="237" spans="1:19" ht="21.6" customHeight="1">
      <c r="A237" s="219">
        <v>41674</v>
      </c>
      <c r="B237" s="317">
        <v>118447.54292112213</v>
      </c>
      <c r="C237" s="236">
        <v>44848.641749544477</v>
      </c>
      <c r="D237" s="236">
        <v>159679.69507840899</v>
      </c>
      <c r="E237" s="309">
        <v>78161.676702409357</v>
      </c>
      <c r="F237" s="236">
        <v>433928.23670445691</v>
      </c>
      <c r="G237" s="237">
        <v>716618.25023481972</v>
      </c>
      <c r="H237" s="310">
        <v>4029.9535965551731</v>
      </c>
      <c r="I237" s="310">
        <v>1920.4410696100001</v>
      </c>
      <c r="J237" s="311">
        <v>3445.1597006873999</v>
      </c>
      <c r="K237" s="312">
        <v>4370.7349970869664</v>
      </c>
      <c r="L237" s="309">
        <v>111916.96277263138</v>
      </c>
      <c r="M237" s="313">
        <v>392.19067560012547</v>
      </c>
      <c r="N237" s="318">
        <v>59529.371005643829</v>
      </c>
      <c r="O237" s="315">
        <v>1020670.6069737566</v>
      </c>
      <c r="P237" s="310">
        <v>682.02313052000932</v>
      </c>
      <c r="Q237" s="313">
        <v>28302.583839050392</v>
      </c>
      <c r="R237" s="316">
        <v>47481.208401964373</v>
      </c>
    </row>
    <row r="238" spans="1:19" ht="21.6" customHeight="1">
      <c r="A238" s="219">
        <v>41702</v>
      </c>
      <c r="B238" s="237">
        <v>121413.94690070157</v>
      </c>
      <c r="C238" s="236">
        <v>41735.616953872188</v>
      </c>
      <c r="D238" s="236">
        <v>161723.92385626151</v>
      </c>
      <c r="E238" s="309">
        <v>78531.482669358418</v>
      </c>
      <c r="F238" s="236">
        <v>431566.40972599003</v>
      </c>
      <c r="G238" s="237">
        <v>713557.43320548208</v>
      </c>
      <c r="H238" s="310">
        <v>4011.4209963128624</v>
      </c>
      <c r="I238" s="310">
        <v>1175.70814404</v>
      </c>
      <c r="J238" s="311">
        <v>3438.4005094575996</v>
      </c>
      <c r="K238" s="312">
        <v>4864.4023643285582</v>
      </c>
      <c r="L238" s="309">
        <v>125921.40903890411</v>
      </c>
      <c r="M238" s="313">
        <v>360.72362734867738</v>
      </c>
      <c r="N238" s="318">
        <v>61306.342646008663</v>
      </c>
      <c r="O238" s="315">
        <v>1036049.7874325841</v>
      </c>
      <c r="P238" s="310">
        <v>783.70421581504058</v>
      </c>
      <c r="Q238" s="313">
        <v>34822.947475463821</v>
      </c>
      <c r="R238" s="316">
        <v>48689.399259109763</v>
      </c>
    </row>
    <row r="239" spans="1:19" ht="21.6" customHeight="1">
      <c r="A239" s="219">
        <v>41733</v>
      </c>
      <c r="B239" s="237">
        <v>122935.07781688809</v>
      </c>
      <c r="C239" s="236">
        <v>43432.794493689646</v>
      </c>
      <c r="D239" s="236">
        <v>162039.0989455627</v>
      </c>
      <c r="E239" s="309">
        <v>78796.376785115383</v>
      </c>
      <c r="F239" s="236">
        <v>430821.02166674804</v>
      </c>
      <c r="G239" s="237">
        <v>715089.29189111572</v>
      </c>
      <c r="H239" s="310">
        <v>4000.8910778728455</v>
      </c>
      <c r="I239" s="310">
        <v>1850.93168928</v>
      </c>
      <c r="J239" s="311">
        <v>3438.9283617405999</v>
      </c>
      <c r="K239" s="312">
        <v>3507.4735714378585</v>
      </c>
      <c r="L239" s="309">
        <v>121379.33923348585</v>
      </c>
      <c r="M239" s="313">
        <v>416.26703203411495</v>
      </c>
      <c r="N239" s="318">
        <v>60515.359945103861</v>
      </c>
      <c r="O239" s="315">
        <v>1033133.560618959</v>
      </c>
      <c r="P239" s="310">
        <v>787.53073958730522</v>
      </c>
      <c r="Q239" s="313">
        <v>36759.223179091059</v>
      </c>
      <c r="R239" s="316">
        <v>50284.986346220619</v>
      </c>
    </row>
    <row r="240" spans="1:19" ht="19.5" customHeight="1">
      <c r="A240" s="219">
        <v>41763</v>
      </c>
      <c r="B240" s="237">
        <v>124445.38765014018</v>
      </c>
      <c r="C240" s="236">
        <v>44765.293268615766</v>
      </c>
      <c r="D240" s="236">
        <v>161430.90008732726</v>
      </c>
      <c r="E240" s="309">
        <v>79031.90681075133</v>
      </c>
      <c r="F240" s="236">
        <v>410610.59391592845</v>
      </c>
      <c r="G240" s="237">
        <v>695838.69408262288</v>
      </c>
      <c r="H240" s="310">
        <v>4197.665383317104</v>
      </c>
      <c r="I240" s="310">
        <v>3228.2920833634298</v>
      </c>
      <c r="J240" s="311">
        <v>2492.2911819476003</v>
      </c>
      <c r="K240" s="312">
        <v>1889.5263743674077</v>
      </c>
      <c r="L240" s="309">
        <v>123293.97464650682</v>
      </c>
      <c r="M240" s="313">
        <v>419.49295909894397</v>
      </c>
      <c r="N240" s="318">
        <v>62330.417514262546</v>
      </c>
      <c r="O240" s="315">
        <v>1018135.741875627</v>
      </c>
      <c r="P240" s="310">
        <v>841.33733795772548</v>
      </c>
      <c r="Q240" s="313">
        <v>39807.531562273361</v>
      </c>
      <c r="R240" s="316">
        <v>51664.676499670502</v>
      </c>
    </row>
    <row r="241" spans="1:76" s="330" customFormat="1" ht="19.5" customHeight="1" thickBot="1">
      <c r="A241" s="319">
        <v>41794</v>
      </c>
      <c r="B241" s="320">
        <v>122521.29964296731</v>
      </c>
      <c r="C241" s="321">
        <v>46169.829506132497</v>
      </c>
      <c r="D241" s="321">
        <v>165133.20285822736</v>
      </c>
      <c r="E241" s="322">
        <v>81196.743864511838</v>
      </c>
      <c r="F241" s="321">
        <v>408533.29928737279</v>
      </c>
      <c r="G241" s="320">
        <v>701033.0755162444</v>
      </c>
      <c r="H241" s="323">
        <v>4007.6379852973459</v>
      </c>
      <c r="I241" s="323">
        <v>2818.2626958324167</v>
      </c>
      <c r="J241" s="324">
        <v>2301.2816555845002</v>
      </c>
      <c r="K241" s="325">
        <v>2095.8984290898397</v>
      </c>
      <c r="L241" s="322">
        <v>116430.71790986256</v>
      </c>
      <c r="M241" s="326">
        <v>370.72691066679204</v>
      </c>
      <c r="N241" s="327">
        <v>62144.145314929527</v>
      </c>
      <c r="O241" s="328">
        <v>1013723.0460604747</v>
      </c>
      <c r="P241" s="323">
        <v>802.66300690905405</v>
      </c>
      <c r="Q241" s="326">
        <v>40953.584031657265</v>
      </c>
      <c r="R241" s="329">
        <v>56208.970414594027</v>
      </c>
      <c r="S241" s="171"/>
      <c r="T241" s="171"/>
      <c r="U241" s="171"/>
      <c r="V241" s="171"/>
      <c r="W241" s="171"/>
      <c r="X241" s="171"/>
      <c r="Y241" s="171"/>
      <c r="Z241" s="171"/>
      <c r="AA241" s="171"/>
      <c r="AB241" s="171"/>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c r="BA241" s="171"/>
      <c r="BB241" s="171"/>
      <c r="BC241" s="171"/>
      <c r="BD241" s="171"/>
      <c r="BE241" s="171"/>
      <c r="BF241" s="171"/>
      <c r="BG241" s="171"/>
      <c r="BH241" s="171"/>
      <c r="BI241" s="171"/>
      <c r="BJ241" s="171"/>
      <c r="BK241" s="171"/>
      <c r="BL241" s="171"/>
      <c r="BM241" s="171"/>
      <c r="BN241" s="171"/>
      <c r="BO241" s="171"/>
      <c r="BP241" s="171"/>
      <c r="BQ241" s="171"/>
      <c r="BR241" s="171"/>
      <c r="BS241" s="171"/>
      <c r="BT241" s="171"/>
      <c r="BU241" s="171"/>
      <c r="BV241" s="171"/>
      <c r="BW241" s="171"/>
      <c r="BX241" s="171"/>
    </row>
    <row r="242" spans="1:76" ht="18.75" thickTop="1">
      <c r="A242" s="254" t="s">
        <v>259</v>
      </c>
      <c r="B242" s="259"/>
      <c r="C242" s="259"/>
      <c r="D242" s="259"/>
      <c r="E242" s="259"/>
      <c r="F242" s="259"/>
      <c r="G242" s="218"/>
      <c r="K242" s="259" t="s">
        <v>240</v>
      </c>
      <c r="Q242" s="218"/>
      <c r="R242" s="260"/>
    </row>
    <row r="243" spans="1:76" ht="18">
      <c r="A243" s="254" t="s">
        <v>260</v>
      </c>
      <c r="B243" s="259"/>
      <c r="C243" s="259"/>
      <c r="D243" s="259"/>
      <c r="E243" s="259"/>
      <c r="F243" s="259"/>
      <c r="G243" s="260"/>
      <c r="H243" s="259"/>
      <c r="K243" s="331" t="s">
        <v>261</v>
      </c>
      <c r="L243" s="259"/>
      <c r="M243" s="259"/>
      <c r="N243" s="332"/>
      <c r="O243" s="260"/>
      <c r="P243" s="259"/>
      <c r="Q243" s="260"/>
      <c r="R243" s="260"/>
    </row>
    <row r="244" spans="1:76" ht="18">
      <c r="A244" s="254" t="s">
        <v>239</v>
      </c>
      <c r="B244" s="259"/>
      <c r="C244" s="259"/>
      <c r="D244" s="259"/>
      <c r="E244" s="260"/>
      <c r="F244" s="259"/>
      <c r="G244" s="260"/>
      <c r="H244" s="218"/>
      <c r="I244" s="259"/>
      <c r="J244" s="259"/>
      <c r="K244" s="259"/>
      <c r="L244" s="259"/>
      <c r="M244" s="259"/>
      <c r="N244" s="333"/>
      <c r="O244" s="334"/>
      <c r="P244" s="260"/>
      <c r="Q244" s="259"/>
      <c r="R244" s="259"/>
    </row>
    <row r="245" spans="1:76">
      <c r="A245" s="259" t="s">
        <v>180</v>
      </c>
      <c r="B245" s="259"/>
      <c r="C245" s="259"/>
      <c r="D245" s="259"/>
      <c r="E245" s="259"/>
      <c r="F245" s="259"/>
      <c r="G245" s="260"/>
      <c r="H245" s="259"/>
      <c r="I245" s="259"/>
      <c r="J245" s="335"/>
      <c r="K245" s="259"/>
      <c r="L245" s="259"/>
      <c r="M245" s="336"/>
      <c r="N245" s="260"/>
      <c r="O245" s="259"/>
      <c r="P245" s="259"/>
      <c r="Q245" s="259"/>
      <c r="R245" s="259"/>
    </row>
  </sheetData>
  <mergeCells count="3">
    <mergeCell ref="A1:Y1"/>
    <mergeCell ref="A125:R125"/>
    <mergeCell ref="K127:L127"/>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4"/>
  <sheetViews>
    <sheetView workbookViewId="0">
      <selection activeCell="J43" sqref="J43"/>
    </sheetView>
  </sheetViews>
  <sheetFormatPr defaultRowHeight="15"/>
  <cols>
    <col min="1" max="1" width="9.140625" style="3049"/>
    <col min="2" max="2" width="14.140625" style="3049" customWidth="1"/>
    <col min="3" max="3" width="14.85546875" style="3049" customWidth="1"/>
    <col min="4" max="4" width="16" style="3049" customWidth="1"/>
    <col min="5" max="5" width="13.5703125" style="3049" customWidth="1"/>
    <col min="6" max="6" width="18.7109375" style="3049" customWidth="1"/>
    <col min="7" max="7" width="9.140625" style="3049"/>
    <col min="8" max="257" width="9.140625" style="3050"/>
    <col min="258" max="258" width="14.140625" style="3050" customWidth="1"/>
    <col min="259" max="259" width="14.85546875" style="3050" customWidth="1"/>
    <col min="260" max="260" width="16" style="3050" customWidth="1"/>
    <col min="261" max="261" width="13.5703125" style="3050" customWidth="1"/>
    <col min="262" max="262" width="18.7109375" style="3050" customWidth="1"/>
    <col min="263" max="513" width="9.140625" style="3050"/>
    <col min="514" max="514" width="14.140625" style="3050" customWidth="1"/>
    <col min="515" max="515" width="14.85546875" style="3050" customWidth="1"/>
    <col min="516" max="516" width="16" style="3050" customWidth="1"/>
    <col min="517" max="517" width="13.5703125" style="3050" customWidth="1"/>
    <col min="518" max="518" width="18.7109375" style="3050" customWidth="1"/>
    <col min="519" max="769" width="9.140625" style="3050"/>
    <col min="770" max="770" width="14.140625" style="3050" customWidth="1"/>
    <col min="771" max="771" width="14.85546875" style="3050" customWidth="1"/>
    <col min="772" max="772" width="16" style="3050" customWidth="1"/>
    <col min="773" max="773" width="13.5703125" style="3050" customWidth="1"/>
    <col min="774" max="774" width="18.7109375" style="3050" customWidth="1"/>
    <col min="775" max="1025" width="9.140625" style="3050"/>
    <col min="1026" max="1026" width="14.140625" style="3050" customWidth="1"/>
    <col min="1027" max="1027" width="14.85546875" style="3050" customWidth="1"/>
    <col min="1028" max="1028" width="16" style="3050" customWidth="1"/>
    <col min="1029" max="1029" width="13.5703125" style="3050" customWidth="1"/>
    <col min="1030" max="1030" width="18.7109375" style="3050" customWidth="1"/>
    <col min="1031" max="1281" width="9.140625" style="3050"/>
    <col min="1282" max="1282" width="14.140625" style="3050" customWidth="1"/>
    <col min="1283" max="1283" width="14.85546875" style="3050" customWidth="1"/>
    <col min="1284" max="1284" width="16" style="3050" customWidth="1"/>
    <col min="1285" max="1285" width="13.5703125" style="3050" customWidth="1"/>
    <col min="1286" max="1286" width="18.7109375" style="3050" customWidth="1"/>
    <col min="1287" max="1537" width="9.140625" style="3050"/>
    <col min="1538" max="1538" width="14.140625" style="3050" customWidth="1"/>
    <col min="1539" max="1539" width="14.85546875" style="3050" customWidth="1"/>
    <col min="1540" max="1540" width="16" style="3050" customWidth="1"/>
    <col min="1541" max="1541" width="13.5703125" style="3050" customWidth="1"/>
    <col min="1542" max="1542" width="18.7109375" style="3050" customWidth="1"/>
    <col min="1543" max="1793" width="9.140625" style="3050"/>
    <col min="1794" max="1794" width="14.140625" style="3050" customWidth="1"/>
    <col min="1795" max="1795" width="14.85546875" style="3050" customWidth="1"/>
    <col min="1796" max="1796" width="16" style="3050" customWidth="1"/>
    <col min="1797" max="1797" width="13.5703125" style="3050" customWidth="1"/>
    <col min="1798" max="1798" width="18.7109375" style="3050" customWidth="1"/>
    <col min="1799" max="2049" width="9.140625" style="3050"/>
    <col min="2050" max="2050" width="14.140625" style="3050" customWidth="1"/>
    <col min="2051" max="2051" width="14.85546875" style="3050" customWidth="1"/>
    <col min="2052" max="2052" width="16" style="3050" customWidth="1"/>
    <col min="2053" max="2053" width="13.5703125" style="3050" customWidth="1"/>
    <col min="2054" max="2054" width="18.7109375" style="3050" customWidth="1"/>
    <col min="2055" max="2305" width="9.140625" style="3050"/>
    <col min="2306" max="2306" width="14.140625" style="3050" customWidth="1"/>
    <col min="2307" max="2307" width="14.85546875" style="3050" customWidth="1"/>
    <col min="2308" max="2308" width="16" style="3050" customWidth="1"/>
    <col min="2309" max="2309" width="13.5703125" style="3050" customWidth="1"/>
    <col min="2310" max="2310" width="18.7109375" style="3050" customWidth="1"/>
    <col min="2311" max="2561" width="9.140625" style="3050"/>
    <col min="2562" max="2562" width="14.140625" style="3050" customWidth="1"/>
    <col min="2563" max="2563" width="14.85546875" style="3050" customWidth="1"/>
    <col min="2564" max="2564" width="16" style="3050" customWidth="1"/>
    <col min="2565" max="2565" width="13.5703125" style="3050" customWidth="1"/>
    <col min="2566" max="2566" width="18.7109375" style="3050" customWidth="1"/>
    <col min="2567" max="2817" width="9.140625" style="3050"/>
    <col min="2818" max="2818" width="14.140625" style="3050" customWidth="1"/>
    <col min="2819" max="2819" width="14.85546875" style="3050" customWidth="1"/>
    <col min="2820" max="2820" width="16" style="3050" customWidth="1"/>
    <col min="2821" max="2821" width="13.5703125" style="3050" customWidth="1"/>
    <col min="2822" max="2822" width="18.7109375" style="3050" customWidth="1"/>
    <col min="2823" max="3073" width="9.140625" style="3050"/>
    <col min="3074" max="3074" width="14.140625" style="3050" customWidth="1"/>
    <col min="3075" max="3075" width="14.85546875" style="3050" customWidth="1"/>
    <col min="3076" max="3076" width="16" style="3050" customWidth="1"/>
    <col min="3077" max="3077" width="13.5703125" style="3050" customWidth="1"/>
    <col min="3078" max="3078" width="18.7109375" style="3050" customWidth="1"/>
    <col min="3079" max="3329" width="9.140625" style="3050"/>
    <col min="3330" max="3330" width="14.140625" style="3050" customWidth="1"/>
    <col min="3331" max="3331" width="14.85546875" style="3050" customWidth="1"/>
    <col min="3332" max="3332" width="16" style="3050" customWidth="1"/>
    <col min="3333" max="3333" width="13.5703125" style="3050" customWidth="1"/>
    <col min="3334" max="3334" width="18.7109375" style="3050" customWidth="1"/>
    <col min="3335" max="3585" width="9.140625" style="3050"/>
    <col min="3586" max="3586" width="14.140625" style="3050" customWidth="1"/>
    <col min="3587" max="3587" width="14.85546875" style="3050" customWidth="1"/>
    <col min="3588" max="3588" width="16" style="3050" customWidth="1"/>
    <col min="3589" max="3589" width="13.5703125" style="3050" customWidth="1"/>
    <col min="3590" max="3590" width="18.7109375" style="3050" customWidth="1"/>
    <col min="3591" max="3841" width="9.140625" style="3050"/>
    <col min="3842" max="3842" width="14.140625" style="3050" customWidth="1"/>
    <col min="3843" max="3843" width="14.85546875" style="3050" customWidth="1"/>
    <col min="3844" max="3844" width="16" style="3050" customWidth="1"/>
    <col min="3845" max="3845" width="13.5703125" style="3050" customWidth="1"/>
    <col min="3846" max="3846" width="18.7109375" style="3050" customWidth="1"/>
    <col min="3847" max="4097" width="9.140625" style="3050"/>
    <col min="4098" max="4098" width="14.140625" style="3050" customWidth="1"/>
    <col min="4099" max="4099" width="14.85546875" style="3050" customWidth="1"/>
    <col min="4100" max="4100" width="16" style="3050" customWidth="1"/>
    <col min="4101" max="4101" width="13.5703125" style="3050" customWidth="1"/>
    <col min="4102" max="4102" width="18.7109375" style="3050" customWidth="1"/>
    <col min="4103" max="4353" width="9.140625" style="3050"/>
    <col min="4354" max="4354" width="14.140625" style="3050" customWidth="1"/>
    <col min="4355" max="4355" width="14.85546875" style="3050" customWidth="1"/>
    <col min="4356" max="4356" width="16" style="3050" customWidth="1"/>
    <col min="4357" max="4357" width="13.5703125" style="3050" customWidth="1"/>
    <col min="4358" max="4358" width="18.7109375" style="3050" customWidth="1"/>
    <col min="4359" max="4609" width="9.140625" style="3050"/>
    <col min="4610" max="4610" width="14.140625" style="3050" customWidth="1"/>
    <col min="4611" max="4611" width="14.85546875" style="3050" customWidth="1"/>
    <col min="4612" max="4612" width="16" style="3050" customWidth="1"/>
    <col min="4613" max="4613" width="13.5703125" style="3050" customWidth="1"/>
    <col min="4614" max="4614" width="18.7109375" style="3050" customWidth="1"/>
    <col min="4615" max="4865" width="9.140625" style="3050"/>
    <col min="4866" max="4866" width="14.140625" style="3050" customWidth="1"/>
    <col min="4867" max="4867" width="14.85546875" style="3050" customWidth="1"/>
    <col min="4868" max="4868" width="16" style="3050" customWidth="1"/>
    <col min="4869" max="4869" width="13.5703125" style="3050" customWidth="1"/>
    <col min="4870" max="4870" width="18.7109375" style="3050" customWidth="1"/>
    <col min="4871" max="5121" width="9.140625" style="3050"/>
    <col min="5122" max="5122" width="14.140625" style="3050" customWidth="1"/>
    <col min="5123" max="5123" width="14.85546875" style="3050" customWidth="1"/>
    <col min="5124" max="5124" width="16" style="3050" customWidth="1"/>
    <col min="5125" max="5125" width="13.5703125" style="3050" customWidth="1"/>
    <col min="5126" max="5126" width="18.7109375" style="3050" customWidth="1"/>
    <col min="5127" max="5377" width="9.140625" style="3050"/>
    <col min="5378" max="5378" width="14.140625" style="3050" customWidth="1"/>
    <col min="5379" max="5379" width="14.85546875" style="3050" customWidth="1"/>
    <col min="5380" max="5380" width="16" style="3050" customWidth="1"/>
    <col min="5381" max="5381" width="13.5703125" style="3050" customWidth="1"/>
    <col min="5382" max="5382" width="18.7109375" style="3050" customWidth="1"/>
    <col min="5383" max="5633" width="9.140625" style="3050"/>
    <col min="5634" max="5634" width="14.140625" style="3050" customWidth="1"/>
    <col min="5635" max="5635" width="14.85546875" style="3050" customWidth="1"/>
    <col min="5636" max="5636" width="16" style="3050" customWidth="1"/>
    <col min="5637" max="5637" width="13.5703125" style="3050" customWidth="1"/>
    <col min="5638" max="5638" width="18.7109375" style="3050" customWidth="1"/>
    <col min="5639" max="5889" width="9.140625" style="3050"/>
    <col min="5890" max="5890" width="14.140625" style="3050" customWidth="1"/>
    <col min="5891" max="5891" width="14.85546875" style="3050" customWidth="1"/>
    <col min="5892" max="5892" width="16" style="3050" customWidth="1"/>
    <col min="5893" max="5893" width="13.5703125" style="3050" customWidth="1"/>
    <col min="5894" max="5894" width="18.7109375" style="3050" customWidth="1"/>
    <col min="5895" max="6145" width="9.140625" style="3050"/>
    <col min="6146" max="6146" width="14.140625" style="3050" customWidth="1"/>
    <col min="6147" max="6147" width="14.85546875" style="3050" customWidth="1"/>
    <col min="6148" max="6148" width="16" style="3050" customWidth="1"/>
    <col min="6149" max="6149" width="13.5703125" style="3050" customWidth="1"/>
    <col min="6150" max="6150" width="18.7109375" style="3050" customWidth="1"/>
    <col min="6151" max="6401" width="9.140625" style="3050"/>
    <col min="6402" max="6402" width="14.140625" style="3050" customWidth="1"/>
    <col min="6403" max="6403" width="14.85546875" style="3050" customWidth="1"/>
    <col min="6404" max="6404" width="16" style="3050" customWidth="1"/>
    <col min="6405" max="6405" width="13.5703125" style="3050" customWidth="1"/>
    <col min="6406" max="6406" width="18.7109375" style="3050" customWidth="1"/>
    <col min="6407" max="6657" width="9.140625" style="3050"/>
    <col min="6658" max="6658" width="14.140625" style="3050" customWidth="1"/>
    <col min="6659" max="6659" width="14.85546875" style="3050" customWidth="1"/>
    <col min="6660" max="6660" width="16" style="3050" customWidth="1"/>
    <col min="6661" max="6661" width="13.5703125" style="3050" customWidth="1"/>
    <col min="6662" max="6662" width="18.7109375" style="3050" customWidth="1"/>
    <col min="6663" max="6913" width="9.140625" style="3050"/>
    <col min="6914" max="6914" width="14.140625" style="3050" customWidth="1"/>
    <col min="6915" max="6915" width="14.85546875" style="3050" customWidth="1"/>
    <col min="6916" max="6916" width="16" style="3050" customWidth="1"/>
    <col min="6917" max="6917" width="13.5703125" style="3050" customWidth="1"/>
    <col min="6918" max="6918" width="18.7109375" style="3050" customWidth="1"/>
    <col min="6919" max="7169" width="9.140625" style="3050"/>
    <col min="7170" max="7170" width="14.140625" style="3050" customWidth="1"/>
    <col min="7171" max="7171" width="14.85546875" style="3050" customWidth="1"/>
    <col min="7172" max="7172" width="16" style="3050" customWidth="1"/>
    <col min="7173" max="7173" width="13.5703125" style="3050" customWidth="1"/>
    <col min="7174" max="7174" width="18.7109375" style="3050" customWidth="1"/>
    <col min="7175" max="7425" width="9.140625" style="3050"/>
    <col min="7426" max="7426" width="14.140625" style="3050" customWidth="1"/>
    <col min="7427" max="7427" width="14.85546875" style="3050" customWidth="1"/>
    <col min="7428" max="7428" width="16" style="3050" customWidth="1"/>
    <col min="7429" max="7429" width="13.5703125" style="3050" customWidth="1"/>
    <col min="7430" max="7430" width="18.7109375" style="3050" customWidth="1"/>
    <col min="7431" max="7681" width="9.140625" style="3050"/>
    <col min="7682" max="7682" width="14.140625" style="3050" customWidth="1"/>
    <col min="7683" max="7683" width="14.85546875" style="3050" customWidth="1"/>
    <col min="7684" max="7684" width="16" style="3050" customWidth="1"/>
    <col min="7685" max="7685" width="13.5703125" style="3050" customWidth="1"/>
    <col min="7686" max="7686" width="18.7109375" style="3050" customWidth="1"/>
    <col min="7687" max="7937" width="9.140625" style="3050"/>
    <col min="7938" max="7938" width="14.140625" style="3050" customWidth="1"/>
    <col min="7939" max="7939" width="14.85546875" style="3050" customWidth="1"/>
    <col min="7940" max="7940" width="16" style="3050" customWidth="1"/>
    <col min="7941" max="7941" width="13.5703125" style="3050" customWidth="1"/>
    <col min="7942" max="7942" width="18.7109375" style="3050" customWidth="1"/>
    <col min="7943" max="8193" width="9.140625" style="3050"/>
    <col min="8194" max="8194" width="14.140625" style="3050" customWidth="1"/>
    <col min="8195" max="8195" width="14.85546875" style="3050" customWidth="1"/>
    <col min="8196" max="8196" width="16" style="3050" customWidth="1"/>
    <col min="8197" max="8197" width="13.5703125" style="3050" customWidth="1"/>
    <col min="8198" max="8198" width="18.7109375" style="3050" customWidth="1"/>
    <col min="8199" max="8449" width="9.140625" style="3050"/>
    <col min="8450" max="8450" width="14.140625" style="3050" customWidth="1"/>
    <col min="8451" max="8451" width="14.85546875" style="3050" customWidth="1"/>
    <col min="8452" max="8452" width="16" style="3050" customWidth="1"/>
    <col min="8453" max="8453" width="13.5703125" style="3050" customWidth="1"/>
    <col min="8454" max="8454" width="18.7109375" style="3050" customWidth="1"/>
    <col min="8455" max="8705" width="9.140625" style="3050"/>
    <col min="8706" max="8706" width="14.140625" style="3050" customWidth="1"/>
    <col min="8707" max="8707" width="14.85546875" style="3050" customWidth="1"/>
    <col min="8708" max="8708" width="16" style="3050" customWidth="1"/>
    <col min="8709" max="8709" width="13.5703125" style="3050" customWidth="1"/>
    <col min="8710" max="8710" width="18.7109375" style="3050" customWidth="1"/>
    <col min="8711" max="8961" width="9.140625" style="3050"/>
    <col min="8962" max="8962" width="14.140625" style="3050" customWidth="1"/>
    <col min="8963" max="8963" width="14.85546875" style="3050" customWidth="1"/>
    <col min="8964" max="8964" width="16" style="3050" customWidth="1"/>
    <col min="8965" max="8965" width="13.5703125" style="3050" customWidth="1"/>
    <col min="8966" max="8966" width="18.7109375" style="3050" customWidth="1"/>
    <col min="8967" max="9217" width="9.140625" style="3050"/>
    <col min="9218" max="9218" width="14.140625" style="3050" customWidth="1"/>
    <col min="9219" max="9219" width="14.85546875" style="3050" customWidth="1"/>
    <col min="9220" max="9220" width="16" style="3050" customWidth="1"/>
    <col min="9221" max="9221" width="13.5703125" style="3050" customWidth="1"/>
    <col min="9222" max="9222" width="18.7109375" style="3050" customWidth="1"/>
    <col min="9223" max="9473" width="9.140625" style="3050"/>
    <col min="9474" max="9474" width="14.140625" style="3050" customWidth="1"/>
    <col min="9475" max="9475" width="14.85546875" style="3050" customWidth="1"/>
    <col min="9476" max="9476" width="16" style="3050" customWidth="1"/>
    <col min="9477" max="9477" width="13.5703125" style="3050" customWidth="1"/>
    <col min="9478" max="9478" width="18.7109375" style="3050" customWidth="1"/>
    <col min="9479" max="9729" width="9.140625" style="3050"/>
    <col min="9730" max="9730" width="14.140625" style="3050" customWidth="1"/>
    <col min="9731" max="9731" width="14.85546875" style="3050" customWidth="1"/>
    <col min="9732" max="9732" width="16" style="3050" customWidth="1"/>
    <col min="9733" max="9733" width="13.5703125" style="3050" customWidth="1"/>
    <col min="9734" max="9734" width="18.7109375" style="3050" customWidth="1"/>
    <col min="9735" max="9985" width="9.140625" style="3050"/>
    <col min="9986" max="9986" width="14.140625" style="3050" customWidth="1"/>
    <col min="9987" max="9987" width="14.85546875" style="3050" customWidth="1"/>
    <col min="9988" max="9988" width="16" style="3050" customWidth="1"/>
    <col min="9989" max="9989" width="13.5703125" style="3050" customWidth="1"/>
    <col min="9990" max="9990" width="18.7109375" style="3050" customWidth="1"/>
    <col min="9991" max="10241" width="9.140625" style="3050"/>
    <col min="10242" max="10242" width="14.140625" style="3050" customWidth="1"/>
    <col min="10243" max="10243" width="14.85546875" style="3050" customWidth="1"/>
    <col min="10244" max="10244" width="16" style="3050" customWidth="1"/>
    <col min="10245" max="10245" width="13.5703125" style="3050" customWidth="1"/>
    <col min="10246" max="10246" width="18.7109375" style="3050" customWidth="1"/>
    <col min="10247" max="10497" width="9.140625" style="3050"/>
    <col min="10498" max="10498" width="14.140625" style="3050" customWidth="1"/>
    <col min="10499" max="10499" width="14.85546875" style="3050" customWidth="1"/>
    <col min="10500" max="10500" width="16" style="3050" customWidth="1"/>
    <col min="10501" max="10501" width="13.5703125" style="3050" customWidth="1"/>
    <col min="10502" max="10502" width="18.7109375" style="3050" customWidth="1"/>
    <col min="10503" max="10753" width="9.140625" style="3050"/>
    <col min="10754" max="10754" width="14.140625" style="3050" customWidth="1"/>
    <col min="10755" max="10755" width="14.85546875" style="3050" customWidth="1"/>
    <col min="10756" max="10756" width="16" style="3050" customWidth="1"/>
    <col min="10757" max="10757" width="13.5703125" style="3050" customWidth="1"/>
    <col min="10758" max="10758" width="18.7109375" style="3050" customWidth="1"/>
    <col min="10759" max="11009" width="9.140625" style="3050"/>
    <col min="11010" max="11010" width="14.140625" style="3050" customWidth="1"/>
    <col min="11011" max="11011" width="14.85546875" style="3050" customWidth="1"/>
    <col min="11012" max="11012" width="16" style="3050" customWidth="1"/>
    <col min="11013" max="11013" width="13.5703125" style="3050" customWidth="1"/>
    <col min="11014" max="11014" width="18.7109375" style="3050" customWidth="1"/>
    <col min="11015" max="11265" width="9.140625" style="3050"/>
    <col min="11266" max="11266" width="14.140625" style="3050" customWidth="1"/>
    <col min="11267" max="11267" width="14.85546875" style="3050" customWidth="1"/>
    <col min="11268" max="11268" width="16" style="3050" customWidth="1"/>
    <col min="11269" max="11269" width="13.5703125" style="3050" customWidth="1"/>
    <col min="11270" max="11270" width="18.7109375" style="3050" customWidth="1"/>
    <col min="11271" max="11521" width="9.140625" style="3050"/>
    <col min="11522" max="11522" width="14.140625" style="3050" customWidth="1"/>
    <col min="11523" max="11523" width="14.85546875" style="3050" customWidth="1"/>
    <col min="11524" max="11524" width="16" style="3050" customWidth="1"/>
    <col min="11525" max="11525" width="13.5703125" style="3050" customWidth="1"/>
    <col min="11526" max="11526" width="18.7109375" style="3050" customWidth="1"/>
    <col min="11527" max="11777" width="9.140625" style="3050"/>
    <col min="11778" max="11778" width="14.140625" style="3050" customWidth="1"/>
    <col min="11779" max="11779" width="14.85546875" style="3050" customWidth="1"/>
    <col min="11780" max="11780" width="16" style="3050" customWidth="1"/>
    <col min="11781" max="11781" width="13.5703125" style="3050" customWidth="1"/>
    <col min="11782" max="11782" width="18.7109375" style="3050" customWidth="1"/>
    <col min="11783" max="12033" width="9.140625" style="3050"/>
    <col min="12034" max="12034" width="14.140625" style="3050" customWidth="1"/>
    <col min="12035" max="12035" width="14.85546875" style="3050" customWidth="1"/>
    <col min="12036" max="12036" width="16" style="3050" customWidth="1"/>
    <col min="12037" max="12037" width="13.5703125" style="3050" customWidth="1"/>
    <col min="12038" max="12038" width="18.7109375" style="3050" customWidth="1"/>
    <col min="12039" max="12289" width="9.140625" style="3050"/>
    <col min="12290" max="12290" width="14.140625" style="3050" customWidth="1"/>
    <col min="12291" max="12291" width="14.85546875" style="3050" customWidth="1"/>
    <col min="12292" max="12292" width="16" style="3050" customWidth="1"/>
    <col min="12293" max="12293" width="13.5703125" style="3050" customWidth="1"/>
    <col min="12294" max="12294" width="18.7109375" style="3050" customWidth="1"/>
    <col min="12295" max="12545" width="9.140625" style="3050"/>
    <col min="12546" max="12546" width="14.140625" style="3050" customWidth="1"/>
    <col min="12547" max="12547" width="14.85546875" style="3050" customWidth="1"/>
    <col min="12548" max="12548" width="16" style="3050" customWidth="1"/>
    <col min="12549" max="12549" width="13.5703125" style="3050" customWidth="1"/>
    <col min="12550" max="12550" width="18.7109375" style="3050" customWidth="1"/>
    <col min="12551" max="12801" width="9.140625" style="3050"/>
    <col min="12802" max="12802" width="14.140625" style="3050" customWidth="1"/>
    <col min="12803" max="12803" width="14.85546875" style="3050" customWidth="1"/>
    <col min="12804" max="12804" width="16" style="3050" customWidth="1"/>
    <col min="12805" max="12805" width="13.5703125" style="3050" customWidth="1"/>
    <col min="12806" max="12806" width="18.7109375" style="3050" customWidth="1"/>
    <col min="12807" max="13057" width="9.140625" style="3050"/>
    <col min="13058" max="13058" width="14.140625" style="3050" customWidth="1"/>
    <col min="13059" max="13059" width="14.85546875" style="3050" customWidth="1"/>
    <col min="13060" max="13060" width="16" style="3050" customWidth="1"/>
    <col min="13061" max="13061" width="13.5703125" style="3050" customWidth="1"/>
    <col min="13062" max="13062" width="18.7109375" style="3050" customWidth="1"/>
    <col min="13063" max="13313" width="9.140625" style="3050"/>
    <col min="13314" max="13314" width="14.140625" style="3050" customWidth="1"/>
    <col min="13315" max="13315" width="14.85546875" style="3050" customWidth="1"/>
    <col min="13316" max="13316" width="16" style="3050" customWidth="1"/>
    <col min="13317" max="13317" width="13.5703125" style="3050" customWidth="1"/>
    <col min="13318" max="13318" width="18.7109375" style="3050" customWidth="1"/>
    <col min="13319" max="13569" width="9.140625" style="3050"/>
    <col min="13570" max="13570" width="14.140625" style="3050" customWidth="1"/>
    <col min="13571" max="13571" width="14.85546875" style="3050" customWidth="1"/>
    <col min="13572" max="13572" width="16" style="3050" customWidth="1"/>
    <col min="13573" max="13573" width="13.5703125" style="3050" customWidth="1"/>
    <col min="13574" max="13574" width="18.7109375" style="3050" customWidth="1"/>
    <col min="13575" max="13825" width="9.140625" style="3050"/>
    <col min="13826" max="13826" width="14.140625" style="3050" customWidth="1"/>
    <col min="13827" max="13827" width="14.85546875" style="3050" customWidth="1"/>
    <col min="13828" max="13828" width="16" style="3050" customWidth="1"/>
    <col min="13829" max="13829" width="13.5703125" style="3050" customWidth="1"/>
    <col min="13830" max="13830" width="18.7109375" style="3050" customWidth="1"/>
    <col min="13831" max="14081" width="9.140625" style="3050"/>
    <col min="14082" max="14082" width="14.140625" style="3050" customWidth="1"/>
    <col min="14083" max="14083" width="14.85546875" style="3050" customWidth="1"/>
    <col min="14084" max="14084" width="16" style="3050" customWidth="1"/>
    <col min="14085" max="14085" width="13.5703125" style="3050" customWidth="1"/>
    <col min="14086" max="14086" width="18.7109375" style="3050" customWidth="1"/>
    <col min="14087" max="14337" width="9.140625" style="3050"/>
    <col min="14338" max="14338" width="14.140625" style="3050" customWidth="1"/>
    <col min="14339" max="14339" width="14.85546875" style="3050" customWidth="1"/>
    <col min="14340" max="14340" width="16" style="3050" customWidth="1"/>
    <col min="14341" max="14341" width="13.5703125" style="3050" customWidth="1"/>
    <col min="14342" max="14342" width="18.7109375" style="3050" customWidth="1"/>
    <col min="14343" max="14593" width="9.140625" style="3050"/>
    <col min="14594" max="14594" width="14.140625" style="3050" customWidth="1"/>
    <col min="14595" max="14595" width="14.85546875" style="3050" customWidth="1"/>
    <col min="14596" max="14596" width="16" style="3050" customWidth="1"/>
    <col min="14597" max="14597" width="13.5703125" style="3050" customWidth="1"/>
    <col min="14598" max="14598" width="18.7109375" style="3050" customWidth="1"/>
    <col min="14599" max="14849" width="9.140625" style="3050"/>
    <col min="14850" max="14850" width="14.140625" style="3050" customWidth="1"/>
    <col min="14851" max="14851" width="14.85546875" style="3050" customWidth="1"/>
    <col min="14852" max="14852" width="16" style="3050" customWidth="1"/>
    <col min="14853" max="14853" width="13.5703125" style="3050" customWidth="1"/>
    <col min="14854" max="14854" width="18.7109375" style="3050" customWidth="1"/>
    <col min="14855" max="15105" width="9.140625" style="3050"/>
    <col min="15106" max="15106" width="14.140625" style="3050" customWidth="1"/>
    <col min="15107" max="15107" width="14.85546875" style="3050" customWidth="1"/>
    <col min="15108" max="15108" width="16" style="3050" customWidth="1"/>
    <col min="15109" max="15109" width="13.5703125" style="3050" customWidth="1"/>
    <col min="15110" max="15110" width="18.7109375" style="3050" customWidth="1"/>
    <col min="15111" max="15361" width="9.140625" style="3050"/>
    <col min="15362" max="15362" width="14.140625" style="3050" customWidth="1"/>
    <col min="15363" max="15363" width="14.85546875" style="3050" customWidth="1"/>
    <col min="15364" max="15364" width="16" style="3050" customWidth="1"/>
    <col min="15365" max="15365" width="13.5703125" style="3050" customWidth="1"/>
    <col min="15366" max="15366" width="18.7109375" style="3050" customWidth="1"/>
    <col min="15367" max="15617" width="9.140625" style="3050"/>
    <col min="15618" max="15618" width="14.140625" style="3050" customWidth="1"/>
    <col min="15619" max="15619" width="14.85546875" style="3050" customWidth="1"/>
    <col min="15620" max="15620" width="16" style="3050" customWidth="1"/>
    <col min="15621" max="15621" width="13.5703125" style="3050" customWidth="1"/>
    <col min="15622" max="15622" width="18.7109375" style="3050" customWidth="1"/>
    <col min="15623" max="15873" width="9.140625" style="3050"/>
    <col min="15874" max="15874" width="14.140625" style="3050" customWidth="1"/>
    <col min="15875" max="15875" width="14.85546875" style="3050" customWidth="1"/>
    <col min="15876" max="15876" width="16" style="3050" customWidth="1"/>
    <col min="15877" max="15877" width="13.5703125" style="3050" customWidth="1"/>
    <col min="15878" max="15878" width="18.7109375" style="3050" customWidth="1"/>
    <col min="15879" max="16129" width="9.140625" style="3050"/>
    <col min="16130" max="16130" width="14.140625" style="3050" customWidth="1"/>
    <col min="16131" max="16131" width="14.85546875" style="3050" customWidth="1"/>
    <col min="16132" max="16132" width="16" style="3050" customWidth="1"/>
    <col min="16133" max="16133" width="13.5703125" style="3050" customWidth="1"/>
    <col min="16134" max="16134" width="18.7109375" style="3050" customWidth="1"/>
    <col min="16135" max="16384" width="9.140625" style="3050"/>
  </cols>
  <sheetData>
    <row r="1" spans="1:7" ht="18.75">
      <c r="A1" s="3047" t="s">
        <v>4064</v>
      </c>
      <c r="B1" s="3048"/>
      <c r="C1" s="3048"/>
      <c r="D1" s="3048"/>
      <c r="E1" s="3048"/>
      <c r="F1" s="3048"/>
    </row>
    <row r="2" spans="1:7" ht="18.75">
      <c r="A2" s="3047" t="s">
        <v>4065</v>
      </c>
      <c r="B2" s="3048"/>
      <c r="C2" s="3048"/>
      <c r="D2" s="3048"/>
      <c r="E2" s="3048"/>
      <c r="F2" s="3048"/>
    </row>
    <row r="3" spans="1:7" ht="15.75" thickBot="1">
      <c r="D3" s="3051"/>
      <c r="F3" s="3051" t="s">
        <v>4066</v>
      </c>
    </row>
    <row r="4" spans="1:7" s="3056" customFormat="1" ht="29.25" customHeight="1" thickTop="1">
      <c r="A4" s="3052"/>
      <c r="B4" s="3053" t="s">
        <v>4067</v>
      </c>
      <c r="C4" s="3053" t="s">
        <v>4068</v>
      </c>
      <c r="D4" s="3053" t="s">
        <v>3029</v>
      </c>
      <c r="E4" s="3053" t="s">
        <v>4069</v>
      </c>
      <c r="F4" s="3054" t="s">
        <v>4070</v>
      </c>
      <c r="G4" s="3055"/>
    </row>
    <row r="5" spans="1:7" s="3056" customFormat="1" ht="15" hidden="1" customHeight="1">
      <c r="A5" s="3057">
        <v>40179</v>
      </c>
      <c r="B5" s="3058">
        <v>5914</v>
      </c>
      <c r="C5" s="3058" t="s">
        <v>661</v>
      </c>
      <c r="D5" s="3059">
        <v>1734</v>
      </c>
      <c r="E5" s="3058" t="s">
        <v>661</v>
      </c>
      <c r="F5" s="3060" t="s">
        <v>661</v>
      </c>
      <c r="G5" s="3055"/>
    </row>
    <row r="6" spans="1:7" ht="15" hidden="1" customHeight="1">
      <c r="A6" s="3061">
        <v>40210</v>
      </c>
      <c r="B6" s="3062">
        <v>36283</v>
      </c>
      <c r="C6" s="3062" t="s">
        <v>661</v>
      </c>
      <c r="D6" s="3063" t="s">
        <v>661</v>
      </c>
      <c r="E6" s="3062" t="s">
        <v>661</v>
      </c>
      <c r="F6" s="3064" t="s">
        <v>661</v>
      </c>
      <c r="G6" s="3055"/>
    </row>
    <row r="7" spans="1:7" ht="15" hidden="1" customHeight="1">
      <c r="A7" s="3061">
        <v>40238</v>
      </c>
      <c r="B7" s="3062">
        <v>5631262</v>
      </c>
      <c r="C7" s="3062">
        <v>2527</v>
      </c>
      <c r="D7" s="3063">
        <v>25135</v>
      </c>
      <c r="E7" s="3062" t="s">
        <v>661</v>
      </c>
      <c r="F7" s="3064" t="s">
        <v>661</v>
      </c>
      <c r="G7" s="3055"/>
    </row>
    <row r="8" spans="1:7" ht="15" hidden="1" customHeight="1">
      <c r="A8" s="3061">
        <v>40269</v>
      </c>
      <c r="B8" s="3062">
        <v>261209</v>
      </c>
      <c r="C8" s="3062">
        <v>141027</v>
      </c>
      <c r="D8" s="3063">
        <v>285999</v>
      </c>
      <c r="E8" s="3062" t="s">
        <v>661</v>
      </c>
      <c r="F8" s="3064" t="s">
        <v>661</v>
      </c>
      <c r="G8" s="3055"/>
    </row>
    <row r="9" spans="1:7" ht="15" hidden="1" customHeight="1">
      <c r="A9" s="3061">
        <v>40299</v>
      </c>
      <c r="B9" s="3062">
        <v>317114</v>
      </c>
      <c r="C9" s="3062">
        <v>1834</v>
      </c>
      <c r="D9" s="3063">
        <v>680</v>
      </c>
      <c r="E9" s="3062" t="s">
        <v>661</v>
      </c>
      <c r="F9" s="3064" t="s">
        <v>661</v>
      </c>
      <c r="G9" s="3055"/>
    </row>
    <row r="10" spans="1:7" ht="15" hidden="1" customHeight="1">
      <c r="A10" s="3061">
        <v>40330</v>
      </c>
      <c r="B10" s="3062">
        <v>17493394</v>
      </c>
      <c r="C10" s="3062">
        <v>109726</v>
      </c>
      <c r="D10" s="3063">
        <v>737439</v>
      </c>
      <c r="E10" s="3062" t="s">
        <v>661</v>
      </c>
      <c r="F10" s="3064" t="s">
        <v>661</v>
      </c>
      <c r="G10" s="3055"/>
    </row>
    <row r="11" spans="1:7" ht="15" hidden="1" customHeight="1">
      <c r="A11" s="3061">
        <v>40360</v>
      </c>
      <c r="B11" s="3062">
        <v>2123979</v>
      </c>
      <c r="C11" s="3062">
        <v>866</v>
      </c>
      <c r="D11" s="3063">
        <v>953488</v>
      </c>
      <c r="E11" s="3062" t="s">
        <v>661</v>
      </c>
      <c r="F11" s="3064" t="s">
        <v>661</v>
      </c>
      <c r="G11" s="3055"/>
    </row>
    <row r="12" spans="1:7" ht="15" hidden="1" customHeight="1">
      <c r="A12" s="3061">
        <v>40391</v>
      </c>
      <c r="B12" s="3062">
        <v>595552</v>
      </c>
      <c r="C12" s="3062" t="s">
        <v>661</v>
      </c>
      <c r="D12" s="3063">
        <v>9358</v>
      </c>
      <c r="E12" s="3062" t="s">
        <v>661</v>
      </c>
      <c r="F12" s="3064" t="s">
        <v>661</v>
      </c>
      <c r="G12" s="3055"/>
    </row>
    <row r="13" spans="1:7" ht="15" hidden="1" customHeight="1">
      <c r="A13" s="3061">
        <v>40422</v>
      </c>
      <c r="B13" s="3062">
        <v>11209868</v>
      </c>
      <c r="C13" s="3062">
        <v>132114</v>
      </c>
      <c r="D13" s="3063">
        <v>402628</v>
      </c>
      <c r="E13" s="3062" t="s">
        <v>661</v>
      </c>
      <c r="F13" s="3064" t="s">
        <v>661</v>
      </c>
      <c r="G13" s="3055"/>
    </row>
    <row r="14" spans="1:7" ht="15" hidden="1" customHeight="1">
      <c r="A14" s="3061">
        <v>40452</v>
      </c>
      <c r="B14" s="3062">
        <v>1114121</v>
      </c>
      <c r="C14" s="3062">
        <v>159410</v>
      </c>
      <c r="D14" s="3063">
        <v>4540</v>
      </c>
      <c r="E14" s="3062" t="s">
        <v>661</v>
      </c>
      <c r="F14" s="3064" t="s">
        <v>661</v>
      </c>
      <c r="G14" s="3055"/>
    </row>
    <row r="15" spans="1:7" ht="15" hidden="1" customHeight="1">
      <c r="A15" s="3061">
        <v>40483</v>
      </c>
      <c r="B15" s="3062">
        <v>798847</v>
      </c>
      <c r="C15" s="3062">
        <v>105</v>
      </c>
      <c r="D15" s="3063">
        <v>43355</v>
      </c>
      <c r="E15" s="3062" t="s">
        <v>661</v>
      </c>
      <c r="F15" s="3064" t="s">
        <v>661</v>
      </c>
      <c r="G15" s="3055"/>
    </row>
    <row r="16" spans="1:7" ht="15" hidden="1" customHeight="1">
      <c r="A16" s="3061">
        <v>40522</v>
      </c>
      <c r="B16" s="3062">
        <v>12250666</v>
      </c>
      <c r="C16" s="3062">
        <v>228749</v>
      </c>
      <c r="D16" s="3063">
        <v>442063</v>
      </c>
      <c r="E16" s="3062" t="s">
        <v>661</v>
      </c>
      <c r="F16" s="3064" t="s">
        <v>661</v>
      </c>
      <c r="G16" s="3055"/>
    </row>
    <row r="17" spans="1:7" ht="15" hidden="1" customHeight="1">
      <c r="A17" s="3061" t="s">
        <v>4071</v>
      </c>
      <c r="B17" s="3062">
        <v>42710761.229999997</v>
      </c>
      <c r="C17" s="3062">
        <v>20051764.09</v>
      </c>
      <c r="D17" s="3063">
        <v>85130197.120000005</v>
      </c>
      <c r="E17" s="3062" t="s">
        <v>661</v>
      </c>
      <c r="F17" s="3064" t="s">
        <v>661</v>
      </c>
      <c r="G17" s="3055"/>
    </row>
    <row r="18" spans="1:7" ht="15" hidden="1" customHeight="1">
      <c r="A18" s="3061">
        <v>40575</v>
      </c>
      <c r="B18" s="3062">
        <v>123920650</v>
      </c>
      <c r="C18" s="3062">
        <v>32240708</v>
      </c>
      <c r="D18" s="3063">
        <v>123847523</v>
      </c>
      <c r="E18" s="3062" t="s">
        <v>661</v>
      </c>
      <c r="F18" s="3064" t="s">
        <v>661</v>
      </c>
      <c r="G18" s="3055"/>
    </row>
    <row r="19" spans="1:7" ht="15" hidden="1" customHeight="1">
      <c r="A19" s="3061">
        <v>40603</v>
      </c>
      <c r="B19" s="3062">
        <v>99294349</v>
      </c>
      <c r="C19" s="3062">
        <v>25082461</v>
      </c>
      <c r="D19" s="3063">
        <v>222570228</v>
      </c>
      <c r="E19" s="3062" t="s">
        <v>661</v>
      </c>
      <c r="F19" s="3064" t="s">
        <v>661</v>
      </c>
      <c r="G19" s="3055"/>
    </row>
    <row r="20" spans="1:7" ht="15" hidden="1" customHeight="1">
      <c r="A20" s="3065">
        <v>40634</v>
      </c>
      <c r="B20" s="3066">
        <v>29858403</v>
      </c>
      <c r="C20" s="3066">
        <v>3530757</v>
      </c>
      <c r="D20" s="3067">
        <v>88100029</v>
      </c>
      <c r="E20" s="3062" t="s">
        <v>661</v>
      </c>
      <c r="F20" s="3064" t="s">
        <v>661</v>
      </c>
      <c r="G20" s="3055"/>
    </row>
    <row r="21" spans="1:7" ht="15" hidden="1" customHeight="1">
      <c r="A21" s="3061">
        <v>40664</v>
      </c>
      <c r="B21" s="3062">
        <v>97627671</v>
      </c>
      <c r="C21" s="3062">
        <v>7238224</v>
      </c>
      <c r="D21" s="3063">
        <v>63187907</v>
      </c>
      <c r="E21" s="3062" t="s">
        <v>661</v>
      </c>
      <c r="F21" s="3064" t="s">
        <v>661</v>
      </c>
      <c r="G21" s="3055"/>
    </row>
    <row r="22" spans="1:7" ht="15" hidden="1" customHeight="1">
      <c r="A22" s="3068">
        <v>40695</v>
      </c>
      <c r="B22" s="3066">
        <v>243294149</v>
      </c>
      <c r="C22" s="3066">
        <v>6541718</v>
      </c>
      <c r="D22" s="3067">
        <v>175521436</v>
      </c>
      <c r="E22" s="3062" t="s">
        <v>661</v>
      </c>
      <c r="F22" s="3064" t="s">
        <v>661</v>
      </c>
      <c r="G22" s="3055"/>
    </row>
    <row r="23" spans="1:7" ht="15" hidden="1" customHeight="1">
      <c r="A23" s="3068">
        <v>40725</v>
      </c>
      <c r="B23" s="3069">
        <v>95678196</v>
      </c>
      <c r="C23" s="3069">
        <v>41123886</v>
      </c>
      <c r="D23" s="3070">
        <v>87007348</v>
      </c>
      <c r="E23" s="3062" t="s">
        <v>661</v>
      </c>
      <c r="F23" s="3064" t="s">
        <v>661</v>
      </c>
      <c r="G23" s="3055"/>
    </row>
    <row r="24" spans="1:7" ht="15" hidden="1" customHeight="1">
      <c r="A24" s="3068">
        <v>40756</v>
      </c>
      <c r="B24" s="3062">
        <v>56293259</v>
      </c>
      <c r="C24" s="3062">
        <v>10259906</v>
      </c>
      <c r="D24" s="3063">
        <v>5818117</v>
      </c>
      <c r="E24" s="3062" t="s">
        <v>661</v>
      </c>
      <c r="F24" s="3064" t="s">
        <v>661</v>
      </c>
      <c r="G24" s="3055"/>
    </row>
    <row r="25" spans="1:7" ht="15" hidden="1" customHeight="1">
      <c r="A25" s="3061">
        <v>40787</v>
      </c>
      <c r="B25" s="3062">
        <v>154997328</v>
      </c>
      <c r="C25" s="3062">
        <v>49993959</v>
      </c>
      <c r="D25" s="3063">
        <v>65697275</v>
      </c>
      <c r="E25" s="3062" t="s">
        <v>661</v>
      </c>
      <c r="F25" s="3064" t="s">
        <v>661</v>
      </c>
      <c r="G25" s="3055"/>
    </row>
    <row r="26" spans="1:7" ht="15" hidden="1" customHeight="1">
      <c r="A26" s="3065">
        <v>40817</v>
      </c>
      <c r="B26" s="3066">
        <v>118639609</v>
      </c>
      <c r="C26" s="3066">
        <v>147606114</v>
      </c>
      <c r="D26" s="3067">
        <v>12133244</v>
      </c>
      <c r="E26" s="3062" t="s">
        <v>661</v>
      </c>
      <c r="F26" s="3064" t="s">
        <v>661</v>
      </c>
      <c r="G26" s="3055"/>
    </row>
    <row r="27" spans="1:7" ht="15" hidden="1" customHeight="1">
      <c r="A27" s="3068">
        <v>40848</v>
      </c>
      <c r="B27" s="3069">
        <v>110148458</v>
      </c>
      <c r="C27" s="3069">
        <v>118824093</v>
      </c>
      <c r="D27" s="3070">
        <v>54402021</v>
      </c>
      <c r="E27" s="3062" t="s">
        <v>661</v>
      </c>
      <c r="F27" s="3064" t="s">
        <v>661</v>
      </c>
      <c r="G27" s="3055"/>
    </row>
    <row r="28" spans="1:7" ht="15" hidden="1" customHeight="1">
      <c r="A28" s="3068">
        <v>40878</v>
      </c>
      <c r="B28" s="3069">
        <v>218896482.87</v>
      </c>
      <c r="C28" s="3069">
        <v>109118764.59</v>
      </c>
      <c r="D28" s="3070">
        <v>101581718.31</v>
      </c>
      <c r="E28" s="3062" t="s">
        <v>661</v>
      </c>
      <c r="F28" s="3064" t="s">
        <v>661</v>
      </c>
      <c r="G28" s="3055"/>
    </row>
    <row r="29" spans="1:7" ht="18.600000000000001" customHeight="1">
      <c r="A29" s="3037">
        <v>40909</v>
      </c>
      <c r="B29" s="3035">
        <v>67205197</v>
      </c>
      <c r="C29" s="3033">
        <v>86124266</v>
      </c>
      <c r="D29" s="3033">
        <v>130921956</v>
      </c>
      <c r="E29" s="3033" t="s">
        <v>661</v>
      </c>
      <c r="F29" s="3034" t="s">
        <v>661</v>
      </c>
      <c r="G29" s="3055"/>
    </row>
    <row r="30" spans="1:7" ht="18.600000000000001" customHeight="1">
      <c r="A30" s="3037">
        <v>40940</v>
      </c>
      <c r="B30" s="3035">
        <v>63186761</v>
      </c>
      <c r="C30" s="3033">
        <v>18290075</v>
      </c>
      <c r="D30" s="3033">
        <v>156104652</v>
      </c>
      <c r="E30" s="3033" t="s">
        <v>661</v>
      </c>
      <c r="F30" s="3034" t="s">
        <v>661</v>
      </c>
      <c r="G30" s="3055"/>
    </row>
    <row r="31" spans="1:7" ht="18.600000000000001" customHeight="1">
      <c r="A31" s="3037" t="s">
        <v>4072</v>
      </c>
      <c r="B31" s="3035">
        <v>77590526</v>
      </c>
      <c r="C31" s="3033">
        <v>4777455</v>
      </c>
      <c r="D31" s="3033">
        <v>193807221</v>
      </c>
      <c r="E31" s="3033">
        <v>202000</v>
      </c>
      <c r="F31" s="3034">
        <v>102000</v>
      </c>
      <c r="G31" s="3055"/>
    </row>
    <row r="32" spans="1:7" ht="18.600000000000001" customHeight="1">
      <c r="A32" s="3037">
        <v>41000</v>
      </c>
      <c r="B32" s="3035">
        <v>89966108</v>
      </c>
      <c r="C32" s="3033">
        <v>4694300</v>
      </c>
      <c r="D32" s="3033">
        <v>22166126</v>
      </c>
      <c r="E32" s="3033" t="s">
        <v>661</v>
      </c>
      <c r="F32" s="3034">
        <v>20000</v>
      </c>
      <c r="G32" s="3055"/>
    </row>
    <row r="33" spans="1:11" ht="18.600000000000001" customHeight="1">
      <c r="A33" s="3037">
        <v>41030</v>
      </c>
      <c r="B33" s="3035">
        <v>57865612</v>
      </c>
      <c r="C33" s="3033">
        <v>4537372</v>
      </c>
      <c r="D33" s="3033">
        <v>32092133</v>
      </c>
      <c r="E33" s="3033" t="s">
        <v>661</v>
      </c>
      <c r="F33" s="3034" t="s">
        <v>661</v>
      </c>
      <c r="G33" s="3055"/>
      <c r="I33" s="3071"/>
    </row>
    <row r="34" spans="1:11" ht="18.600000000000001" customHeight="1">
      <c r="A34" s="3037">
        <v>41061</v>
      </c>
      <c r="B34" s="3035">
        <v>229005570</v>
      </c>
      <c r="C34" s="3033">
        <v>98201094</v>
      </c>
      <c r="D34" s="3033">
        <v>95352323</v>
      </c>
      <c r="E34" s="3033">
        <v>20000</v>
      </c>
      <c r="F34" s="3034">
        <v>200000</v>
      </c>
      <c r="G34" s="3055"/>
    </row>
    <row r="35" spans="1:11" ht="18.600000000000001" customHeight="1">
      <c r="A35" s="3037">
        <v>41091</v>
      </c>
      <c r="B35" s="3035">
        <v>179729112</v>
      </c>
      <c r="C35" s="3033">
        <v>130501823</v>
      </c>
      <c r="D35" s="3033">
        <v>136179553</v>
      </c>
      <c r="E35" s="3033">
        <v>10000</v>
      </c>
      <c r="F35" s="3034">
        <v>50000</v>
      </c>
      <c r="G35" s="3055"/>
      <c r="K35" s="3071"/>
    </row>
    <row r="36" spans="1:11" ht="18.600000000000001" customHeight="1">
      <c r="A36" s="3037">
        <v>41122</v>
      </c>
      <c r="B36" s="3032">
        <v>56293259</v>
      </c>
      <c r="C36" s="3033">
        <v>10259906</v>
      </c>
      <c r="D36" s="3033">
        <v>5818117</v>
      </c>
      <c r="E36" s="3033"/>
      <c r="F36" s="3036"/>
      <c r="G36" s="3055"/>
    </row>
    <row r="37" spans="1:11" ht="18.600000000000001" customHeight="1">
      <c r="A37" s="3037">
        <v>41153</v>
      </c>
      <c r="B37" s="3038">
        <v>86502356</v>
      </c>
      <c r="C37" s="3033">
        <v>9571051</v>
      </c>
      <c r="D37" s="3033">
        <v>165668582</v>
      </c>
      <c r="E37" s="3033">
        <v>637161</v>
      </c>
      <c r="F37" s="3036">
        <v>18571203</v>
      </c>
      <c r="G37" s="3055"/>
    </row>
    <row r="38" spans="1:11" ht="18.600000000000001" customHeight="1">
      <c r="A38" s="3037">
        <v>41183</v>
      </c>
      <c r="B38" s="3038">
        <v>159774119</v>
      </c>
      <c r="C38" s="3033">
        <v>18762159</v>
      </c>
      <c r="D38" s="3033">
        <v>9251408</v>
      </c>
      <c r="E38" s="3033">
        <v>2809135</v>
      </c>
      <c r="F38" s="3036">
        <v>15861760</v>
      </c>
      <c r="G38" s="3055"/>
    </row>
    <row r="39" spans="1:11" ht="18.600000000000001" customHeight="1">
      <c r="A39" s="3037">
        <v>41214</v>
      </c>
      <c r="B39" s="3038">
        <v>177652454</v>
      </c>
      <c r="C39" s="3033">
        <v>5602096</v>
      </c>
      <c r="D39" s="3033">
        <v>139653634</v>
      </c>
      <c r="E39" s="3033">
        <v>416711</v>
      </c>
      <c r="F39" s="3036">
        <v>7245472</v>
      </c>
      <c r="G39" s="3055"/>
    </row>
    <row r="40" spans="1:11" ht="18.600000000000001" customHeight="1">
      <c r="A40" s="3037">
        <v>41244</v>
      </c>
      <c r="B40" s="3038">
        <v>208473917</v>
      </c>
      <c r="C40" s="3033">
        <v>10945983</v>
      </c>
      <c r="D40" s="3033">
        <v>308800446</v>
      </c>
      <c r="E40" s="3033">
        <v>424096</v>
      </c>
      <c r="F40" s="3036">
        <v>53286689</v>
      </c>
      <c r="G40" s="3055"/>
    </row>
    <row r="41" spans="1:11" ht="18.600000000000001" customHeight="1">
      <c r="A41" s="3037">
        <v>41275</v>
      </c>
      <c r="B41" s="3038">
        <v>187320502</v>
      </c>
      <c r="C41" s="3033">
        <v>14894644</v>
      </c>
      <c r="D41" s="3033">
        <v>181670798</v>
      </c>
      <c r="E41" s="3033">
        <v>402209</v>
      </c>
      <c r="F41" s="3036">
        <v>26155257</v>
      </c>
      <c r="G41" s="3055"/>
    </row>
    <row r="42" spans="1:11" ht="18.600000000000001" customHeight="1">
      <c r="A42" s="3037">
        <v>41306</v>
      </c>
      <c r="B42" s="3038">
        <v>89250999</v>
      </c>
      <c r="C42" s="3033">
        <v>4249208</v>
      </c>
      <c r="D42" s="3033">
        <v>317103778</v>
      </c>
      <c r="E42" s="3033">
        <v>2400000</v>
      </c>
      <c r="F42" s="3036">
        <v>2865133</v>
      </c>
      <c r="G42" s="3055"/>
    </row>
    <row r="43" spans="1:11" ht="18.600000000000001" customHeight="1">
      <c r="A43" s="3037">
        <v>41334</v>
      </c>
      <c r="B43" s="3033">
        <v>79364775</v>
      </c>
      <c r="C43" s="3033">
        <v>6184299</v>
      </c>
      <c r="D43" s="3033">
        <v>88541706</v>
      </c>
      <c r="E43" s="3033">
        <v>402000</v>
      </c>
      <c r="F43" s="3036">
        <v>11595668</v>
      </c>
      <c r="G43" s="3055"/>
    </row>
    <row r="44" spans="1:11" ht="18.600000000000001" customHeight="1">
      <c r="A44" s="3037">
        <v>41365</v>
      </c>
      <c r="B44" s="3035">
        <v>213829538</v>
      </c>
      <c r="C44" s="3033">
        <v>5313120</v>
      </c>
      <c r="D44" s="3033">
        <v>107384937</v>
      </c>
      <c r="E44" s="3033">
        <v>421732</v>
      </c>
      <c r="F44" s="3036">
        <v>4660575</v>
      </c>
      <c r="G44" s="3055"/>
    </row>
    <row r="45" spans="1:11" ht="18.600000000000001" customHeight="1">
      <c r="A45" s="3037">
        <v>41395</v>
      </c>
      <c r="B45" s="3035">
        <v>467253081</v>
      </c>
      <c r="C45" s="3033">
        <v>7400948</v>
      </c>
      <c r="D45" s="3033">
        <v>246091204</v>
      </c>
      <c r="E45" s="3033">
        <v>405142</v>
      </c>
      <c r="F45" s="3036">
        <v>6057182</v>
      </c>
      <c r="G45" s="3055"/>
    </row>
    <row r="46" spans="1:11" ht="18.600000000000001" customHeight="1">
      <c r="A46" s="3037">
        <v>41426</v>
      </c>
      <c r="B46" s="3035">
        <v>209094945</v>
      </c>
      <c r="C46" s="3033">
        <v>7284420</v>
      </c>
      <c r="D46" s="3033">
        <v>138307816</v>
      </c>
      <c r="E46" s="3033">
        <v>2610095</v>
      </c>
      <c r="F46" s="3036">
        <v>18286302</v>
      </c>
      <c r="G46" s="3055"/>
    </row>
    <row r="47" spans="1:11" ht="18.600000000000001" customHeight="1">
      <c r="A47" s="3037">
        <v>41456</v>
      </c>
      <c r="B47" s="3035">
        <v>773600367</v>
      </c>
      <c r="C47" s="3033">
        <v>49776804</v>
      </c>
      <c r="D47" s="3033">
        <v>340361721</v>
      </c>
      <c r="E47" s="3033">
        <v>3189927</v>
      </c>
      <c r="F47" s="3036">
        <v>10727872</v>
      </c>
      <c r="G47" s="3055"/>
    </row>
    <row r="48" spans="1:11" ht="18.600000000000001" customHeight="1">
      <c r="A48" s="3037">
        <v>41487</v>
      </c>
      <c r="B48" s="3035">
        <v>92768349</v>
      </c>
      <c r="C48" s="3033">
        <v>14132965</v>
      </c>
      <c r="D48" s="3033">
        <v>34393677</v>
      </c>
      <c r="E48" s="3033">
        <v>4640560</v>
      </c>
      <c r="F48" s="3036">
        <v>8783081</v>
      </c>
      <c r="G48" s="3055"/>
    </row>
    <row r="49" spans="1:7" ht="18.600000000000001" customHeight="1">
      <c r="A49" s="3037">
        <v>41518</v>
      </c>
      <c r="B49" s="3035">
        <v>163124527</v>
      </c>
      <c r="C49" s="3033">
        <v>10164981</v>
      </c>
      <c r="D49" s="3033">
        <v>86374122</v>
      </c>
      <c r="E49" s="3033">
        <v>4369129</v>
      </c>
      <c r="F49" s="3036">
        <v>10320463</v>
      </c>
      <c r="G49" s="3055"/>
    </row>
    <row r="50" spans="1:7" ht="18.600000000000001" customHeight="1">
      <c r="A50" s="3039">
        <v>41548</v>
      </c>
      <c r="B50" s="3032">
        <v>96938430</v>
      </c>
      <c r="C50" s="3033">
        <v>4773380</v>
      </c>
      <c r="D50" s="3038">
        <v>9620516</v>
      </c>
      <c r="E50" s="3033">
        <v>205099</v>
      </c>
      <c r="F50" s="3034">
        <v>1976160</v>
      </c>
      <c r="G50" s="3055"/>
    </row>
    <row r="51" spans="1:7" ht="18.600000000000001" customHeight="1">
      <c r="A51" s="3037">
        <v>41579</v>
      </c>
      <c r="B51" s="3035">
        <v>122406723</v>
      </c>
      <c r="C51" s="3033">
        <v>20344755</v>
      </c>
      <c r="D51" s="3033">
        <v>71856798</v>
      </c>
      <c r="E51" s="3033">
        <v>301274</v>
      </c>
      <c r="F51" s="3036">
        <v>2735985</v>
      </c>
      <c r="G51" s="3055"/>
    </row>
    <row r="52" spans="1:7" ht="18.600000000000001" customHeight="1">
      <c r="A52" s="3037">
        <v>41609</v>
      </c>
      <c r="B52" s="3035">
        <v>197454964</v>
      </c>
      <c r="C52" s="3033">
        <v>19022130</v>
      </c>
      <c r="D52" s="3033">
        <v>117843309</v>
      </c>
      <c r="E52" s="3033">
        <v>766965</v>
      </c>
      <c r="F52" s="3036">
        <v>13104246</v>
      </c>
      <c r="G52" s="3055"/>
    </row>
    <row r="53" spans="1:7" ht="18.600000000000001" customHeight="1">
      <c r="A53" s="3037">
        <v>41640</v>
      </c>
      <c r="B53" s="3035">
        <v>42429002</v>
      </c>
      <c r="C53" s="3033">
        <v>359113</v>
      </c>
      <c r="D53" s="3033">
        <v>63003683</v>
      </c>
      <c r="E53" s="3033">
        <v>18319</v>
      </c>
      <c r="F53" s="3036">
        <v>455997</v>
      </c>
      <c r="G53" s="3055"/>
    </row>
    <row r="54" spans="1:7" ht="18.600000000000001" customHeight="1">
      <c r="A54" s="3037">
        <v>41671</v>
      </c>
      <c r="B54" s="3035">
        <v>212162066</v>
      </c>
      <c r="C54" s="3033">
        <v>655537</v>
      </c>
      <c r="D54" s="3033">
        <v>33810009</v>
      </c>
      <c r="E54" s="3033" t="s">
        <v>661</v>
      </c>
      <c r="F54" s="3036">
        <v>1776907</v>
      </c>
      <c r="G54" s="3055"/>
    </row>
    <row r="55" spans="1:7" ht="18.600000000000001" customHeight="1">
      <c r="A55" s="3037">
        <v>41699</v>
      </c>
      <c r="B55" s="3035">
        <v>89557336</v>
      </c>
      <c r="C55" s="3033">
        <v>48922059</v>
      </c>
      <c r="D55" s="3033">
        <v>25720678</v>
      </c>
      <c r="E55" s="3033">
        <v>19485</v>
      </c>
      <c r="F55" s="3036">
        <v>4669867</v>
      </c>
      <c r="G55" s="3055"/>
    </row>
    <row r="56" spans="1:7" ht="18.600000000000001" customHeight="1">
      <c r="A56" s="3037">
        <v>41730</v>
      </c>
      <c r="B56" s="3035">
        <v>143133760</v>
      </c>
      <c r="C56" s="3033">
        <v>16686333</v>
      </c>
      <c r="D56" s="3033">
        <v>50286992</v>
      </c>
      <c r="E56" s="3033">
        <v>2214911</v>
      </c>
      <c r="F56" s="3036">
        <v>5903540</v>
      </c>
      <c r="G56" s="3055"/>
    </row>
    <row r="57" spans="1:7" ht="18.600000000000001" customHeight="1">
      <c r="A57" s="3037">
        <v>41760</v>
      </c>
      <c r="B57" s="3035">
        <v>29430452</v>
      </c>
      <c r="C57" s="3033">
        <v>2158982</v>
      </c>
      <c r="D57" s="3033">
        <v>7260734</v>
      </c>
      <c r="E57" s="3033" t="s">
        <v>661</v>
      </c>
      <c r="F57" s="3036">
        <v>1630073</v>
      </c>
      <c r="G57" s="3055"/>
    </row>
    <row r="58" spans="1:7" ht="18.600000000000001" customHeight="1">
      <c r="A58" s="3037">
        <v>41791</v>
      </c>
      <c r="B58" s="3035">
        <v>164953999</v>
      </c>
      <c r="C58" s="3033">
        <v>10080334</v>
      </c>
      <c r="D58" s="3033">
        <v>34713653</v>
      </c>
      <c r="E58" s="3033">
        <v>4146</v>
      </c>
      <c r="F58" s="3036">
        <v>12204585</v>
      </c>
      <c r="G58" s="3055"/>
    </row>
    <row r="59" spans="1:7" ht="18.600000000000001" customHeight="1" thickBot="1">
      <c r="A59" s="3040">
        <v>41821</v>
      </c>
      <c r="B59" s="3041">
        <v>112953390</v>
      </c>
      <c r="C59" s="3042">
        <v>3273468</v>
      </c>
      <c r="D59" s="3042">
        <v>26500771</v>
      </c>
      <c r="E59" s="3042">
        <v>15033</v>
      </c>
      <c r="F59" s="3043">
        <v>20267800</v>
      </c>
      <c r="G59" s="3055"/>
    </row>
    <row r="60" spans="1:7" ht="17.25" customHeight="1" thickTop="1">
      <c r="A60" s="3072" t="s">
        <v>1345</v>
      </c>
      <c r="B60" s="3050"/>
      <c r="C60" s="3050"/>
      <c r="D60" s="3050"/>
      <c r="E60" s="3050"/>
      <c r="F60" s="3050"/>
      <c r="G60" s="3050"/>
    </row>
    <row r="61" spans="1:7" ht="15.95" customHeight="1">
      <c r="A61" s="3073" t="s">
        <v>4073</v>
      </c>
    </row>
    <row r="62" spans="1:7" ht="15.95" customHeight="1">
      <c r="A62" s="3073"/>
    </row>
    <row r="64" spans="1:7">
      <c r="G64" s="3074"/>
    </row>
  </sheetData>
  <printOptions horizontalCentered="1"/>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workbookViewId="0">
      <selection activeCell="D157" sqref="D157"/>
    </sheetView>
  </sheetViews>
  <sheetFormatPr defaultRowHeight="12.75"/>
  <cols>
    <col min="1" max="1" width="42.140625" style="340" customWidth="1"/>
    <col min="2" max="2" width="13.85546875" style="340" bestFit="1" customWidth="1"/>
    <col min="3" max="3" width="11.140625" style="340" bestFit="1" customWidth="1"/>
    <col min="4" max="4" width="13.7109375" style="340" customWidth="1"/>
    <col min="5" max="5" width="12.7109375" style="340" customWidth="1"/>
    <col min="6" max="6" width="10.42578125" style="340" customWidth="1"/>
    <col min="7" max="7" width="14.5703125" style="340" customWidth="1"/>
    <col min="8" max="8" width="10.5703125" style="340" customWidth="1"/>
    <col min="9" max="9" width="17" style="340" hidden="1" customWidth="1"/>
    <col min="10" max="10" width="0" style="340" hidden="1" customWidth="1"/>
    <col min="11" max="16384" width="9.140625" style="340"/>
  </cols>
  <sheetData>
    <row r="1" spans="1:13" ht="18.75">
      <c r="A1" s="337" t="s">
        <v>262</v>
      </c>
      <c r="B1" s="338"/>
      <c r="C1" s="338"/>
      <c r="D1" s="338"/>
      <c r="E1" s="338"/>
      <c r="F1" s="339"/>
      <c r="G1" s="339"/>
      <c r="H1" s="339"/>
    </row>
    <row r="2" spans="1:13" ht="13.5" thickBot="1">
      <c r="A2" s="339"/>
      <c r="B2" s="341"/>
      <c r="C2" s="341"/>
      <c r="D2" s="341"/>
      <c r="E2" s="341"/>
      <c r="F2" s="341"/>
      <c r="G2" s="341"/>
      <c r="H2" s="342" t="s">
        <v>74</v>
      </c>
    </row>
    <row r="3" spans="1:13" ht="13.5" customHeight="1" thickTop="1">
      <c r="A3" s="343" t="s">
        <v>263</v>
      </c>
      <c r="B3" s="343" t="s">
        <v>264</v>
      </c>
      <c r="C3" s="343" t="s">
        <v>64</v>
      </c>
      <c r="D3" s="343" t="s">
        <v>265</v>
      </c>
      <c r="E3" s="343" t="s">
        <v>265</v>
      </c>
      <c r="F3" s="343" t="s">
        <v>266</v>
      </c>
      <c r="G3" s="343" t="s">
        <v>267</v>
      </c>
      <c r="H3" s="343" t="s">
        <v>247</v>
      </c>
    </row>
    <row r="4" spans="1:13">
      <c r="A4" s="344"/>
      <c r="B4" s="344"/>
      <c r="C4" s="344"/>
      <c r="D4" s="344" t="s">
        <v>268</v>
      </c>
      <c r="E4" s="344" t="s">
        <v>269</v>
      </c>
      <c r="F4" s="344" t="s">
        <v>270</v>
      </c>
      <c r="G4" s="344" t="s">
        <v>271</v>
      </c>
      <c r="H4" s="344"/>
    </row>
    <row r="5" spans="1:13" ht="13.5" thickBot="1">
      <c r="A5" s="345"/>
      <c r="B5" s="345"/>
      <c r="C5" s="345"/>
      <c r="D5" s="345" t="s">
        <v>272</v>
      </c>
      <c r="E5" s="345"/>
      <c r="F5" s="345" t="s">
        <v>64</v>
      </c>
      <c r="G5" s="345" t="s">
        <v>273</v>
      </c>
      <c r="H5" s="345"/>
    </row>
    <row r="6" spans="1:13" ht="13.5" thickTop="1">
      <c r="A6" s="346"/>
      <c r="B6" s="347"/>
      <c r="C6" s="348"/>
      <c r="D6" s="348"/>
      <c r="E6" s="348"/>
      <c r="F6" s="348"/>
      <c r="G6" s="348"/>
      <c r="H6" s="349"/>
    </row>
    <row r="7" spans="1:13">
      <c r="A7" s="350" t="s">
        <v>274</v>
      </c>
      <c r="B7" s="351">
        <v>3697.3761188798289</v>
      </c>
      <c r="C7" s="352">
        <v>10756.488086137215</v>
      </c>
      <c r="D7" s="352">
        <v>1.3814798700000002</v>
      </c>
      <c r="E7" s="352">
        <v>50.138052999999999</v>
      </c>
      <c r="F7" s="352">
        <v>3100.4421202763824</v>
      </c>
      <c r="G7" s="352">
        <v>741.36847499999999</v>
      </c>
      <c r="H7" s="353">
        <v>18347.194333163428</v>
      </c>
      <c r="I7" s="354">
        <v>0</v>
      </c>
      <c r="J7" s="354">
        <v>-806.13680955738164</v>
      </c>
      <c r="K7" s="354"/>
      <c r="L7" s="354"/>
    </row>
    <row r="8" spans="1:13">
      <c r="A8" s="355" t="s">
        <v>275</v>
      </c>
      <c r="B8" s="351"/>
      <c r="C8" s="352"/>
      <c r="D8" s="352"/>
      <c r="E8" s="352"/>
      <c r="F8" s="352"/>
      <c r="G8" s="352"/>
      <c r="H8" s="356"/>
      <c r="I8" s="354"/>
      <c r="J8" s="354"/>
      <c r="K8" s="354"/>
      <c r="L8" s="354"/>
    </row>
    <row r="9" spans="1:13">
      <c r="A9" s="357" t="s">
        <v>276</v>
      </c>
      <c r="B9" s="358">
        <v>1278.1626753499997</v>
      </c>
      <c r="C9" s="359">
        <v>5893.4601569099996</v>
      </c>
      <c r="D9" s="359">
        <v>1.3083758700000001</v>
      </c>
      <c r="E9" s="359">
        <v>0</v>
      </c>
      <c r="F9" s="359">
        <v>563.28558099999998</v>
      </c>
      <c r="G9" s="359">
        <v>264.565067</v>
      </c>
      <c r="H9" s="360">
        <v>8000.7818561299991</v>
      </c>
      <c r="I9" s="354">
        <v>0</v>
      </c>
      <c r="J9" s="354">
        <v>0</v>
      </c>
      <c r="K9" s="354"/>
      <c r="L9" s="354"/>
    </row>
    <row r="10" spans="1:13">
      <c r="A10" s="357" t="s">
        <v>277</v>
      </c>
      <c r="B10" s="358">
        <v>919.63615357000003</v>
      </c>
      <c r="C10" s="359">
        <v>1361.2405657440231</v>
      </c>
      <c r="D10" s="359">
        <v>0</v>
      </c>
      <c r="E10" s="359">
        <v>0</v>
      </c>
      <c r="F10" s="359">
        <v>196.14096000999999</v>
      </c>
      <c r="G10" s="359">
        <v>447.17000100000001</v>
      </c>
      <c r="H10" s="360">
        <v>2924.1876803240229</v>
      </c>
      <c r="I10" s="354">
        <v>0</v>
      </c>
      <c r="J10" s="354">
        <v>0</v>
      </c>
      <c r="K10" s="354"/>
      <c r="L10" s="354"/>
      <c r="M10" s="354"/>
    </row>
    <row r="11" spans="1:13">
      <c r="A11" s="357" t="s">
        <v>278</v>
      </c>
      <c r="B11" s="358">
        <v>5.260097</v>
      </c>
      <c r="C11" s="359">
        <v>1.5698049999999999</v>
      </c>
      <c r="D11" s="359">
        <v>0</v>
      </c>
      <c r="E11" s="359">
        <v>1.965114</v>
      </c>
      <c r="F11" s="359">
        <v>8.9029999999999995E-3</v>
      </c>
      <c r="G11" s="359">
        <v>0</v>
      </c>
      <c r="H11" s="360">
        <v>8.8039190000000005</v>
      </c>
      <c r="I11" s="354">
        <v>0</v>
      </c>
      <c r="J11" s="354">
        <v>0</v>
      </c>
      <c r="K11" s="354"/>
      <c r="L11" s="354"/>
      <c r="M11" s="354"/>
    </row>
    <row r="12" spans="1:13">
      <c r="A12" s="357" t="s">
        <v>279</v>
      </c>
      <c r="B12" s="358">
        <v>3.8555160599999998</v>
      </c>
      <c r="C12" s="359">
        <v>0.13679760999999999</v>
      </c>
      <c r="D12" s="359">
        <v>0</v>
      </c>
      <c r="E12" s="359">
        <v>0</v>
      </c>
      <c r="F12" s="359">
        <v>0</v>
      </c>
      <c r="G12" s="359">
        <v>0</v>
      </c>
      <c r="H12" s="360">
        <v>3.9923136699999997</v>
      </c>
      <c r="I12" s="354">
        <v>0</v>
      </c>
      <c r="J12" s="354">
        <v>0</v>
      </c>
      <c r="K12" s="354"/>
      <c r="L12" s="354"/>
      <c r="M12" s="354"/>
    </row>
    <row r="13" spans="1:13">
      <c r="A13" s="357" t="s">
        <v>280</v>
      </c>
      <c r="B13" s="358">
        <v>875.64518480081472</v>
      </c>
      <c r="C13" s="359">
        <v>1048.9844541099999</v>
      </c>
      <c r="D13" s="359">
        <v>0</v>
      </c>
      <c r="E13" s="359">
        <v>0</v>
      </c>
      <c r="F13" s="359">
        <v>1.6379000000000001E-2</v>
      </c>
      <c r="G13" s="359">
        <v>29.633406999999998</v>
      </c>
      <c r="H13" s="360">
        <v>1954.2794249108147</v>
      </c>
      <c r="I13" s="354">
        <v>0</v>
      </c>
      <c r="J13" s="354">
        <v>0</v>
      </c>
      <c r="K13" s="354"/>
      <c r="L13" s="354"/>
      <c r="M13" s="354"/>
    </row>
    <row r="14" spans="1:13">
      <c r="A14" s="357" t="s">
        <v>281</v>
      </c>
      <c r="B14" s="358">
        <v>38.813429377141361</v>
      </c>
      <c r="C14" s="359">
        <v>77.102447084553731</v>
      </c>
      <c r="D14" s="359">
        <v>0</v>
      </c>
      <c r="E14" s="359">
        <v>3.8893179999999998</v>
      </c>
      <c r="F14" s="359">
        <v>6.1669999999999997E-3</v>
      </c>
      <c r="G14" s="359">
        <v>0</v>
      </c>
      <c r="H14" s="360">
        <v>119.8113614616951</v>
      </c>
      <c r="I14" s="354">
        <v>0</v>
      </c>
      <c r="J14" s="354">
        <v>0</v>
      </c>
      <c r="K14" s="354"/>
      <c r="L14" s="354"/>
      <c r="M14" s="354"/>
    </row>
    <row r="15" spans="1:13">
      <c r="A15" s="357" t="s">
        <v>282</v>
      </c>
      <c r="B15" s="358">
        <v>302.50903367999996</v>
      </c>
      <c r="C15" s="359">
        <v>576.73775158953674</v>
      </c>
      <c r="D15" s="359">
        <v>7.3104000000000002E-2</v>
      </c>
      <c r="E15" s="359">
        <v>43.762963999999997</v>
      </c>
      <c r="F15" s="359">
        <v>69.548012999999997</v>
      </c>
      <c r="G15" s="359">
        <v>0</v>
      </c>
      <c r="H15" s="360">
        <v>992.63086626953668</v>
      </c>
      <c r="I15" s="354">
        <v>0</v>
      </c>
      <c r="J15" s="354">
        <v>0</v>
      </c>
      <c r="K15" s="354"/>
      <c r="L15" s="354"/>
      <c r="M15" s="354"/>
    </row>
    <row r="16" spans="1:13">
      <c r="A16" s="357" t="s">
        <v>283</v>
      </c>
      <c r="B16" s="358">
        <v>166.2882554389295</v>
      </c>
      <c r="C16" s="359">
        <v>128.13595679999997</v>
      </c>
      <c r="D16" s="359">
        <v>0</v>
      </c>
      <c r="E16" s="359">
        <v>0</v>
      </c>
      <c r="F16" s="359">
        <v>105.064666</v>
      </c>
      <c r="G16" s="359">
        <v>0</v>
      </c>
      <c r="H16" s="360">
        <v>399.48887823892949</v>
      </c>
      <c r="I16" s="354">
        <v>0</v>
      </c>
      <c r="J16" s="354">
        <v>0</v>
      </c>
      <c r="K16" s="354"/>
      <c r="L16" s="354"/>
      <c r="M16" s="354"/>
    </row>
    <row r="17" spans="1:13">
      <c r="A17" s="357" t="s">
        <v>284</v>
      </c>
      <c r="B17" s="358">
        <v>107.20577360294388</v>
      </c>
      <c r="C17" s="359">
        <v>1669.1201512891034</v>
      </c>
      <c r="D17" s="359">
        <v>0</v>
      </c>
      <c r="E17" s="359">
        <v>0.52065700000000004</v>
      </c>
      <c r="F17" s="359">
        <v>2166.3714512663823</v>
      </c>
      <c r="G17" s="359">
        <v>0</v>
      </c>
      <c r="H17" s="360">
        <v>3943.2180331584295</v>
      </c>
      <c r="I17" s="354">
        <v>0</v>
      </c>
      <c r="J17" s="354">
        <v>0</v>
      </c>
      <c r="K17" s="354"/>
      <c r="L17" s="354"/>
      <c r="M17" s="354"/>
    </row>
    <row r="18" spans="1:13">
      <c r="A18" s="350"/>
      <c r="B18" s="351"/>
      <c r="C18" s="352"/>
      <c r="D18" s="352"/>
      <c r="E18" s="352"/>
      <c r="F18" s="352"/>
      <c r="G18" s="352"/>
      <c r="H18" s="353"/>
      <c r="I18" s="354"/>
      <c r="J18" s="354"/>
      <c r="K18" s="354"/>
      <c r="L18" s="354"/>
      <c r="M18" s="354"/>
    </row>
    <row r="19" spans="1:13">
      <c r="A19" s="350" t="s">
        <v>285</v>
      </c>
      <c r="B19" s="351">
        <v>5140.7041410344027</v>
      </c>
      <c r="C19" s="352">
        <v>6666.3186363070754</v>
      </c>
      <c r="D19" s="352">
        <v>222.12941659999998</v>
      </c>
      <c r="E19" s="352">
        <v>1699.0108353399999</v>
      </c>
      <c r="F19" s="352">
        <v>4321.6005425719513</v>
      </c>
      <c r="G19" s="352">
        <v>58.984000000000002</v>
      </c>
      <c r="H19" s="353">
        <v>18108.74757185343</v>
      </c>
      <c r="I19" s="354">
        <v>0</v>
      </c>
      <c r="J19" s="354">
        <v>-427.14512719435885</v>
      </c>
      <c r="K19" s="354"/>
      <c r="L19" s="354"/>
      <c r="M19" s="354"/>
    </row>
    <row r="20" spans="1:13">
      <c r="A20" s="355" t="s">
        <v>275</v>
      </c>
      <c r="B20" s="351"/>
      <c r="C20" s="352"/>
      <c r="D20" s="352"/>
      <c r="E20" s="352"/>
      <c r="F20" s="352"/>
      <c r="G20" s="352"/>
      <c r="H20" s="356"/>
      <c r="I20" s="354"/>
      <c r="J20" s="354"/>
      <c r="K20" s="354"/>
      <c r="L20" s="354"/>
      <c r="M20" s="354"/>
    </row>
    <row r="21" spans="1:13">
      <c r="A21" s="357" t="s">
        <v>286</v>
      </c>
      <c r="B21" s="361">
        <v>1347.2461843051269</v>
      </c>
      <c r="C21" s="359">
        <v>1093.1508545805743</v>
      </c>
      <c r="D21" s="359">
        <v>212.36543840000002</v>
      </c>
      <c r="E21" s="359">
        <v>529.11948316000007</v>
      </c>
      <c r="F21" s="359">
        <v>2325.256798583102</v>
      </c>
      <c r="G21" s="359">
        <v>0.5</v>
      </c>
      <c r="H21" s="360">
        <v>5507.6387590288032</v>
      </c>
      <c r="I21" s="354">
        <v>0</v>
      </c>
      <c r="J21" s="354">
        <v>0</v>
      </c>
      <c r="K21" s="354"/>
      <c r="L21" s="354"/>
      <c r="M21" s="354"/>
    </row>
    <row r="22" spans="1:13">
      <c r="A22" s="357" t="s">
        <v>287</v>
      </c>
      <c r="B22" s="361">
        <v>75.346348450000008</v>
      </c>
      <c r="C22" s="359">
        <v>237.94250034000001</v>
      </c>
      <c r="D22" s="359">
        <v>0</v>
      </c>
      <c r="E22" s="359">
        <v>16.577894929999999</v>
      </c>
      <c r="F22" s="359">
        <v>109.26550028809632</v>
      </c>
      <c r="G22" s="359">
        <v>0</v>
      </c>
      <c r="H22" s="360">
        <v>439.13224400809634</v>
      </c>
      <c r="I22" s="354">
        <v>0</v>
      </c>
      <c r="J22" s="354">
        <v>0</v>
      </c>
      <c r="K22" s="354"/>
      <c r="L22" s="354"/>
      <c r="M22" s="354"/>
    </row>
    <row r="23" spans="1:13">
      <c r="A23" s="357" t="s">
        <v>288</v>
      </c>
      <c r="B23" s="361">
        <v>25.683422240000002</v>
      </c>
      <c r="C23" s="359">
        <v>13.256423</v>
      </c>
      <c r="D23" s="359">
        <v>0</v>
      </c>
      <c r="E23" s="359">
        <v>4.480175</v>
      </c>
      <c r="F23" s="359">
        <v>5.3456999999999998E-2</v>
      </c>
      <c r="G23" s="359">
        <v>0</v>
      </c>
      <c r="H23" s="360">
        <v>43.473477240000008</v>
      </c>
      <c r="I23" s="354">
        <v>0</v>
      </c>
      <c r="J23" s="354">
        <v>0</v>
      </c>
      <c r="K23" s="354"/>
      <c r="L23" s="354"/>
      <c r="M23" s="354"/>
    </row>
    <row r="24" spans="1:13">
      <c r="A24" s="357" t="s">
        <v>289</v>
      </c>
      <c r="B24" s="361">
        <v>57.313492490000002</v>
      </c>
      <c r="C24" s="359">
        <v>73.381084399999992</v>
      </c>
      <c r="D24" s="359">
        <v>0</v>
      </c>
      <c r="E24" s="359">
        <v>13.071429</v>
      </c>
      <c r="F24" s="359">
        <v>107.35713072</v>
      </c>
      <c r="G24" s="359">
        <v>0</v>
      </c>
      <c r="H24" s="360">
        <v>251.12313661000002</v>
      </c>
      <c r="I24" s="354">
        <v>0</v>
      </c>
      <c r="J24" s="354">
        <v>0</v>
      </c>
      <c r="K24" s="354"/>
      <c r="L24" s="354"/>
      <c r="M24" s="354"/>
    </row>
    <row r="25" spans="1:13">
      <c r="A25" s="357" t="s">
        <v>290</v>
      </c>
      <c r="B25" s="361">
        <v>4.0099999999999999E-4</v>
      </c>
      <c r="C25" s="359">
        <v>0</v>
      </c>
      <c r="D25" s="359">
        <v>0</v>
      </c>
      <c r="E25" s="359">
        <v>0</v>
      </c>
      <c r="F25" s="359">
        <v>0</v>
      </c>
      <c r="G25" s="359">
        <v>0</v>
      </c>
      <c r="H25" s="360">
        <v>4.0099999999999999E-4</v>
      </c>
      <c r="I25" s="354">
        <v>0</v>
      </c>
      <c r="J25" s="354">
        <v>0</v>
      </c>
      <c r="K25" s="354"/>
      <c r="L25" s="354"/>
      <c r="M25" s="354"/>
    </row>
    <row r="26" spans="1:13">
      <c r="A26" s="357" t="s">
        <v>291</v>
      </c>
      <c r="B26" s="361">
        <v>143.3389303844076</v>
      </c>
      <c r="C26" s="359">
        <v>79.230944782512793</v>
      </c>
      <c r="D26" s="359">
        <v>0</v>
      </c>
      <c r="E26" s="359">
        <v>11.924896</v>
      </c>
      <c r="F26" s="359">
        <v>0.98291110999999998</v>
      </c>
      <c r="G26" s="359">
        <v>0</v>
      </c>
      <c r="H26" s="360">
        <v>235.47768227692038</v>
      </c>
      <c r="I26" s="354">
        <v>0</v>
      </c>
      <c r="J26" s="354">
        <v>0</v>
      </c>
      <c r="K26" s="354"/>
      <c r="L26" s="354"/>
      <c r="M26" s="354"/>
    </row>
    <row r="27" spans="1:13">
      <c r="A27" s="357" t="s">
        <v>292</v>
      </c>
      <c r="B27" s="361">
        <v>259.62307669</v>
      </c>
      <c r="C27" s="359">
        <v>605.69462381999995</v>
      </c>
      <c r="D27" s="359">
        <v>0</v>
      </c>
      <c r="E27" s="359">
        <v>69.289038930000004</v>
      </c>
      <c r="F27" s="359">
        <v>144.69478894000005</v>
      </c>
      <c r="G27" s="359">
        <v>35</v>
      </c>
      <c r="H27" s="360">
        <v>1114.30152838</v>
      </c>
      <c r="I27" s="354">
        <v>0</v>
      </c>
      <c r="J27" s="354">
        <v>0</v>
      </c>
      <c r="K27" s="354"/>
      <c r="L27" s="354"/>
      <c r="M27" s="354"/>
    </row>
    <row r="28" spans="1:13">
      <c r="A28" s="357" t="s">
        <v>293</v>
      </c>
      <c r="B28" s="361">
        <v>475.90305166105128</v>
      </c>
      <c r="C28" s="359">
        <v>704.99972964704466</v>
      </c>
      <c r="D28" s="359">
        <v>0</v>
      </c>
      <c r="E28" s="359">
        <v>319.43884600000001</v>
      </c>
      <c r="F28" s="359">
        <v>201.56133391237083</v>
      </c>
      <c r="G28" s="359">
        <v>0</v>
      </c>
      <c r="H28" s="360">
        <v>1701.9029612204668</v>
      </c>
      <c r="I28" s="354">
        <v>0</v>
      </c>
      <c r="J28" s="354">
        <v>0</v>
      </c>
      <c r="K28" s="354"/>
      <c r="L28" s="354"/>
      <c r="M28" s="354"/>
    </row>
    <row r="29" spans="1:13">
      <c r="A29" s="357" t="s">
        <v>294</v>
      </c>
      <c r="B29" s="361">
        <v>1054.5484973509949</v>
      </c>
      <c r="C29" s="359">
        <v>976.33326490002628</v>
      </c>
      <c r="D29" s="359">
        <v>0</v>
      </c>
      <c r="E29" s="359">
        <v>321.60350301000005</v>
      </c>
      <c r="F29" s="359">
        <v>722.17891038254015</v>
      </c>
      <c r="G29" s="359">
        <v>23.484000000000002</v>
      </c>
      <c r="H29" s="360">
        <v>3098.148175643561</v>
      </c>
      <c r="I29" s="354">
        <v>0</v>
      </c>
      <c r="J29" s="354">
        <v>0</v>
      </c>
      <c r="K29" s="354"/>
      <c r="L29" s="354"/>
      <c r="M29" s="354"/>
    </row>
    <row r="30" spans="1:13">
      <c r="A30" s="357" t="s">
        <v>295</v>
      </c>
      <c r="B30" s="361">
        <v>90.44092257185784</v>
      </c>
      <c r="C30" s="359">
        <v>121.17278232286057</v>
      </c>
      <c r="D30" s="359">
        <v>0</v>
      </c>
      <c r="E30" s="359">
        <v>4.6874603700000002</v>
      </c>
      <c r="F30" s="359">
        <v>49.083575796279995</v>
      </c>
      <c r="G30" s="359">
        <v>0</v>
      </c>
      <c r="H30" s="360">
        <v>265.38474106099841</v>
      </c>
      <c r="I30" s="354">
        <v>0</v>
      </c>
      <c r="J30" s="354">
        <v>0</v>
      </c>
      <c r="K30" s="354"/>
      <c r="L30" s="354"/>
      <c r="M30" s="354"/>
    </row>
    <row r="31" spans="1:13">
      <c r="A31" s="357" t="s">
        <v>296</v>
      </c>
      <c r="B31" s="361">
        <v>73.593284670000003</v>
      </c>
      <c r="C31" s="359">
        <v>81.493950353020281</v>
      </c>
      <c r="D31" s="359">
        <v>0</v>
      </c>
      <c r="E31" s="359">
        <v>8.4745670000000004</v>
      </c>
      <c r="F31" s="359">
        <v>7.3957269999999999</v>
      </c>
      <c r="G31" s="359">
        <v>0</v>
      </c>
      <c r="H31" s="360">
        <v>170.9575290230203</v>
      </c>
      <c r="I31" s="354">
        <v>0</v>
      </c>
      <c r="J31" s="354">
        <v>0</v>
      </c>
      <c r="K31" s="354"/>
      <c r="L31" s="354"/>
      <c r="M31" s="354"/>
    </row>
    <row r="32" spans="1:13">
      <c r="A32" s="357" t="s">
        <v>297</v>
      </c>
      <c r="B32" s="361">
        <v>39.091922118812924</v>
      </c>
      <c r="C32" s="359">
        <v>60.660787160000005</v>
      </c>
      <c r="D32" s="359">
        <v>0</v>
      </c>
      <c r="E32" s="359">
        <v>10.187384</v>
      </c>
      <c r="F32" s="359">
        <v>38.851687579999997</v>
      </c>
      <c r="G32" s="359">
        <v>0</v>
      </c>
      <c r="H32" s="360">
        <v>148.79178085881293</v>
      </c>
      <c r="I32" s="354">
        <v>0</v>
      </c>
      <c r="J32" s="354">
        <v>0</v>
      </c>
      <c r="K32" s="354"/>
      <c r="L32" s="354"/>
      <c r="M32" s="354"/>
    </row>
    <row r="33" spans="1:13">
      <c r="A33" s="357" t="s">
        <v>298</v>
      </c>
      <c r="B33" s="361">
        <v>92.164877429095782</v>
      </c>
      <c r="C33" s="359">
        <v>100.02588111000001</v>
      </c>
      <c r="D33" s="359">
        <v>0</v>
      </c>
      <c r="E33" s="359">
        <v>3.589086</v>
      </c>
      <c r="F33" s="359">
        <v>6.6048999999999997E-2</v>
      </c>
      <c r="G33" s="359">
        <v>0</v>
      </c>
      <c r="H33" s="360">
        <v>195.84589353909578</v>
      </c>
      <c r="I33" s="354">
        <v>0</v>
      </c>
      <c r="J33" s="354">
        <v>0</v>
      </c>
      <c r="K33" s="354"/>
      <c r="L33" s="354"/>
      <c r="M33" s="354"/>
    </row>
    <row r="34" spans="1:13">
      <c r="A34" s="357" t="s">
        <v>299</v>
      </c>
      <c r="B34" s="361">
        <v>28.550417550000006</v>
      </c>
      <c r="C34" s="359">
        <v>32.132751230000004</v>
      </c>
      <c r="D34" s="359">
        <v>0</v>
      </c>
      <c r="E34" s="359">
        <v>12.220351000000001</v>
      </c>
      <c r="F34" s="359">
        <v>1.638345010504493</v>
      </c>
      <c r="G34" s="359">
        <v>0</v>
      </c>
      <c r="H34" s="360">
        <v>74.541864790504505</v>
      </c>
      <c r="I34" s="354">
        <v>0</v>
      </c>
      <c r="J34" s="354">
        <v>0</v>
      </c>
      <c r="K34" s="354"/>
      <c r="L34" s="354"/>
      <c r="M34" s="354"/>
    </row>
    <row r="35" spans="1:13">
      <c r="A35" s="357" t="s">
        <v>300</v>
      </c>
      <c r="B35" s="361">
        <v>109.19487295</v>
      </c>
      <c r="C35" s="359">
        <v>106.95933547</v>
      </c>
      <c r="D35" s="359">
        <v>0</v>
      </c>
      <c r="E35" s="359">
        <v>2.196669</v>
      </c>
      <c r="F35" s="359">
        <v>7.0399999999999998E-4</v>
      </c>
      <c r="G35" s="359">
        <v>0</v>
      </c>
      <c r="H35" s="360">
        <v>218.35158142000003</v>
      </c>
      <c r="I35" s="354">
        <v>0</v>
      </c>
      <c r="J35" s="354">
        <v>0</v>
      </c>
      <c r="K35" s="354"/>
      <c r="L35" s="354"/>
      <c r="M35" s="354"/>
    </row>
    <row r="36" spans="1:13">
      <c r="A36" s="357" t="s">
        <v>301</v>
      </c>
      <c r="B36" s="361">
        <v>84.417620849999992</v>
      </c>
      <c r="C36" s="359">
        <v>41.06180715</v>
      </c>
      <c r="D36" s="359">
        <v>0</v>
      </c>
      <c r="E36" s="359">
        <v>0.63969299999999996</v>
      </c>
      <c r="F36" s="359">
        <v>0</v>
      </c>
      <c r="G36" s="359">
        <v>0</v>
      </c>
      <c r="H36" s="360">
        <v>126.11912099999998</v>
      </c>
      <c r="I36" s="354">
        <v>0</v>
      </c>
      <c r="J36" s="354">
        <v>0</v>
      </c>
      <c r="K36" s="354"/>
      <c r="L36" s="354"/>
      <c r="M36" s="354"/>
    </row>
    <row r="37" spans="1:13">
      <c r="A37" s="357" t="s">
        <v>284</v>
      </c>
      <c r="B37" s="361">
        <v>1184.2468183230553</v>
      </c>
      <c r="C37" s="359">
        <v>2338.8219160410363</v>
      </c>
      <c r="D37" s="359">
        <v>9.7639781999999986</v>
      </c>
      <c r="E37" s="359">
        <v>371.51035894</v>
      </c>
      <c r="F37" s="359">
        <v>613.21362324905715</v>
      </c>
      <c r="G37" s="359">
        <v>0</v>
      </c>
      <c r="H37" s="360">
        <v>4517.5566947531488</v>
      </c>
      <c r="I37" s="354">
        <v>0</v>
      </c>
      <c r="J37" s="354">
        <v>0</v>
      </c>
      <c r="K37" s="354"/>
      <c r="L37" s="354"/>
      <c r="M37" s="354"/>
    </row>
    <row r="38" spans="1:13">
      <c r="A38" s="350"/>
      <c r="B38" s="351"/>
      <c r="C38" s="352"/>
      <c r="D38" s="352"/>
      <c r="E38" s="352"/>
      <c r="F38" s="352"/>
      <c r="G38" s="352"/>
      <c r="H38" s="353"/>
      <c r="I38" s="354"/>
      <c r="J38" s="354"/>
      <c r="K38" s="354"/>
      <c r="L38" s="354"/>
      <c r="M38" s="354"/>
    </row>
    <row r="39" spans="1:13">
      <c r="A39" s="350" t="s">
        <v>302</v>
      </c>
      <c r="B39" s="351">
        <v>4835.6725564496737</v>
      </c>
      <c r="C39" s="352">
        <v>24349.148905489485</v>
      </c>
      <c r="D39" s="352">
        <v>0</v>
      </c>
      <c r="E39" s="352">
        <v>6.8514980000000003</v>
      </c>
      <c r="F39" s="352">
        <v>18466.968637865979</v>
      </c>
      <c r="G39" s="352">
        <v>552.82210999999995</v>
      </c>
      <c r="H39" s="353">
        <v>48211.463707805138</v>
      </c>
      <c r="I39" s="354">
        <v>0</v>
      </c>
      <c r="J39" s="354">
        <v>1992.7052875792313</v>
      </c>
      <c r="K39" s="354"/>
      <c r="L39" s="354"/>
      <c r="M39" s="354"/>
    </row>
    <row r="40" spans="1:13">
      <c r="A40" s="355" t="s">
        <v>275</v>
      </c>
      <c r="B40" s="351"/>
      <c r="C40" s="352"/>
      <c r="D40" s="352"/>
      <c r="E40" s="352"/>
      <c r="F40" s="352"/>
      <c r="G40" s="352"/>
      <c r="H40" s="356"/>
      <c r="I40" s="354"/>
      <c r="J40" s="354"/>
      <c r="K40" s="354"/>
      <c r="L40" s="354"/>
      <c r="M40" s="354"/>
    </row>
    <row r="41" spans="1:13">
      <c r="A41" s="357" t="s">
        <v>303</v>
      </c>
      <c r="B41" s="361">
        <v>2790.0797756886295</v>
      </c>
      <c r="C41" s="359">
        <v>12501.01715915473</v>
      </c>
      <c r="D41" s="359">
        <v>0</v>
      </c>
      <c r="E41" s="359">
        <v>0</v>
      </c>
      <c r="F41" s="359">
        <v>13296.193150023031</v>
      </c>
      <c r="G41" s="359">
        <v>0.51919999999999999</v>
      </c>
      <c r="H41" s="360">
        <v>28587.809284866391</v>
      </c>
      <c r="I41" s="354">
        <v>0</v>
      </c>
      <c r="J41" s="354">
        <v>0</v>
      </c>
      <c r="K41" s="354"/>
      <c r="L41" s="354"/>
      <c r="M41" s="354"/>
    </row>
    <row r="42" spans="1:13">
      <c r="A42" s="357" t="s">
        <v>304</v>
      </c>
      <c r="B42" s="361">
        <v>261.54210399532303</v>
      </c>
      <c r="C42" s="359">
        <v>241.81178325534978</v>
      </c>
      <c r="D42" s="359">
        <v>0</v>
      </c>
      <c r="E42" s="359">
        <v>6.8514980000000003</v>
      </c>
      <c r="F42" s="359">
        <v>62.315843610000002</v>
      </c>
      <c r="G42" s="359">
        <v>0</v>
      </c>
      <c r="H42" s="360">
        <v>572.52122886067286</v>
      </c>
      <c r="I42" s="354">
        <v>0</v>
      </c>
      <c r="J42" s="354">
        <v>0</v>
      </c>
      <c r="K42" s="354"/>
      <c r="L42" s="354"/>
      <c r="M42" s="354"/>
    </row>
    <row r="43" spans="1:13">
      <c r="A43" s="357" t="s">
        <v>305</v>
      </c>
      <c r="B43" s="361">
        <v>41.170695109999997</v>
      </c>
      <c r="C43" s="359">
        <v>626.97395640000002</v>
      </c>
      <c r="D43" s="359">
        <v>0</v>
      </c>
      <c r="E43" s="359">
        <v>0</v>
      </c>
      <c r="F43" s="359">
        <v>545.6713383</v>
      </c>
      <c r="G43" s="359">
        <v>0</v>
      </c>
      <c r="H43" s="360">
        <v>1213.81598981</v>
      </c>
      <c r="I43" s="354">
        <v>0</v>
      </c>
      <c r="J43" s="354">
        <v>0</v>
      </c>
      <c r="K43" s="354"/>
      <c r="L43" s="354"/>
      <c r="M43" s="354"/>
    </row>
    <row r="44" spans="1:13">
      <c r="A44" s="357" t="s">
        <v>306</v>
      </c>
      <c r="B44" s="361">
        <v>1549.80091442</v>
      </c>
      <c r="C44" s="359">
        <v>9574.8807515499993</v>
      </c>
      <c r="D44" s="359">
        <v>0</v>
      </c>
      <c r="E44" s="359">
        <v>0</v>
      </c>
      <c r="F44" s="359">
        <v>3379.1603216187182</v>
      </c>
      <c r="G44" s="359">
        <v>552.30291</v>
      </c>
      <c r="H44" s="360">
        <v>15056.144897588718</v>
      </c>
      <c r="I44" s="354">
        <v>0</v>
      </c>
      <c r="J44" s="354">
        <v>0</v>
      </c>
      <c r="K44" s="354"/>
      <c r="L44" s="354"/>
      <c r="M44" s="354"/>
    </row>
    <row r="45" spans="1:13">
      <c r="A45" s="357" t="s">
        <v>307</v>
      </c>
      <c r="B45" s="361">
        <v>82.689619908738578</v>
      </c>
      <c r="C45" s="359">
        <v>386.17145466940048</v>
      </c>
      <c r="D45" s="359">
        <v>0</v>
      </c>
      <c r="E45" s="359">
        <v>0</v>
      </c>
      <c r="F45" s="359">
        <v>573.09319300000004</v>
      </c>
      <c r="G45" s="359">
        <v>0</v>
      </c>
      <c r="H45" s="360">
        <v>1041.954267578139</v>
      </c>
      <c r="I45" s="354">
        <v>0</v>
      </c>
      <c r="J45" s="354">
        <v>0</v>
      </c>
      <c r="K45" s="354"/>
      <c r="L45" s="354"/>
      <c r="M45" s="354"/>
    </row>
    <row r="46" spans="1:13">
      <c r="A46" s="357" t="s">
        <v>308</v>
      </c>
      <c r="B46" s="361">
        <v>3.7710082300000001</v>
      </c>
      <c r="C46" s="359">
        <v>19.243698510000002</v>
      </c>
      <c r="D46" s="359">
        <v>0</v>
      </c>
      <c r="E46" s="359">
        <v>0</v>
      </c>
      <c r="F46" s="359">
        <v>4.718E-3</v>
      </c>
      <c r="G46" s="359">
        <v>0</v>
      </c>
      <c r="H46" s="360">
        <v>23.019424740000002</v>
      </c>
      <c r="I46" s="354">
        <v>0</v>
      </c>
      <c r="J46" s="354">
        <v>0</v>
      </c>
      <c r="K46" s="354"/>
      <c r="L46" s="354"/>
      <c r="M46" s="354"/>
    </row>
    <row r="47" spans="1:13">
      <c r="A47" s="357" t="s">
        <v>284</v>
      </c>
      <c r="B47" s="361">
        <v>106.61843909698302</v>
      </c>
      <c r="C47" s="359">
        <v>999.05010195000864</v>
      </c>
      <c r="D47" s="359">
        <v>0</v>
      </c>
      <c r="E47" s="359">
        <v>0</v>
      </c>
      <c r="F47" s="359">
        <v>610.53007331422714</v>
      </c>
      <c r="G47" s="359">
        <v>0</v>
      </c>
      <c r="H47" s="360">
        <v>1716.1986143612189</v>
      </c>
      <c r="I47" s="354">
        <v>0</v>
      </c>
      <c r="J47" s="354">
        <v>0</v>
      </c>
      <c r="K47" s="354"/>
      <c r="L47" s="354"/>
      <c r="M47" s="354"/>
    </row>
    <row r="48" spans="1:13">
      <c r="A48" s="350"/>
      <c r="B48" s="351"/>
      <c r="C48" s="352"/>
      <c r="D48" s="352"/>
      <c r="E48" s="352"/>
      <c r="F48" s="352"/>
      <c r="G48" s="352"/>
      <c r="H48" s="353"/>
      <c r="I48" s="354"/>
      <c r="J48" s="354"/>
      <c r="K48" s="354"/>
      <c r="L48" s="354"/>
      <c r="M48" s="354"/>
    </row>
    <row r="49" spans="1:13">
      <c r="A49" s="350" t="s">
        <v>309</v>
      </c>
      <c r="B49" s="351">
        <v>642.71007826806658</v>
      </c>
      <c r="C49" s="352">
        <v>2531.8665982474604</v>
      </c>
      <c r="D49" s="352">
        <v>0</v>
      </c>
      <c r="E49" s="352">
        <v>7.3262150000000004</v>
      </c>
      <c r="F49" s="352">
        <v>1691.3530754869255</v>
      </c>
      <c r="G49" s="352">
        <v>1.0000000000000001E-5</v>
      </c>
      <c r="H49" s="353">
        <v>4873.2559770024518</v>
      </c>
      <c r="I49" s="354"/>
      <c r="J49" s="354">
        <v>149011537.79713893</v>
      </c>
      <c r="K49" s="354"/>
      <c r="L49" s="354"/>
      <c r="M49" s="354"/>
    </row>
    <row r="50" spans="1:13">
      <c r="A50" s="355" t="s">
        <v>275</v>
      </c>
      <c r="B50" s="351"/>
      <c r="C50" s="352"/>
      <c r="D50" s="352"/>
      <c r="E50" s="352"/>
      <c r="F50" s="352"/>
      <c r="G50" s="352"/>
      <c r="H50" s="356"/>
      <c r="I50" s="354"/>
      <c r="J50" s="354"/>
      <c r="K50" s="354"/>
      <c r="L50" s="354"/>
      <c r="M50" s="354"/>
    </row>
    <row r="51" spans="1:13">
      <c r="A51" s="357" t="s">
        <v>310</v>
      </c>
      <c r="B51" s="361">
        <v>3.0676913399999997</v>
      </c>
      <c r="C51" s="359">
        <v>23.02783822</v>
      </c>
      <c r="D51" s="359">
        <v>0</v>
      </c>
      <c r="E51" s="359">
        <v>0</v>
      </c>
      <c r="F51" s="359">
        <v>13.1196</v>
      </c>
      <c r="G51" s="359">
        <v>0</v>
      </c>
      <c r="H51" s="360">
        <v>39.215129560000001</v>
      </c>
      <c r="I51" s="354"/>
      <c r="J51" s="354"/>
      <c r="K51" s="354"/>
      <c r="L51" s="354"/>
      <c r="M51" s="354"/>
    </row>
    <row r="52" spans="1:13">
      <c r="A52" s="357" t="s">
        <v>311</v>
      </c>
      <c r="B52" s="361">
        <v>248.00491329387722</v>
      </c>
      <c r="C52" s="359">
        <v>1459.7934623880642</v>
      </c>
      <c r="D52" s="359">
        <v>0</v>
      </c>
      <c r="E52" s="359">
        <v>0</v>
      </c>
      <c r="F52" s="359">
        <v>2.9051569818488332</v>
      </c>
      <c r="G52" s="359">
        <v>0</v>
      </c>
      <c r="H52" s="360">
        <v>1710.7035326637904</v>
      </c>
      <c r="I52" s="354"/>
      <c r="J52" s="354"/>
      <c r="K52" s="354"/>
      <c r="L52" s="354"/>
      <c r="M52" s="354"/>
    </row>
    <row r="53" spans="1:13">
      <c r="A53" s="357" t="s">
        <v>312</v>
      </c>
      <c r="B53" s="361">
        <v>263.57693587</v>
      </c>
      <c r="C53" s="359">
        <v>727.95137543003796</v>
      </c>
      <c r="D53" s="359">
        <v>0</v>
      </c>
      <c r="E53" s="359">
        <v>3.310632</v>
      </c>
      <c r="F53" s="359">
        <v>1261.7284685527934</v>
      </c>
      <c r="G53" s="359">
        <v>1.0000000000000001E-5</v>
      </c>
      <c r="H53" s="360">
        <v>2256.5674218528316</v>
      </c>
      <c r="I53" s="354"/>
      <c r="J53" s="354"/>
      <c r="K53" s="354"/>
      <c r="L53" s="354"/>
      <c r="M53" s="354"/>
    </row>
    <row r="54" spans="1:13">
      <c r="A54" s="357" t="s">
        <v>284</v>
      </c>
      <c r="B54" s="361">
        <v>128.06053776418929</v>
      </c>
      <c r="C54" s="359">
        <v>321.09392220935797</v>
      </c>
      <c r="D54" s="359">
        <v>0</v>
      </c>
      <c r="E54" s="359">
        <v>4.0155830000000003</v>
      </c>
      <c r="F54" s="359">
        <v>413.59984995228331</v>
      </c>
      <c r="G54" s="359">
        <v>0</v>
      </c>
      <c r="H54" s="360">
        <v>866.76989292583062</v>
      </c>
      <c r="I54" s="354"/>
      <c r="J54" s="354"/>
      <c r="K54" s="354"/>
      <c r="L54" s="354"/>
      <c r="M54" s="354"/>
    </row>
    <row r="55" spans="1:13">
      <c r="A55" s="350"/>
      <c r="B55" s="351"/>
      <c r="C55" s="352"/>
      <c r="D55" s="352"/>
      <c r="E55" s="352"/>
      <c r="F55" s="352"/>
      <c r="G55" s="352"/>
      <c r="H55" s="353"/>
      <c r="I55" s="354"/>
      <c r="J55" s="354"/>
      <c r="K55" s="354"/>
      <c r="L55" s="354"/>
      <c r="M55" s="354"/>
    </row>
    <row r="56" spans="1:13">
      <c r="A56" s="350" t="s">
        <v>313</v>
      </c>
      <c r="B56" s="351">
        <v>5575.2432352301312</v>
      </c>
      <c r="C56" s="352">
        <v>67114.25071402805</v>
      </c>
      <c r="D56" s="352">
        <v>334.53779694000002</v>
      </c>
      <c r="E56" s="352">
        <v>100.41292128000001</v>
      </c>
      <c r="F56" s="352">
        <v>3382.1952703002376</v>
      </c>
      <c r="G56" s="352">
        <v>191.51397272205463</v>
      </c>
      <c r="H56" s="353">
        <v>76698.153910500463</v>
      </c>
      <c r="I56" s="354">
        <v>0</v>
      </c>
      <c r="J56" s="354">
        <v>3997.6323430190123</v>
      </c>
      <c r="K56" s="354"/>
      <c r="L56" s="354"/>
      <c r="M56" s="354"/>
    </row>
    <row r="57" spans="1:13">
      <c r="A57" s="355" t="s">
        <v>275</v>
      </c>
      <c r="B57" s="351"/>
      <c r="C57" s="352"/>
      <c r="D57" s="352"/>
      <c r="E57" s="352"/>
      <c r="F57" s="352"/>
      <c r="G57" s="352"/>
      <c r="H57" s="356"/>
      <c r="I57" s="354"/>
      <c r="J57" s="354"/>
      <c r="K57" s="354"/>
      <c r="L57" s="354"/>
      <c r="M57" s="354"/>
    </row>
    <row r="58" spans="1:13">
      <c r="A58" s="357" t="s">
        <v>314</v>
      </c>
      <c r="B58" s="361">
        <v>941.6981594588392</v>
      </c>
      <c r="C58" s="359">
        <v>1442.2341794209599</v>
      </c>
      <c r="D58" s="359">
        <v>329.95464239</v>
      </c>
      <c r="E58" s="359">
        <v>2.7981530000000001</v>
      </c>
      <c r="F58" s="359">
        <v>1.2067190000000001</v>
      </c>
      <c r="G58" s="359">
        <v>0</v>
      </c>
      <c r="H58" s="360">
        <v>2717.8918532697994</v>
      </c>
      <c r="I58" s="354">
        <v>0</v>
      </c>
      <c r="J58" s="354">
        <v>20.744312029999971</v>
      </c>
      <c r="K58" s="354"/>
      <c r="L58" s="354"/>
      <c r="M58" s="354"/>
    </row>
    <row r="59" spans="1:13">
      <c r="A59" s="357" t="s">
        <v>315</v>
      </c>
      <c r="B59" s="361">
        <v>1786.5368297255502</v>
      </c>
      <c r="C59" s="359">
        <v>11900.102322982366</v>
      </c>
      <c r="D59" s="359">
        <v>4.5831545499999997</v>
      </c>
      <c r="E59" s="359">
        <v>3.6629999999999998</v>
      </c>
      <c r="F59" s="359">
        <v>328.46265603204614</v>
      </c>
      <c r="G59" s="359">
        <v>3.4755463059991598E-7</v>
      </c>
      <c r="H59" s="360">
        <v>14023.347963637518</v>
      </c>
      <c r="I59" s="354">
        <v>0</v>
      </c>
      <c r="J59" s="354">
        <v>711.46544827000002</v>
      </c>
      <c r="K59" s="354"/>
      <c r="L59" s="354"/>
      <c r="M59" s="354"/>
    </row>
    <row r="60" spans="1:13">
      <c r="A60" s="357" t="s">
        <v>316</v>
      </c>
      <c r="B60" s="361">
        <v>1229.8288381513205</v>
      </c>
      <c r="C60" s="359">
        <v>3494.4899523836152</v>
      </c>
      <c r="D60" s="359">
        <v>0</v>
      </c>
      <c r="E60" s="359">
        <v>10.71</v>
      </c>
      <c r="F60" s="359">
        <v>2143.3025698181918</v>
      </c>
      <c r="G60" s="359">
        <v>148.69917237449999</v>
      </c>
      <c r="H60" s="360">
        <v>7027.0305327276274</v>
      </c>
      <c r="I60" s="354">
        <v>0</v>
      </c>
      <c r="J60" s="354">
        <v>803.78904303000002</v>
      </c>
      <c r="K60" s="354"/>
      <c r="L60" s="354"/>
      <c r="M60" s="354"/>
    </row>
    <row r="61" spans="1:13">
      <c r="A61" s="357" t="s">
        <v>317</v>
      </c>
      <c r="B61" s="361">
        <v>389.9973777300001</v>
      </c>
      <c r="C61" s="359">
        <v>883.69302859318088</v>
      </c>
      <c r="D61" s="359">
        <v>0</v>
      </c>
      <c r="E61" s="359">
        <v>0</v>
      </c>
      <c r="F61" s="359">
        <v>192.09564871999999</v>
      </c>
      <c r="G61" s="359">
        <v>0</v>
      </c>
      <c r="H61" s="360">
        <v>1465.786055043181</v>
      </c>
      <c r="I61" s="354">
        <v>0</v>
      </c>
      <c r="J61" s="354">
        <v>7.1072843000000123</v>
      </c>
      <c r="K61" s="354"/>
      <c r="L61" s="354"/>
      <c r="M61" s="354"/>
    </row>
    <row r="62" spans="1:13">
      <c r="A62" s="357" t="s">
        <v>318</v>
      </c>
      <c r="B62" s="361">
        <v>8.8784703687116266</v>
      </c>
      <c r="C62" s="359">
        <v>42553.142471342799</v>
      </c>
      <c r="D62" s="359">
        <v>0</v>
      </c>
      <c r="E62" s="359">
        <v>0</v>
      </c>
      <c r="F62" s="359">
        <v>704.26754816000005</v>
      </c>
      <c r="G62" s="359">
        <v>0</v>
      </c>
      <c r="H62" s="360">
        <v>43266.288489871513</v>
      </c>
      <c r="I62" s="354">
        <v>0</v>
      </c>
      <c r="J62" s="354">
        <v>1809.2352186483802</v>
      </c>
      <c r="K62" s="354"/>
      <c r="L62" s="354"/>
      <c r="M62" s="354"/>
    </row>
    <row r="63" spans="1:13">
      <c r="A63" s="357" t="s">
        <v>319</v>
      </c>
      <c r="B63" s="361">
        <v>0</v>
      </c>
      <c r="C63" s="359">
        <v>3763.5478403285319</v>
      </c>
      <c r="D63" s="359">
        <v>0</v>
      </c>
      <c r="E63" s="359">
        <v>0</v>
      </c>
      <c r="F63" s="359">
        <v>0</v>
      </c>
      <c r="G63" s="359">
        <v>0</v>
      </c>
      <c r="H63" s="360">
        <v>3763.5478403285319</v>
      </c>
      <c r="I63" s="354">
        <v>0</v>
      </c>
      <c r="J63" s="354">
        <v>144.45805041142904</v>
      </c>
      <c r="K63" s="354"/>
      <c r="L63" s="354"/>
      <c r="M63" s="354"/>
    </row>
    <row r="64" spans="1:13">
      <c r="A64" s="357" t="s">
        <v>320</v>
      </c>
      <c r="B64" s="361">
        <v>13.653785769999999</v>
      </c>
      <c r="C64" s="359">
        <v>1.03128658</v>
      </c>
      <c r="D64" s="359">
        <v>0</v>
      </c>
      <c r="E64" s="359">
        <v>0</v>
      </c>
      <c r="F64" s="359">
        <v>0</v>
      </c>
      <c r="G64" s="359">
        <v>0</v>
      </c>
      <c r="H64" s="360">
        <v>14.685072349999999</v>
      </c>
      <c r="I64" s="354">
        <v>0</v>
      </c>
      <c r="J64" s="354">
        <v>3.0505472500000002</v>
      </c>
      <c r="K64" s="354"/>
      <c r="L64" s="354"/>
      <c r="M64" s="354"/>
    </row>
    <row r="65" spans="1:13">
      <c r="A65" s="357" t="s">
        <v>321</v>
      </c>
      <c r="B65" s="361">
        <v>114.96957999999999</v>
      </c>
      <c r="C65" s="359">
        <v>978.69186500000001</v>
      </c>
      <c r="D65" s="359">
        <v>0</v>
      </c>
      <c r="E65" s="359">
        <v>0</v>
      </c>
      <c r="F65" s="359">
        <v>4.9820000000000003E-3</v>
      </c>
      <c r="G65" s="359">
        <v>0</v>
      </c>
      <c r="H65" s="360">
        <v>1093.6664269999999</v>
      </c>
      <c r="I65" s="354">
        <v>0</v>
      </c>
      <c r="J65" s="354">
        <v>8.05821772999996</v>
      </c>
      <c r="K65" s="354"/>
      <c r="L65" s="354"/>
      <c r="M65" s="354"/>
    </row>
    <row r="66" spans="1:13">
      <c r="A66" s="357" t="s">
        <v>322</v>
      </c>
      <c r="B66" s="361">
        <v>247.60271928</v>
      </c>
      <c r="C66" s="359">
        <v>803.61327266000001</v>
      </c>
      <c r="D66" s="359">
        <v>0</v>
      </c>
      <c r="E66" s="359">
        <v>54.767786000000001</v>
      </c>
      <c r="F66" s="359">
        <v>12.814198220000002</v>
      </c>
      <c r="G66" s="359">
        <v>0</v>
      </c>
      <c r="H66" s="360">
        <v>1118.79797616</v>
      </c>
      <c r="I66" s="354">
        <v>0</v>
      </c>
      <c r="J66" s="354">
        <v>67.095245579203336</v>
      </c>
      <c r="K66" s="354"/>
      <c r="L66" s="354"/>
      <c r="M66" s="354"/>
    </row>
    <row r="67" spans="1:13">
      <c r="A67" s="357" t="s">
        <v>323</v>
      </c>
      <c r="B67" s="361">
        <v>268.50815221367714</v>
      </c>
      <c r="C67" s="359">
        <v>269.10384159000006</v>
      </c>
      <c r="D67" s="359">
        <v>0</v>
      </c>
      <c r="E67" s="359">
        <v>5.8375120000000003</v>
      </c>
      <c r="F67" s="359">
        <v>8.5050000000000004E-3</v>
      </c>
      <c r="G67" s="359">
        <v>42.814799999999998</v>
      </c>
      <c r="H67" s="360">
        <v>586.2728108036772</v>
      </c>
      <c r="I67" s="354">
        <v>0</v>
      </c>
      <c r="J67" s="354">
        <v>243.98757749999999</v>
      </c>
      <c r="K67" s="354"/>
      <c r="L67" s="354"/>
      <c r="M67" s="354"/>
    </row>
    <row r="68" spans="1:13" ht="13.5" thickBot="1">
      <c r="A68" s="362" t="s">
        <v>284</v>
      </c>
      <c r="B68" s="363">
        <v>573.56932253203206</v>
      </c>
      <c r="C68" s="364">
        <v>1024.6006531466046</v>
      </c>
      <c r="D68" s="364">
        <v>0</v>
      </c>
      <c r="E68" s="364">
        <v>22.636470280000001</v>
      </c>
      <c r="F68" s="364">
        <v>3.2443349999999996E-2</v>
      </c>
      <c r="G68" s="364">
        <v>0</v>
      </c>
      <c r="H68" s="365">
        <v>1620.8388893086365</v>
      </c>
      <c r="I68" s="354">
        <v>0</v>
      </c>
      <c r="J68" s="354">
        <v>178.64139826999997</v>
      </c>
      <c r="K68" s="354"/>
      <c r="L68" s="354"/>
      <c r="M68" s="354"/>
    </row>
    <row r="69" spans="1:13" s="369" customFormat="1" ht="13.5" thickTop="1">
      <c r="A69" s="366" t="s">
        <v>324</v>
      </c>
      <c r="B69" s="367"/>
      <c r="C69" s="367"/>
      <c r="D69" s="367"/>
      <c r="E69" s="367"/>
      <c r="F69" s="367"/>
      <c r="G69" s="368"/>
      <c r="H69" s="367"/>
      <c r="I69" s="354"/>
      <c r="J69" s="354"/>
      <c r="K69" s="354"/>
      <c r="L69" s="354"/>
      <c r="M69" s="354"/>
    </row>
    <row r="70" spans="1:13" ht="13.5" thickBot="1">
      <c r="A70" s="370"/>
      <c r="B70" s="371"/>
      <c r="C70" s="371"/>
      <c r="D70" s="371"/>
      <c r="E70" s="371"/>
      <c r="F70" s="371"/>
      <c r="H70" s="372" t="s">
        <v>74</v>
      </c>
      <c r="I70" s="354"/>
      <c r="J70" s="354"/>
      <c r="K70" s="354"/>
      <c r="L70" s="354"/>
      <c r="M70" s="354"/>
    </row>
    <row r="71" spans="1:13" ht="13.5" thickTop="1">
      <c r="A71" s="373" t="s">
        <v>263</v>
      </c>
      <c r="B71" s="374" t="s">
        <v>264</v>
      </c>
      <c r="C71" s="375" t="s">
        <v>64</v>
      </c>
      <c r="D71" s="375" t="s">
        <v>265</v>
      </c>
      <c r="E71" s="375" t="s">
        <v>265</v>
      </c>
      <c r="F71" s="375" t="s">
        <v>266</v>
      </c>
      <c r="G71" s="375" t="s">
        <v>267</v>
      </c>
      <c r="H71" s="376" t="s">
        <v>247</v>
      </c>
      <c r="I71" s="354"/>
      <c r="J71" s="354"/>
      <c r="K71" s="354"/>
      <c r="L71" s="354"/>
      <c r="M71" s="354"/>
    </row>
    <row r="72" spans="1:13">
      <c r="A72" s="377"/>
      <c r="B72" s="378"/>
      <c r="C72" s="379"/>
      <c r="D72" s="379" t="s">
        <v>268</v>
      </c>
      <c r="E72" s="379" t="s">
        <v>269</v>
      </c>
      <c r="F72" s="379" t="s">
        <v>270</v>
      </c>
      <c r="G72" s="379" t="s">
        <v>271</v>
      </c>
      <c r="H72" s="380"/>
      <c r="I72" s="354"/>
      <c r="J72" s="354"/>
      <c r="K72" s="354"/>
      <c r="L72" s="354"/>
      <c r="M72" s="354"/>
    </row>
    <row r="73" spans="1:13" ht="13.5" thickBot="1">
      <c r="A73" s="381"/>
      <c r="B73" s="382"/>
      <c r="C73" s="383"/>
      <c r="D73" s="383" t="s">
        <v>272</v>
      </c>
      <c r="E73" s="383"/>
      <c r="F73" s="383" t="s">
        <v>64</v>
      </c>
      <c r="G73" s="383" t="s">
        <v>273</v>
      </c>
      <c r="H73" s="384"/>
      <c r="I73" s="354"/>
      <c r="J73" s="354"/>
      <c r="K73" s="354"/>
      <c r="L73" s="354"/>
      <c r="M73" s="354"/>
    </row>
    <row r="74" spans="1:13" ht="13.5" thickTop="1">
      <c r="A74" s="350"/>
      <c r="B74" s="385"/>
      <c r="C74" s="386"/>
      <c r="D74" s="386"/>
      <c r="E74" s="386"/>
      <c r="F74" s="386"/>
      <c r="G74" s="386"/>
      <c r="H74" s="387"/>
      <c r="I74" s="354"/>
      <c r="J74" s="354"/>
      <c r="K74" s="354"/>
      <c r="L74" s="354"/>
      <c r="M74" s="354"/>
    </row>
    <row r="75" spans="1:13">
      <c r="A75" s="350" t="s">
        <v>325</v>
      </c>
      <c r="B75" s="388">
        <v>9756.5958137743364</v>
      </c>
      <c r="C75" s="352">
        <v>16354.874119758251</v>
      </c>
      <c r="D75" s="352">
        <v>48.919288200000004</v>
      </c>
      <c r="E75" s="352">
        <v>1999.6893087400001</v>
      </c>
      <c r="F75" s="352">
        <v>3194.8698556449385</v>
      </c>
      <c r="G75" s="352">
        <v>37.832749999999997</v>
      </c>
      <c r="H75" s="353">
        <v>31392.781136117523</v>
      </c>
      <c r="I75" s="354"/>
      <c r="J75" s="354">
        <v>-17712488401.414356</v>
      </c>
      <c r="K75" s="354"/>
      <c r="L75" s="354"/>
      <c r="M75" s="354"/>
    </row>
    <row r="76" spans="1:13">
      <c r="A76" s="355" t="s">
        <v>275</v>
      </c>
      <c r="B76" s="388"/>
      <c r="C76" s="352"/>
      <c r="D76" s="352"/>
      <c r="E76" s="352"/>
      <c r="F76" s="352"/>
      <c r="G76" s="352"/>
      <c r="H76" s="356"/>
      <c r="I76" s="354"/>
      <c r="J76" s="354"/>
      <c r="K76" s="354"/>
      <c r="L76" s="354"/>
      <c r="M76" s="354"/>
    </row>
    <row r="77" spans="1:13">
      <c r="A77" s="357" t="s">
        <v>326</v>
      </c>
      <c r="B77" s="389">
        <v>41.692797070000005</v>
      </c>
      <c r="C77" s="359">
        <v>44.493753720000001</v>
      </c>
      <c r="D77" s="359">
        <v>0</v>
      </c>
      <c r="E77" s="359">
        <v>6.2342639999999996</v>
      </c>
      <c r="F77" s="359">
        <v>8.4762000000000004E-2</v>
      </c>
      <c r="G77" s="359">
        <v>0</v>
      </c>
      <c r="H77" s="360">
        <v>92.505576790000006</v>
      </c>
      <c r="I77" s="354"/>
      <c r="J77" s="354"/>
      <c r="K77" s="354"/>
      <c r="L77" s="354"/>
      <c r="M77" s="354"/>
    </row>
    <row r="78" spans="1:13">
      <c r="A78" s="357" t="s">
        <v>327</v>
      </c>
      <c r="B78" s="389">
        <v>2687.2901158075401</v>
      </c>
      <c r="C78" s="359">
        <v>4842.0364825306469</v>
      </c>
      <c r="D78" s="359">
        <v>0</v>
      </c>
      <c r="E78" s="359">
        <v>582.76690324000003</v>
      </c>
      <c r="F78" s="359">
        <v>1206.0261686719282</v>
      </c>
      <c r="G78" s="359">
        <v>0</v>
      </c>
      <c r="H78" s="360">
        <v>9318.1196702501147</v>
      </c>
      <c r="I78" s="354"/>
      <c r="J78" s="354"/>
      <c r="K78" s="354"/>
      <c r="L78" s="354"/>
      <c r="M78" s="354"/>
    </row>
    <row r="79" spans="1:13">
      <c r="A79" s="357" t="s">
        <v>328</v>
      </c>
      <c r="B79" s="389">
        <v>5.2800000000000004E-4</v>
      </c>
      <c r="C79" s="359">
        <v>91.124142059999997</v>
      </c>
      <c r="D79" s="359">
        <v>0</v>
      </c>
      <c r="E79" s="359">
        <v>0</v>
      </c>
      <c r="F79" s="359">
        <v>0</v>
      </c>
      <c r="G79" s="359">
        <v>0</v>
      </c>
      <c r="H79" s="360">
        <v>91.12467006</v>
      </c>
      <c r="I79" s="354"/>
      <c r="J79" s="354"/>
      <c r="K79" s="354"/>
      <c r="L79" s="354"/>
      <c r="M79" s="354"/>
    </row>
    <row r="80" spans="1:13">
      <c r="A80" s="357" t="s">
        <v>329</v>
      </c>
      <c r="B80" s="389">
        <v>179.33884775999999</v>
      </c>
      <c r="C80" s="359">
        <v>887.22764434999988</v>
      </c>
      <c r="D80" s="359">
        <v>0</v>
      </c>
      <c r="E80" s="359">
        <v>0</v>
      </c>
      <c r="F80" s="359">
        <v>5.47483E-3</v>
      </c>
      <c r="G80" s="359">
        <v>0</v>
      </c>
      <c r="H80" s="360">
        <v>1066.5719669399998</v>
      </c>
      <c r="I80" s="354"/>
      <c r="J80" s="354"/>
      <c r="K80" s="354"/>
      <c r="L80" s="354"/>
      <c r="M80" s="354"/>
    </row>
    <row r="81" spans="1:13">
      <c r="A81" s="357" t="s">
        <v>330</v>
      </c>
      <c r="B81" s="389">
        <v>199.87141738</v>
      </c>
      <c r="C81" s="359">
        <v>451.07309178999992</v>
      </c>
      <c r="D81" s="359">
        <v>0</v>
      </c>
      <c r="E81" s="359">
        <v>39.082110180000001</v>
      </c>
      <c r="F81" s="359">
        <v>0.11065904</v>
      </c>
      <c r="G81" s="359">
        <v>0</v>
      </c>
      <c r="H81" s="360">
        <v>690.13727838999989</v>
      </c>
      <c r="I81" s="354"/>
      <c r="J81" s="354"/>
      <c r="K81" s="354"/>
      <c r="L81" s="354"/>
      <c r="M81" s="354"/>
    </row>
    <row r="82" spans="1:13">
      <c r="A82" s="357" t="s">
        <v>331</v>
      </c>
      <c r="B82" s="389">
        <v>56.518445639999996</v>
      </c>
      <c r="C82" s="359">
        <v>134.49027003899803</v>
      </c>
      <c r="D82" s="359">
        <v>0</v>
      </c>
      <c r="E82" s="359">
        <v>22.335896009999999</v>
      </c>
      <c r="F82" s="359">
        <v>2.6338490000000003E-2</v>
      </c>
      <c r="G82" s="359">
        <v>0</v>
      </c>
      <c r="H82" s="360">
        <v>213.37095017899804</v>
      </c>
      <c r="I82" s="354"/>
      <c r="J82" s="354"/>
      <c r="K82" s="354"/>
      <c r="L82" s="354"/>
      <c r="M82" s="354"/>
    </row>
    <row r="83" spans="1:13">
      <c r="A83" s="357" t="s">
        <v>332</v>
      </c>
      <c r="B83" s="389">
        <v>2181.1529296157869</v>
      </c>
      <c r="C83" s="359">
        <v>1427.5383613608813</v>
      </c>
      <c r="D83" s="359">
        <v>0</v>
      </c>
      <c r="E83" s="359">
        <v>420.67251955</v>
      </c>
      <c r="F83" s="359">
        <v>282.38793555153569</v>
      </c>
      <c r="G83" s="359">
        <v>37.832749999999997</v>
      </c>
      <c r="H83" s="360">
        <v>4349.5844960782033</v>
      </c>
      <c r="I83" s="354"/>
      <c r="J83" s="354"/>
      <c r="K83" s="354"/>
      <c r="L83" s="354"/>
      <c r="M83" s="354"/>
    </row>
    <row r="84" spans="1:13">
      <c r="A84" s="357" t="s">
        <v>333</v>
      </c>
      <c r="B84" s="389">
        <v>843.1643105121301</v>
      </c>
      <c r="C84" s="359">
        <v>1675.2283743019123</v>
      </c>
      <c r="D84" s="359">
        <v>0</v>
      </c>
      <c r="E84" s="359">
        <v>472.82418508000001</v>
      </c>
      <c r="F84" s="359">
        <v>184.99604113000004</v>
      </c>
      <c r="G84" s="359">
        <v>0</v>
      </c>
      <c r="H84" s="360">
        <v>3176.2129110240421</v>
      </c>
      <c r="I84" s="354"/>
      <c r="J84" s="354"/>
      <c r="K84" s="354"/>
      <c r="L84" s="354"/>
      <c r="M84" s="354"/>
    </row>
    <row r="85" spans="1:13">
      <c r="A85" s="357" t="s">
        <v>334</v>
      </c>
      <c r="B85" s="389">
        <v>740.58252476999996</v>
      </c>
      <c r="C85" s="359">
        <v>476.52980914999995</v>
      </c>
      <c r="D85" s="359">
        <v>0</v>
      </c>
      <c r="E85" s="359">
        <v>40.020169000000003</v>
      </c>
      <c r="F85" s="359">
        <v>455.19391557</v>
      </c>
      <c r="G85" s="359">
        <v>0</v>
      </c>
      <c r="H85" s="360">
        <v>1712.3264184899997</v>
      </c>
      <c r="I85" s="354"/>
      <c r="J85" s="354"/>
      <c r="K85" s="354"/>
      <c r="L85" s="354"/>
      <c r="M85" s="354"/>
    </row>
    <row r="86" spans="1:13">
      <c r="A86" s="357" t="s">
        <v>335</v>
      </c>
      <c r="B86" s="389">
        <v>23.67631647</v>
      </c>
      <c r="C86" s="359">
        <v>28.432896969999998</v>
      </c>
      <c r="D86" s="359">
        <v>0</v>
      </c>
      <c r="E86" s="359">
        <v>4.3406229999999999</v>
      </c>
      <c r="F86" s="359">
        <v>0</v>
      </c>
      <c r="G86" s="359">
        <v>0</v>
      </c>
      <c r="H86" s="360">
        <v>56.449836439999999</v>
      </c>
      <c r="I86" s="354"/>
      <c r="J86" s="354"/>
      <c r="K86" s="354"/>
      <c r="L86" s="354"/>
      <c r="M86" s="354"/>
    </row>
    <row r="87" spans="1:13">
      <c r="A87" s="357" t="s">
        <v>284</v>
      </c>
      <c r="B87" s="389">
        <v>2803.3075807488794</v>
      </c>
      <c r="C87" s="359">
        <v>6296.6992934858135</v>
      </c>
      <c r="D87" s="359">
        <v>48.919288200000004</v>
      </c>
      <c r="E87" s="359">
        <v>411.41263867999999</v>
      </c>
      <c r="F87" s="359">
        <v>1066.0385603614745</v>
      </c>
      <c r="G87" s="359">
        <v>0</v>
      </c>
      <c r="H87" s="360">
        <v>10626.377361476167</v>
      </c>
      <c r="I87" s="354"/>
      <c r="J87" s="354"/>
      <c r="K87" s="354"/>
      <c r="L87" s="354"/>
      <c r="M87" s="354"/>
    </row>
    <row r="88" spans="1:13">
      <c r="A88" s="357"/>
      <c r="B88" s="389"/>
      <c r="C88" s="359"/>
      <c r="D88" s="359"/>
      <c r="E88" s="359"/>
      <c r="F88" s="359"/>
      <c r="G88" s="359"/>
      <c r="H88" s="356"/>
      <c r="I88" s="354"/>
      <c r="J88" s="354"/>
      <c r="K88" s="354"/>
      <c r="L88" s="354"/>
      <c r="M88" s="354"/>
    </row>
    <row r="89" spans="1:13">
      <c r="A89" s="350" t="s">
        <v>336</v>
      </c>
      <c r="B89" s="388">
        <v>224.46370061769358</v>
      </c>
      <c r="C89" s="352">
        <v>880.31664342559384</v>
      </c>
      <c r="D89" s="352">
        <v>0</v>
      </c>
      <c r="E89" s="352">
        <v>14.711349999999999</v>
      </c>
      <c r="F89" s="352">
        <v>107.730634639694</v>
      </c>
      <c r="G89" s="352">
        <v>0</v>
      </c>
      <c r="H89" s="353">
        <v>1227.2223286829815</v>
      </c>
      <c r="I89" s="354"/>
      <c r="J89" s="354">
        <v>-492187925.9783653</v>
      </c>
      <c r="K89" s="354"/>
      <c r="L89" s="354"/>
      <c r="M89" s="354"/>
    </row>
    <row r="90" spans="1:13">
      <c r="A90" s="355" t="s">
        <v>275</v>
      </c>
      <c r="B90" s="388"/>
      <c r="C90" s="352"/>
      <c r="D90" s="352"/>
      <c r="E90" s="352"/>
      <c r="F90" s="352"/>
      <c r="G90" s="352"/>
      <c r="H90" s="360"/>
      <c r="I90" s="354"/>
      <c r="J90" s="354"/>
      <c r="K90" s="354"/>
      <c r="L90" s="354"/>
      <c r="M90" s="354"/>
    </row>
    <row r="91" spans="1:13">
      <c r="A91" s="357" t="s">
        <v>337</v>
      </c>
      <c r="B91" s="389">
        <v>34.905670197171226</v>
      </c>
      <c r="C91" s="359">
        <v>630.8734324082252</v>
      </c>
      <c r="D91" s="359">
        <v>0</v>
      </c>
      <c r="E91" s="359">
        <v>2.8658769999999998</v>
      </c>
      <c r="F91" s="359">
        <v>87.932978840000004</v>
      </c>
      <c r="G91" s="359">
        <v>0</v>
      </c>
      <c r="H91" s="360">
        <v>756.57795844539646</v>
      </c>
      <c r="I91" s="354"/>
      <c r="J91" s="354"/>
      <c r="K91" s="354"/>
      <c r="L91" s="354"/>
      <c r="M91" s="354"/>
    </row>
    <row r="92" spans="1:13">
      <c r="A92" s="357" t="s">
        <v>338</v>
      </c>
      <c r="B92" s="389">
        <v>1.3420949699999998</v>
      </c>
      <c r="C92" s="359">
        <v>1.9955133999999999</v>
      </c>
      <c r="D92" s="359">
        <v>0</v>
      </c>
      <c r="E92" s="359">
        <v>0</v>
      </c>
      <c r="F92" s="359">
        <v>1.3223767399999999</v>
      </c>
      <c r="G92" s="359">
        <v>0</v>
      </c>
      <c r="H92" s="360">
        <v>4.65998511</v>
      </c>
      <c r="I92" s="354"/>
      <c r="J92" s="354"/>
      <c r="K92" s="354"/>
      <c r="L92" s="354"/>
      <c r="M92" s="354"/>
    </row>
    <row r="93" spans="1:13">
      <c r="A93" s="357" t="s">
        <v>339</v>
      </c>
      <c r="B93" s="389">
        <v>0.10921359000000001</v>
      </c>
      <c r="C93" s="359">
        <v>106.119567</v>
      </c>
      <c r="D93" s="359">
        <v>0</v>
      </c>
      <c r="E93" s="359">
        <v>0</v>
      </c>
      <c r="F93" s="359">
        <v>3.5667999999999998E-2</v>
      </c>
      <c r="G93" s="359">
        <v>0</v>
      </c>
      <c r="H93" s="360">
        <v>106.26444859</v>
      </c>
      <c r="I93" s="354"/>
      <c r="J93" s="354"/>
      <c r="K93" s="354"/>
      <c r="L93" s="354"/>
      <c r="M93" s="354"/>
    </row>
    <row r="94" spans="1:13">
      <c r="A94" s="357" t="s">
        <v>340</v>
      </c>
      <c r="B94" s="389">
        <v>25.004160859999999</v>
      </c>
      <c r="C94" s="359">
        <v>23.048148680000001</v>
      </c>
      <c r="D94" s="359">
        <v>0</v>
      </c>
      <c r="E94" s="359">
        <v>4.5944830000000003</v>
      </c>
      <c r="F94" s="359">
        <v>6.803E-3</v>
      </c>
      <c r="G94" s="359">
        <v>0</v>
      </c>
      <c r="H94" s="360">
        <v>52.653595539999991</v>
      </c>
      <c r="I94" s="354"/>
      <c r="J94" s="354"/>
      <c r="K94" s="354"/>
      <c r="L94" s="354"/>
      <c r="M94" s="354"/>
    </row>
    <row r="95" spans="1:13">
      <c r="A95" s="357" t="s">
        <v>341</v>
      </c>
      <c r="B95" s="389">
        <v>32.306191820522351</v>
      </c>
      <c r="C95" s="359">
        <v>35.253034087368739</v>
      </c>
      <c r="D95" s="359">
        <v>0</v>
      </c>
      <c r="E95" s="359">
        <v>1.3312379999999999</v>
      </c>
      <c r="F95" s="359">
        <v>8.9079239999999995</v>
      </c>
      <c r="G95" s="359">
        <v>0</v>
      </c>
      <c r="H95" s="360">
        <v>77.798387907891083</v>
      </c>
      <c r="I95" s="354"/>
      <c r="J95" s="354"/>
      <c r="K95" s="354"/>
      <c r="L95" s="354"/>
      <c r="M95" s="354"/>
    </row>
    <row r="96" spans="1:13">
      <c r="A96" s="357" t="s">
        <v>342</v>
      </c>
      <c r="B96" s="389">
        <v>30.949183350000002</v>
      </c>
      <c r="C96" s="359">
        <v>2.4591868699999999</v>
      </c>
      <c r="D96" s="359">
        <v>0</v>
      </c>
      <c r="E96" s="359">
        <v>1.204458</v>
      </c>
      <c r="F96" s="359">
        <v>8.2978260000000006</v>
      </c>
      <c r="G96" s="359">
        <v>0</v>
      </c>
      <c r="H96" s="360">
        <v>42.910654220000005</v>
      </c>
      <c r="I96" s="354"/>
      <c r="J96" s="354"/>
      <c r="K96" s="354"/>
      <c r="L96" s="354"/>
      <c r="M96" s="354"/>
    </row>
    <row r="97" spans="1:13">
      <c r="A97" s="357" t="s">
        <v>284</v>
      </c>
      <c r="B97" s="389">
        <v>99.847185829999987</v>
      </c>
      <c r="C97" s="359">
        <v>80.567760980000003</v>
      </c>
      <c r="D97" s="359">
        <v>0</v>
      </c>
      <c r="E97" s="359">
        <v>4.7152940000000001</v>
      </c>
      <c r="F97" s="359">
        <v>1.2270580596939999</v>
      </c>
      <c r="G97" s="359">
        <v>0</v>
      </c>
      <c r="H97" s="360">
        <v>186.35729886969401</v>
      </c>
      <c r="I97" s="354"/>
      <c r="J97" s="354"/>
      <c r="K97" s="354"/>
      <c r="L97" s="354"/>
      <c r="M97" s="354"/>
    </row>
    <row r="98" spans="1:13">
      <c r="A98" s="357"/>
      <c r="B98" s="389"/>
      <c r="C98" s="359"/>
      <c r="D98" s="359"/>
      <c r="E98" s="359"/>
      <c r="F98" s="359"/>
      <c r="G98" s="359"/>
      <c r="H98" s="360"/>
      <c r="I98" s="354"/>
      <c r="J98" s="354"/>
      <c r="K98" s="354"/>
      <c r="L98" s="354"/>
      <c r="M98" s="354"/>
    </row>
    <row r="99" spans="1:13">
      <c r="A99" s="350" t="s">
        <v>343</v>
      </c>
      <c r="B99" s="388">
        <v>4228.3551788373998</v>
      </c>
      <c r="C99" s="352">
        <v>15447.048477589226</v>
      </c>
      <c r="D99" s="352">
        <v>4.0360369299999999</v>
      </c>
      <c r="E99" s="352">
        <v>25.712358999999999</v>
      </c>
      <c r="F99" s="352">
        <v>2461.5940995503465</v>
      </c>
      <c r="G99" s="352">
        <v>1196.7282398</v>
      </c>
      <c r="H99" s="353">
        <v>23363.474391706972</v>
      </c>
      <c r="I99" s="354"/>
      <c r="J99" s="354">
        <v>-13343666313.261974</v>
      </c>
      <c r="K99" s="354"/>
      <c r="L99" s="354"/>
      <c r="M99" s="354"/>
    </row>
    <row r="100" spans="1:13">
      <c r="A100" s="355" t="s">
        <v>275</v>
      </c>
      <c r="B100" s="388"/>
      <c r="C100" s="352"/>
      <c r="D100" s="352"/>
      <c r="E100" s="352"/>
      <c r="F100" s="352"/>
      <c r="G100" s="352"/>
      <c r="H100" s="360"/>
      <c r="I100" s="354"/>
      <c r="J100" s="354"/>
      <c r="K100" s="354"/>
      <c r="L100" s="354"/>
      <c r="M100" s="354"/>
    </row>
    <row r="101" spans="1:13">
      <c r="A101" s="357" t="s">
        <v>344</v>
      </c>
      <c r="B101" s="389">
        <v>15.47369647</v>
      </c>
      <c r="C101" s="359">
        <v>13.099676000000001</v>
      </c>
      <c r="D101" s="359">
        <v>0</v>
      </c>
      <c r="E101" s="359">
        <v>0</v>
      </c>
      <c r="F101" s="359">
        <v>12.132956999999999</v>
      </c>
      <c r="G101" s="359">
        <v>19.292000000000002</v>
      </c>
      <c r="H101" s="360">
        <v>59.998329470000002</v>
      </c>
      <c r="I101" s="354"/>
      <c r="J101" s="354"/>
      <c r="K101" s="354"/>
      <c r="L101" s="354"/>
      <c r="M101" s="354"/>
    </row>
    <row r="102" spans="1:13">
      <c r="A102" s="357" t="s">
        <v>345</v>
      </c>
      <c r="B102" s="389">
        <v>25.526591109999998</v>
      </c>
      <c r="C102" s="359">
        <v>607.10397346000002</v>
      </c>
      <c r="D102" s="359">
        <v>0</v>
      </c>
      <c r="E102" s="359">
        <v>0</v>
      </c>
      <c r="F102" s="359">
        <v>100.272823</v>
      </c>
      <c r="G102" s="359">
        <v>106.433875</v>
      </c>
      <c r="H102" s="360">
        <v>839.33726257000012</v>
      </c>
      <c r="I102" s="354"/>
      <c r="J102" s="354"/>
      <c r="K102" s="354"/>
      <c r="L102" s="354"/>
      <c r="M102" s="354"/>
    </row>
    <row r="103" spans="1:13">
      <c r="A103" s="357" t="s">
        <v>346</v>
      </c>
      <c r="B103" s="389">
        <v>379.59099687023797</v>
      </c>
      <c r="C103" s="359">
        <v>2631.7506650724667</v>
      </c>
      <c r="D103" s="359">
        <v>0</v>
      </c>
      <c r="E103" s="359">
        <v>0</v>
      </c>
      <c r="F103" s="359">
        <v>13.792581999999999</v>
      </c>
      <c r="G103" s="359">
        <v>0</v>
      </c>
      <c r="H103" s="360">
        <v>3025.1342439427049</v>
      </c>
      <c r="I103" s="354"/>
      <c r="J103" s="354"/>
      <c r="K103" s="354"/>
      <c r="L103" s="354"/>
      <c r="M103" s="354"/>
    </row>
    <row r="104" spans="1:13">
      <c r="A104" s="357" t="s">
        <v>347</v>
      </c>
      <c r="B104" s="389">
        <v>5.4274599999999999E-2</v>
      </c>
      <c r="C104" s="359">
        <v>0.56992699999999996</v>
      </c>
      <c r="D104" s="359">
        <v>0</v>
      </c>
      <c r="E104" s="359">
        <v>0</v>
      </c>
      <c r="F104" s="359">
        <v>2.8579999999999999E-3</v>
      </c>
      <c r="G104" s="359">
        <v>0</v>
      </c>
      <c r="H104" s="360">
        <v>0.62705959999999994</v>
      </c>
      <c r="I104" s="354"/>
      <c r="J104" s="354"/>
      <c r="K104" s="354"/>
      <c r="L104" s="354"/>
      <c r="M104" s="354"/>
    </row>
    <row r="105" spans="1:13">
      <c r="A105" s="357" t="s">
        <v>348</v>
      </c>
      <c r="B105" s="389">
        <v>239.26543885999999</v>
      </c>
      <c r="C105" s="359">
        <v>610.25847814838573</v>
      </c>
      <c r="D105" s="359">
        <v>0</v>
      </c>
      <c r="E105" s="359">
        <v>0</v>
      </c>
      <c r="F105" s="359">
        <v>329.12361268537001</v>
      </c>
      <c r="G105" s="359">
        <v>0</v>
      </c>
      <c r="H105" s="360">
        <v>1178.6475296937558</v>
      </c>
      <c r="I105" s="354"/>
      <c r="J105" s="354"/>
      <c r="K105" s="354"/>
      <c r="L105" s="354"/>
      <c r="M105" s="354"/>
    </row>
    <row r="106" spans="1:13">
      <c r="A106" s="357" t="s">
        <v>349</v>
      </c>
      <c r="B106" s="389">
        <v>1423.1567423426773</v>
      </c>
      <c r="C106" s="359">
        <v>3481.7533072519059</v>
      </c>
      <c r="D106" s="359">
        <v>0</v>
      </c>
      <c r="E106" s="359">
        <v>10.287000000000001</v>
      </c>
      <c r="F106" s="359">
        <v>793.66835931000003</v>
      </c>
      <c r="G106" s="359">
        <v>725.65776000000005</v>
      </c>
      <c r="H106" s="360">
        <v>6434.5231689045831</v>
      </c>
      <c r="I106" s="354"/>
      <c r="J106" s="354"/>
      <c r="K106" s="354"/>
      <c r="L106" s="354"/>
      <c r="M106" s="354"/>
    </row>
    <row r="107" spans="1:13">
      <c r="A107" s="357" t="s">
        <v>350</v>
      </c>
      <c r="B107" s="389">
        <v>37.834486329999997</v>
      </c>
      <c r="C107" s="359">
        <v>359.90930736000001</v>
      </c>
      <c r="D107" s="359">
        <v>0</v>
      </c>
      <c r="E107" s="359">
        <v>0</v>
      </c>
      <c r="F107" s="359">
        <v>4.9202600000000001E-3</v>
      </c>
      <c r="G107" s="359">
        <v>82.198712999999998</v>
      </c>
      <c r="H107" s="360">
        <v>479.94742695000002</v>
      </c>
      <c r="I107" s="354"/>
      <c r="J107" s="354"/>
      <c r="K107" s="354"/>
      <c r="L107" s="354"/>
      <c r="M107" s="354"/>
    </row>
    <row r="108" spans="1:13">
      <c r="A108" s="357" t="s">
        <v>284</v>
      </c>
      <c r="B108" s="389">
        <v>2107.452952254484</v>
      </c>
      <c r="C108" s="359">
        <v>7742.6031432964664</v>
      </c>
      <c r="D108" s="359">
        <v>4.0360369299999999</v>
      </c>
      <c r="E108" s="359">
        <v>15.425359</v>
      </c>
      <c r="F108" s="359">
        <v>1212.5959872949763</v>
      </c>
      <c r="G108" s="359">
        <v>263.14589180000002</v>
      </c>
      <c r="H108" s="360">
        <v>11345.259370575928</v>
      </c>
      <c r="I108" s="354"/>
      <c r="J108" s="354"/>
      <c r="K108" s="354"/>
      <c r="L108" s="354"/>
      <c r="M108" s="354"/>
    </row>
    <row r="109" spans="1:13">
      <c r="A109" s="350"/>
      <c r="B109" s="389"/>
      <c r="C109" s="359"/>
      <c r="D109" s="359"/>
      <c r="E109" s="359"/>
      <c r="F109" s="359"/>
      <c r="G109" s="359"/>
      <c r="H109" s="360"/>
      <c r="I109" s="354"/>
      <c r="J109" s="354"/>
      <c r="K109" s="354"/>
      <c r="L109" s="354"/>
      <c r="M109" s="354"/>
    </row>
    <row r="110" spans="1:13">
      <c r="A110" s="350" t="s">
        <v>351</v>
      </c>
      <c r="B110" s="388">
        <v>322.93052720282452</v>
      </c>
      <c r="C110" s="352">
        <v>3687.6730147881231</v>
      </c>
      <c r="D110" s="352">
        <v>4.4887999999999997E-2</v>
      </c>
      <c r="E110" s="352">
        <v>60.903134000000001</v>
      </c>
      <c r="F110" s="352">
        <v>261.88199601690837</v>
      </c>
      <c r="G110" s="352">
        <v>0</v>
      </c>
      <c r="H110" s="353">
        <v>4333.4335600078557</v>
      </c>
      <c r="I110" s="354"/>
      <c r="J110" s="354">
        <v>-2832790214.7834396</v>
      </c>
      <c r="K110" s="354"/>
      <c r="L110" s="354"/>
      <c r="M110" s="354"/>
    </row>
    <row r="111" spans="1:13">
      <c r="A111" s="355" t="s">
        <v>275</v>
      </c>
      <c r="B111" s="389"/>
      <c r="C111" s="359"/>
      <c r="D111" s="359"/>
      <c r="E111" s="359"/>
      <c r="F111" s="359"/>
      <c r="G111" s="359"/>
      <c r="H111" s="360"/>
      <c r="I111" s="354"/>
      <c r="J111" s="354"/>
      <c r="K111" s="354"/>
      <c r="L111" s="354"/>
      <c r="M111" s="354"/>
    </row>
    <row r="112" spans="1:13">
      <c r="A112" s="357" t="s">
        <v>352</v>
      </c>
      <c r="B112" s="389">
        <v>167.20117081999999</v>
      </c>
      <c r="C112" s="359">
        <v>0</v>
      </c>
      <c r="D112" s="359">
        <v>0</v>
      </c>
      <c r="E112" s="359">
        <v>0</v>
      </c>
      <c r="F112" s="359">
        <v>118.85025553</v>
      </c>
      <c r="G112" s="359">
        <v>0</v>
      </c>
      <c r="H112" s="360">
        <v>286.05142634999999</v>
      </c>
      <c r="I112" s="354"/>
      <c r="J112" s="354"/>
      <c r="K112" s="354"/>
      <c r="L112" s="354"/>
      <c r="M112" s="354"/>
    </row>
    <row r="113" spans="1:13">
      <c r="A113" s="357" t="s">
        <v>353</v>
      </c>
      <c r="B113" s="389">
        <v>0.12710466000000001</v>
      </c>
      <c r="C113" s="359">
        <v>0</v>
      </c>
      <c r="D113" s="359">
        <v>0</v>
      </c>
      <c r="E113" s="359">
        <v>0</v>
      </c>
      <c r="F113" s="359">
        <v>0</v>
      </c>
      <c r="G113" s="359">
        <v>0</v>
      </c>
      <c r="H113" s="360">
        <v>0.12710466000000001</v>
      </c>
      <c r="I113" s="354"/>
      <c r="J113" s="354"/>
      <c r="K113" s="354"/>
      <c r="L113" s="354"/>
      <c r="M113" s="354"/>
    </row>
    <row r="114" spans="1:13">
      <c r="A114" s="357" t="s">
        <v>354</v>
      </c>
      <c r="B114" s="389">
        <v>23.72160259</v>
      </c>
      <c r="C114" s="359">
        <v>3369.8720039354798</v>
      </c>
      <c r="D114" s="359">
        <v>0</v>
      </c>
      <c r="E114" s="359">
        <v>0</v>
      </c>
      <c r="F114" s="359">
        <v>109.93153548690833</v>
      </c>
      <c r="G114" s="359">
        <v>0</v>
      </c>
      <c r="H114" s="360">
        <v>3503.5251420123882</v>
      </c>
      <c r="I114" s="354"/>
      <c r="J114" s="354"/>
      <c r="K114" s="354"/>
      <c r="L114" s="354"/>
      <c r="M114" s="354"/>
    </row>
    <row r="115" spans="1:13">
      <c r="A115" s="357" t="s">
        <v>355</v>
      </c>
      <c r="B115" s="389">
        <v>43.35187470165237</v>
      </c>
      <c r="C115" s="359">
        <v>22.947636326581332</v>
      </c>
      <c r="D115" s="359">
        <v>0</v>
      </c>
      <c r="E115" s="359">
        <v>38.023401</v>
      </c>
      <c r="F115" s="359">
        <v>1.7537000000000001E-2</v>
      </c>
      <c r="G115" s="359">
        <v>0</v>
      </c>
      <c r="H115" s="360">
        <v>104.34044902823371</v>
      </c>
      <c r="I115" s="354"/>
      <c r="J115" s="354"/>
      <c r="K115" s="354"/>
      <c r="L115" s="354"/>
      <c r="M115" s="354"/>
    </row>
    <row r="116" spans="1:13">
      <c r="A116" s="357" t="s">
        <v>356</v>
      </c>
      <c r="B116" s="389">
        <v>3.3773620000000002</v>
      </c>
      <c r="C116" s="359">
        <v>2.2113839199999998</v>
      </c>
      <c r="D116" s="359">
        <v>0</v>
      </c>
      <c r="E116" s="359">
        <v>0</v>
      </c>
      <c r="F116" s="359">
        <v>0</v>
      </c>
      <c r="G116" s="359">
        <v>0</v>
      </c>
      <c r="H116" s="360">
        <v>5.58874592</v>
      </c>
      <c r="I116" s="354"/>
      <c r="J116" s="354"/>
      <c r="K116" s="354"/>
      <c r="L116" s="354"/>
      <c r="M116" s="354"/>
    </row>
    <row r="117" spans="1:13">
      <c r="A117" s="357" t="s">
        <v>284</v>
      </c>
      <c r="B117" s="389">
        <v>85.151412431172176</v>
      </c>
      <c r="C117" s="359">
        <v>292.641990606062</v>
      </c>
      <c r="D117" s="359">
        <v>4.4887999999999997E-2</v>
      </c>
      <c r="E117" s="359">
        <v>22.879733000000002</v>
      </c>
      <c r="F117" s="359">
        <v>33.082667999999998</v>
      </c>
      <c r="G117" s="359">
        <v>0</v>
      </c>
      <c r="H117" s="360">
        <v>433.80069203723417</v>
      </c>
      <c r="I117" s="354"/>
      <c r="J117" s="354"/>
      <c r="K117" s="354"/>
      <c r="L117" s="354"/>
      <c r="M117" s="354"/>
    </row>
    <row r="118" spans="1:13">
      <c r="A118" s="357"/>
      <c r="B118" s="388"/>
      <c r="C118" s="352"/>
      <c r="D118" s="352"/>
      <c r="E118" s="352"/>
      <c r="F118" s="352"/>
      <c r="G118" s="352"/>
      <c r="H118" s="356"/>
      <c r="I118" s="354"/>
      <c r="J118" s="354"/>
      <c r="K118" s="354"/>
      <c r="L118" s="354"/>
      <c r="M118" s="354"/>
    </row>
    <row r="119" spans="1:13">
      <c r="A119" s="350" t="s">
        <v>357</v>
      </c>
      <c r="B119" s="388">
        <v>2.383E-2</v>
      </c>
      <c r="C119" s="352">
        <v>0.52785833999999998</v>
      </c>
      <c r="D119" s="352">
        <v>0</v>
      </c>
      <c r="E119" s="352">
        <v>0</v>
      </c>
      <c r="F119" s="352">
        <v>0</v>
      </c>
      <c r="G119" s="352">
        <v>0</v>
      </c>
      <c r="H119" s="353">
        <v>0.55168834</v>
      </c>
      <c r="I119" s="354"/>
      <c r="J119" s="354">
        <v>-27532664.370000005</v>
      </c>
      <c r="K119" s="354"/>
      <c r="L119" s="354"/>
      <c r="M119" s="354"/>
    </row>
    <row r="120" spans="1:13">
      <c r="A120" s="350"/>
      <c r="B120" s="388"/>
      <c r="C120" s="352"/>
      <c r="D120" s="352"/>
      <c r="E120" s="352"/>
      <c r="F120" s="352"/>
      <c r="G120" s="352"/>
      <c r="H120" s="360"/>
      <c r="I120" s="354"/>
      <c r="J120" s="354"/>
      <c r="K120" s="354"/>
      <c r="L120" s="354"/>
      <c r="M120" s="354"/>
    </row>
    <row r="121" spans="1:13">
      <c r="A121" s="350" t="s">
        <v>358</v>
      </c>
      <c r="B121" s="388">
        <v>661.3228520941999</v>
      </c>
      <c r="C121" s="352">
        <v>1816.1763957330099</v>
      </c>
      <c r="D121" s="352">
        <v>0</v>
      </c>
      <c r="E121" s="352">
        <v>0</v>
      </c>
      <c r="F121" s="352">
        <v>971.49894091885687</v>
      </c>
      <c r="G121" s="352">
        <v>2.6498693450074198</v>
      </c>
      <c r="H121" s="353">
        <v>3451.6480580910743</v>
      </c>
      <c r="I121" s="354"/>
      <c r="J121" s="354">
        <v>-2166092296.5259762</v>
      </c>
      <c r="K121" s="354"/>
      <c r="L121" s="354"/>
      <c r="M121" s="354"/>
    </row>
    <row r="122" spans="1:13">
      <c r="A122" s="350"/>
      <c r="B122" s="388"/>
      <c r="C122" s="352"/>
      <c r="D122" s="352"/>
      <c r="E122" s="352"/>
      <c r="F122" s="352"/>
      <c r="G122" s="352"/>
      <c r="H122" s="353"/>
      <c r="I122" s="354"/>
      <c r="J122" s="354"/>
      <c r="K122" s="354"/>
      <c r="L122" s="354"/>
      <c r="M122" s="354"/>
    </row>
    <row r="123" spans="1:13">
      <c r="A123" s="350" t="s">
        <v>359</v>
      </c>
      <c r="B123" s="388">
        <v>0.18181270999999999</v>
      </c>
      <c r="C123" s="352">
        <v>0</v>
      </c>
      <c r="D123" s="352">
        <v>0</v>
      </c>
      <c r="E123" s="352">
        <v>0</v>
      </c>
      <c r="F123" s="352">
        <v>0</v>
      </c>
      <c r="G123" s="352">
        <v>0</v>
      </c>
      <c r="H123" s="353">
        <v>0.18181270999999999</v>
      </c>
      <c r="I123" s="354">
        <f>SUM(B123:G123)</f>
        <v>0.18181270999999999</v>
      </c>
      <c r="J123" s="354">
        <f>H123-I123</f>
        <v>0</v>
      </c>
      <c r="K123" s="354"/>
      <c r="L123" s="354"/>
      <c r="M123" s="354"/>
    </row>
    <row r="124" spans="1:13">
      <c r="A124" s="350"/>
      <c r="B124" s="388"/>
      <c r="C124" s="352"/>
      <c r="D124" s="352"/>
      <c r="E124" s="352"/>
      <c r="F124" s="352"/>
      <c r="G124" s="352"/>
      <c r="H124" s="353"/>
      <c r="I124" s="354"/>
      <c r="J124" s="354"/>
      <c r="K124" s="354"/>
      <c r="L124" s="354"/>
      <c r="M124" s="354"/>
    </row>
    <row r="125" spans="1:13" ht="13.5">
      <c r="A125" s="350" t="s">
        <v>360</v>
      </c>
      <c r="B125" s="388">
        <v>0</v>
      </c>
      <c r="C125" s="352">
        <v>0</v>
      </c>
      <c r="D125" s="352">
        <v>0</v>
      </c>
      <c r="E125" s="352">
        <v>0</v>
      </c>
      <c r="F125" s="352">
        <v>0</v>
      </c>
      <c r="G125" s="352">
        <v>0</v>
      </c>
      <c r="H125" s="390">
        <v>0</v>
      </c>
      <c r="I125" s="354"/>
      <c r="J125" s="354">
        <v>0.50212699999999999</v>
      </c>
      <c r="K125" s="354"/>
      <c r="L125" s="354"/>
      <c r="M125" s="354"/>
    </row>
    <row r="126" spans="1:13">
      <c r="A126" s="350"/>
      <c r="B126" s="388"/>
      <c r="C126" s="352"/>
      <c r="D126" s="352"/>
      <c r="E126" s="352"/>
      <c r="F126" s="352"/>
      <c r="G126" s="352"/>
      <c r="H126" s="353"/>
      <c r="I126" s="354"/>
      <c r="J126" s="354"/>
      <c r="K126" s="354"/>
      <c r="L126" s="354"/>
      <c r="M126" s="354"/>
    </row>
    <row r="127" spans="1:13">
      <c r="A127" s="350" t="s">
        <v>361</v>
      </c>
      <c r="B127" s="388">
        <v>76.42068605</v>
      </c>
      <c r="C127" s="352">
        <v>93.303057049999993</v>
      </c>
      <c r="D127" s="352">
        <v>0</v>
      </c>
      <c r="E127" s="352">
        <v>24.665492</v>
      </c>
      <c r="F127" s="352">
        <v>236.79524864849498</v>
      </c>
      <c r="G127" s="352">
        <v>0</v>
      </c>
      <c r="H127" s="353">
        <v>431.18448374849493</v>
      </c>
      <c r="I127" s="354"/>
      <c r="J127" s="354">
        <v>-34246626.120000064</v>
      </c>
      <c r="K127" s="354"/>
      <c r="L127" s="354"/>
      <c r="M127" s="354"/>
    </row>
    <row r="128" spans="1:13">
      <c r="A128" s="350"/>
      <c r="B128" s="388"/>
      <c r="C128" s="352"/>
      <c r="D128" s="352"/>
      <c r="E128" s="352"/>
      <c r="F128" s="352"/>
      <c r="G128" s="352"/>
      <c r="H128" s="353"/>
      <c r="I128" s="354"/>
      <c r="J128" s="354"/>
      <c r="K128" s="354"/>
      <c r="L128" s="354"/>
      <c r="M128" s="354"/>
    </row>
    <row r="129" spans="1:13">
      <c r="A129" s="350" t="s">
        <v>362</v>
      </c>
      <c r="B129" s="388">
        <v>100.01226340000001</v>
      </c>
      <c r="C129" s="352">
        <v>169.23731512000001</v>
      </c>
      <c r="D129" s="352">
        <v>0</v>
      </c>
      <c r="E129" s="352">
        <v>0</v>
      </c>
      <c r="F129" s="352">
        <v>39.505809649999996</v>
      </c>
      <c r="G129" s="352">
        <v>0</v>
      </c>
      <c r="H129" s="353">
        <v>308.75538817</v>
      </c>
      <c r="I129" s="354"/>
      <c r="J129" s="354">
        <v>-27685929.775841292</v>
      </c>
      <c r="K129" s="354"/>
      <c r="L129" s="354"/>
      <c r="M129" s="354"/>
    </row>
    <row r="130" spans="1:13">
      <c r="A130" s="350"/>
      <c r="B130" s="388"/>
      <c r="C130" s="352"/>
      <c r="D130" s="352"/>
      <c r="E130" s="352"/>
      <c r="F130" s="352"/>
      <c r="G130" s="352"/>
      <c r="H130" s="353"/>
      <c r="I130" s="354"/>
      <c r="J130" s="354"/>
      <c r="K130" s="354"/>
      <c r="L130" s="354"/>
      <c r="M130" s="354"/>
    </row>
    <row r="131" spans="1:13">
      <c r="A131" s="350" t="s">
        <v>363</v>
      </c>
      <c r="B131" s="388">
        <v>0.10627814999999999</v>
      </c>
      <c r="C131" s="352">
        <v>0</v>
      </c>
      <c r="D131" s="352">
        <v>0</v>
      </c>
      <c r="E131" s="352">
        <v>0</v>
      </c>
      <c r="F131" s="352">
        <v>0</v>
      </c>
      <c r="G131" s="352">
        <v>0</v>
      </c>
      <c r="H131" s="353">
        <v>0.10627814999999999</v>
      </c>
      <c r="I131" s="354"/>
      <c r="J131" s="354">
        <v>-33465.022893820002</v>
      </c>
      <c r="K131" s="354"/>
      <c r="L131" s="354"/>
      <c r="M131" s="354"/>
    </row>
    <row r="132" spans="1:13">
      <c r="A132" s="350"/>
      <c r="B132" s="388"/>
      <c r="C132" s="352"/>
      <c r="D132" s="352"/>
      <c r="E132" s="352"/>
      <c r="F132" s="352"/>
      <c r="G132" s="352"/>
      <c r="H132" s="360"/>
      <c r="I132" s="354"/>
      <c r="J132" s="354"/>
      <c r="K132" s="354"/>
      <c r="L132" s="354"/>
      <c r="M132" s="354"/>
    </row>
    <row r="133" spans="1:13" ht="15.75">
      <c r="A133" s="350" t="s">
        <v>364</v>
      </c>
      <c r="B133" s="388">
        <v>4669.5303997120927</v>
      </c>
      <c r="C133" s="352">
        <v>23164.773359602801</v>
      </c>
      <c r="D133" s="352">
        <v>26.102221029999924</v>
      </c>
      <c r="E133" s="352">
        <v>14.086703999999999</v>
      </c>
      <c r="F133" s="352">
        <v>2140.5777203263101</v>
      </c>
      <c r="G133" s="352">
        <v>0</v>
      </c>
      <c r="H133" s="353">
        <v>30015.070404671205</v>
      </c>
      <c r="I133" s="354"/>
      <c r="J133" s="354">
        <v>-11342360686.827675</v>
      </c>
      <c r="K133" s="354"/>
      <c r="L133" s="354"/>
      <c r="M133" s="354"/>
    </row>
    <row r="134" spans="1:13">
      <c r="A134" s="350"/>
      <c r="B134" s="388"/>
      <c r="C134" s="352"/>
      <c r="D134" s="352"/>
      <c r="E134" s="352"/>
      <c r="F134" s="352"/>
      <c r="G134" s="352"/>
      <c r="H134" s="360"/>
      <c r="I134" s="354">
        <f>SUM(B134:G134)</f>
        <v>0</v>
      </c>
      <c r="J134" s="354">
        <f>H134-I134</f>
        <v>0</v>
      </c>
      <c r="K134" s="354"/>
      <c r="L134" s="354"/>
      <c r="M134" s="354"/>
    </row>
    <row r="135" spans="1:13" ht="15.75">
      <c r="A135" s="350" t="s">
        <v>365</v>
      </c>
      <c r="B135" s="388">
        <v>416.87073147257968</v>
      </c>
      <c r="C135" s="352">
        <v>811.18425872229864</v>
      </c>
      <c r="D135" s="352">
        <v>0.49297065000000001</v>
      </c>
      <c r="E135" s="352">
        <v>8.7392020000000006</v>
      </c>
      <c r="F135" s="352">
        <v>67.931148620950054</v>
      </c>
      <c r="G135" s="352">
        <v>0</v>
      </c>
      <c r="H135" s="353">
        <v>1305.2183114658285</v>
      </c>
      <c r="I135" s="354"/>
      <c r="J135" s="354">
        <v>32726518.659430504</v>
      </c>
      <c r="K135" s="354"/>
      <c r="L135" s="354"/>
      <c r="M135" s="354"/>
    </row>
    <row r="136" spans="1:13">
      <c r="A136" s="350"/>
      <c r="B136" s="388"/>
      <c r="C136" s="352"/>
      <c r="D136" s="352"/>
      <c r="E136" s="352"/>
      <c r="F136" s="352"/>
      <c r="G136" s="352"/>
      <c r="H136" s="353"/>
      <c r="I136" s="354">
        <f>SUM(B136:G136)</f>
        <v>0</v>
      </c>
      <c r="J136" s="354">
        <f>H136-I136</f>
        <v>0</v>
      </c>
      <c r="K136" s="354"/>
      <c r="L136" s="354"/>
      <c r="M136" s="354"/>
    </row>
    <row r="137" spans="1:13">
      <c r="A137" s="350" t="s">
        <v>366</v>
      </c>
      <c r="B137" s="388">
        <v>54.367730280000004</v>
      </c>
      <c r="C137" s="352">
        <v>1299.917243493775</v>
      </c>
      <c r="D137" s="352">
        <v>0</v>
      </c>
      <c r="E137" s="352">
        <v>0</v>
      </c>
      <c r="F137" s="352">
        <v>22.010018004599999</v>
      </c>
      <c r="G137" s="352">
        <v>33.321779604301241</v>
      </c>
      <c r="H137" s="353">
        <v>1409.6167713826762</v>
      </c>
      <c r="I137" s="354">
        <f>SUM(B137:G137)</f>
        <v>1409.6167713826762</v>
      </c>
      <c r="J137" s="354">
        <f>H137-I137</f>
        <v>0</v>
      </c>
      <c r="K137" s="354"/>
      <c r="L137" s="354"/>
      <c r="M137" s="354"/>
    </row>
    <row r="138" spans="1:13">
      <c r="A138" s="350"/>
      <c r="B138" s="388"/>
      <c r="C138" s="352"/>
      <c r="D138" s="352"/>
      <c r="E138" s="352"/>
      <c r="F138" s="352"/>
      <c r="G138" s="352"/>
      <c r="H138" s="353"/>
      <c r="I138" s="354"/>
      <c r="J138" s="354"/>
      <c r="K138" s="354"/>
      <c r="L138" s="354"/>
      <c r="M138" s="354"/>
    </row>
    <row r="139" spans="1:13">
      <c r="A139" s="350" t="s">
        <v>367</v>
      </c>
      <c r="B139" s="388">
        <v>2.4615379500000003</v>
      </c>
      <c r="C139" s="352">
        <v>0</v>
      </c>
      <c r="D139" s="352">
        <v>0</v>
      </c>
      <c r="E139" s="352">
        <v>0</v>
      </c>
      <c r="F139" s="352">
        <v>0</v>
      </c>
      <c r="G139" s="352">
        <v>0</v>
      </c>
      <c r="H139" s="353">
        <v>2.4615379500000003</v>
      </c>
      <c r="I139" s="354">
        <f>SUM(B139:G139)</f>
        <v>2.4615379500000003</v>
      </c>
      <c r="J139" s="354">
        <f>H139-I139</f>
        <v>0</v>
      </c>
      <c r="K139" s="354"/>
      <c r="L139" s="354"/>
      <c r="M139" s="354"/>
    </row>
    <row r="140" spans="1:13">
      <c r="A140" s="350"/>
      <c r="B140" s="388"/>
      <c r="C140" s="352"/>
      <c r="D140" s="352"/>
      <c r="E140" s="352"/>
      <c r="F140" s="352"/>
      <c r="G140" s="352"/>
      <c r="H140" s="353"/>
      <c r="I140" s="354"/>
      <c r="J140" s="354"/>
      <c r="K140" s="354"/>
      <c r="L140" s="354"/>
      <c r="M140" s="354"/>
    </row>
    <row r="141" spans="1:13">
      <c r="A141" s="350" t="s">
        <v>368</v>
      </c>
      <c r="B141" s="388">
        <v>166.23131046349999</v>
      </c>
      <c r="C141" s="352">
        <v>580.76733976225012</v>
      </c>
      <c r="D141" s="352">
        <v>0</v>
      </c>
      <c r="E141" s="352">
        <v>5.9859970000000002</v>
      </c>
      <c r="F141" s="352">
        <v>3.2870439299999998</v>
      </c>
      <c r="G141" s="352">
        <v>0</v>
      </c>
      <c r="H141" s="391">
        <v>756.27169115575009</v>
      </c>
      <c r="I141" s="354">
        <f>SUM(B141:G141)</f>
        <v>756.27169115575009</v>
      </c>
      <c r="J141" s="354">
        <f>H141-I141</f>
        <v>0</v>
      </c>
      <c r="K141" s="354"/>
      <c r="L141" s="354"/>
      <c r="M141" s="354"/>
    </row>
    <row r="142" spans="1:13">
      <c r="A142" s="350"/>
      <c r="B142" s="388"/>
      <c r="C142" s="352"/>
      <c r="D142" s="352"/>
      <c r="E142" s="352"/>
      <c r="F142" s="352"/>
      <c r="G142" s="352"/>
      <c r="H142" s="353"/>
      <c r="I142" s="354"/>
      <c r="J142" s="354"/>
      <c r="K142" s="354"/>
      <c r="L142" s="354"/>
      <c r="M142" s="354"/>
    </row>
    <row r="143" spans="1:13">
      <c r="A143" s="350" t="s">
        <v>246</v>
      </c>
      <c r="B143" s="388">
        <v>681.76972729490114</v>
      </c>
      <c r="C143" s="352">
        <v>2696.3364172402084</v>
      </c>
      <c r="D143" s="352">
        <v>12.76589465</v>
      </c>
      <c r="E143" s="352">
        <v>48.336267720000002</v>
      </c>
      <c r="F143" s="352">
        <v>361.85869360900745</v>
      </c>
      <c r="G143" s="352">
        <v>7.1089659100000002</v>
      </c>
      <c r="H143" s="353">
        <v>3808.1759664241167</v>
      </c>
      <c r="I143" s="354">
        <f>SUM(B143:G143)</f>
        <v>3808.1759664241167</v>
      </c>
      <c r="J143" s="354">
        <f>H143-I143</f>
        <v>0</v>
      </c>
      <c r="K143" s="354"/>
      <c r="L143" s="354"/>
      <c r="M143" s="354"/>
    </row>
    <row r="144" spans="1:13">
      <c r="A144" s="392"/>
      <c r="B144" s="388"/>
      <c r="C144" s="352"/>
      <c r="D144" s="352"/>
      <c r="E144" s="352"/>
      <c r="F144" s="352"/>
      <c r="G144" s="352"/>
      <c r="H144" s="353"/>
      <c r="I144" s="354"/>
      <c r="J144" s="354"/>
      <c r="K144" s="354"/>
      <c r="L144" s="354"/>
      <c r="M144" s="354"/>
    </row>
    <row r="145" spans="1:15">
      <c r="A145" s="350" t="s">
        <v>247</v>
      </c>
      <c r="B145" s="388">
        <v>41253.350509871634</v>
      </c>
      <c r="C145" s="352">
        <v>178420.20844083477</v>
      </c>
      <c r="D145" s="352">
        <v>650.40999286999988</v>
      </c>
      <c r="E145" s="352">
        <v>4066.5693370799995</v>
      </c>
      <c r="F145" s="352">
        <v>40832.100856061581</v>
      </c>
      <c r="G145" s="352">
        <v>2822.3301723813634</v>
      </c>
      <c r="H145" s="391">
        <v>268044.96930909937</v>
      </c>
      <c r="I145" s="354"/>
      <c r="J145" s="354"/>
      <c r="K145" s="354"/>
      <c r="L145" s="354"/>
      <c r="M145" s="354"/>
    </row>
    <row r="146" spans="1:15" ht="13.5" thickBot="1">
      <c r="A146" s="393"/>
      <c r="B146" s="394"/>
      <c r="C146" s="395"/>
      <c r="D146" s="395"/>
      <c r="E146" s="395"/>
      <c r="F146" s="395"/>
      <c r="G146" s="395"/>
      <c r="H146" s="396"/>
      <c r="I146" s="354"/>
      <c r="J146" s="354"/>
      <c r="K146" s="354"/>
      <c r="L146" s="354"/>
    </row>
    <row r="147" spans="1:15" ht="18.75" thickTop="1">
      <c r="A147" s="397" t="s">
        <v>369</v>
      </c>
      <c r="B147" s="398"/>
      <c r="C147" s="398"/>
      <c r="D147" s="399" t="s">
        <v>240</v>
      </c>
      <c r="E147" s="398"/>
      <c r="F147" s="398"/>
      <c r="G147" s="398"/>
      <c r="H147" s="398"/>
      <c r="I147" s="354"/>
      <c r="J147" s="354"/>
      <c r="K147" s="354"/>
      <c r="L147" s="354"/>
    </row>
    <row r="148" spans="1:15">
      <c r="A148" s="397" t="s">
        <v>370</v>
      </c>
      <c r="B148" s="369"/>
      <c r="C148" s="369"/>
      <c r="D148" s="369"/>
      <c r="E148" s="369"/>
      <c r="F148" s="369"/>
      <c r="G148" s="369"/>
      <c r="H148" s="367"/>
      <c r="I148" s="354"/>
      <c r="J148" s="354"/>
      <c r="K148" s="354"/>
      <c r="L148" s="354"/>
    </row>
    <row r="149" spans="1:15">
      <c r="A149" s="400" t="s">
        <v>371</v>
      </c>
      <c r="B149" s="369"/>
      <c r="C149" s="369"/>
      <c r="D149" s="369"/>
      <c r="E149" s="369"/>
      <c r="F149" s="369"/>
      <c r="G149" s="369"/>
      <c r="H149" s="367"/>
      <c r="I149" s="354"/>
      <c r="J149" s="354"/>
      <c r="K149" s="354"/>
      <c r="L149" s="354"/>
    </row>
    <row r="150" spans="1:15">
      <c r="A150" s="401" t="s">
        <v>372</v>
      </c>
      <c r="H150" s="354"/>
      <c r="I150" s="354"/>
      <c r="J150" s="354"/>
      <c r="K150" s="354"/>
      <c r="L150" s="354"/>
    </row>
    <row r="151" spans="1:15">
      <c r="B151" s="354"/>
      <c r="C151" s="354"/>
      <c r="D151" s="354"/>
      <c r="E151" s="354"/>
      <c r="F151" s="354"/>
      <c r="G151" s="354"/>
      <c r="H151" s="354"/>
      <c r="I151" s="354"/>
      <c r="J151" s="354"/>
      <c r="K151" s="354"/>
      <c r="L151" s="354"/>
      <c r="M151" s="354"/>
      <c r="N151" s="354"/>
      <c r="O151" s="354"/>
    </row>
    <row r="152" spans="1:15">
      <c r="B152" s="354"/>
      <c r="C152" s="354"/>
      <c r="D152" s="354"/>
      <c r="E152" s="354"/>
      <c r="F152" s="354"/>
      <c r="G152" s="354"/>
      <c r="I152" s="354"/>
      <c r="J152" s="354"/>
      <c r="K152" s="354"/>
      <c r="L152" s="354"/>
    </row>
    <row r="153" spans="1:15">
      <c r="B153" s="354"/>
      <c r="C153" s="354"/>
      <c r="D153" s="354"/>
      <c r="E153" s="354"/>
      <c r="F153" s="354"/>
      <c r="G153" s="354"/>
      <c r="H153" s="354"/>
      <c r="I153" s="354"/>
      <c r="J153" s="354"/>
      <c r="K153" s="354"/>
      <c r="L153" s="354"/>
    </row>
    <row r="154" spans="1:15">
      <c r="B154" s="354"/>
      <c r="H154" s="354"/>
      <c r="I154" s="354"/>
      <c r="J154" s="354"/>
      <c r="K154" s="354"/>
      <c r="L154" s="354"/>
    </row>
    <row r="155" spans="1:15">
      <c r="I155" s="354"/>
      <c r="J155" s="354"/>
      <c r="K155" s="354"/>
      <c r="L155" s="354"/>
    </row>
    <row r="156" spans="1:15">
      <c r="I156" s="354"/>
      <c r="J156" s="354"/>
      <c r="K156" s="354"/>
      <c r="L156" s="354"/>
    </row>
    <row r="157" spans="1:15">
      <c r="I157" s="354"/>
      <c r="J157" s="354"/>
      <c r="K157" s="354"/>
      <c r="L157" s="354"/>
    </row>
    <row r="158" spans="1:15">
      <c r="I158" s="354"/>
      <c r="J158" s="354"/>
      <c r="K158" s="354"/>
      <c r="L158" s="354"/>
    </row>
    <row r="159" spans="1:15">
      <c r="I159" s="354"/>
      <c r="J159" s="354"/>
      <c r="K159" s="354"/>
      <c r="L159" s="354"/>
    </row>
    <row r="160" spans="1:15">
      <c r="I160" s="354"/>
      <c r="J160" s="354"/>
      <c r="K160" s="354"/>
      <c r="L160" s="354"/>
    </row>
    <row r="161" spans="9:12">
      <c r="I161" s="354"/>
      <c r="J161" s="354"/>
      <c r="K161" s="354"/>
      <c r="L161" s="354"/>
    </row>
    <row r="162" spans="9:12">
      <c r="I162" s="354"/>
      <c r="J162" s="354"/>
      <c r="K162" s="354"/>
      <c r="L162" s="354"/>
    </row>
    <row r="163" spans="9:12">
      <c r="I163" s="354"/>
      <c r="J163" s="354"/>
      <c r="K163" s="354"/>
      <c r="L163" s="354"/>
    </row>
    <row r="164" spans="9:12">
      <c r="I164" s="354"/>
      <c r="J164" s="354"/>
      <c r="K164" s="354"/>
      <c r="L164" s="354"/>
    </row>
    <row r="165" spans="9:12">
      <c r="I165" s="354"/>
      <c r="J165" s="354"/>
      <c r="K165" s="354"/>
      <c r="L165" s="354"/>
    </row>
    <row r="166" spans="9:12">
      <c r="I166" s="354"/>
      <c r="J166" s="354"/>
      <c r="K166" s="354"/>
      <c r="L166" s="354"/>
    </row>
    <row r="167" spans="9:12">
      <c r="I167" s="354"/>
      <c r="J167" s="354"/>
      <c r="K167" s="354"/>
    </row>
    <row r="168" spans="9:12">
      <c r="I168" s="354"/>
      <c r="J168" s="354"/>
      <c r="K168" s="354"/>
    </row>
    <row r="169" spans="9:12">
      <c r="I169" s="354"/>
      <c r="J169" s="354"/>
      <c r="K169" s="354"/>
    </row>
    <row r="170" spans="9:12">
      <c r="I170" s="354"/>
      <c r="J170" s="354"/>
      <c r="K170" s="354"/>
    </row>
    <row r="171" spans="9:12">
      <c r="I171" s="354"/>
      <c r="J171" s="354"/>
      <c r="K171" s="354"/>
    </row>
    <row r="172" spans="9:12">
      <c r="I172" s="354"/>
      <c r="J172" s="354"/>
      <c r="K172" s="354"/>
    </row>
    <row r="173" spans="9:12">
      <c r="I173" s="354"/>
      <c r="J173" s="354"/>
      <c r="K173" s="354"/>
    </row>
    <row r="174" spans="9:12">
      <c r="I174" s="354"/>
      <c r="J174" s="354"/>
      <c r="K174" s="354"/>
    </row>
    <row r="175" spans="9:12">
      <c r="I175" s="354"/>
      <c r="J175" s="354"/>
      <c r="K175" s="354"/>
    </row>
    <row r="176" spans="9:12">
      <c r="I176" s="354"/>
      <c r="J176" s="354"/>
      <c r="K176" s="354"/>
    </row>
    <row r="177" spans="9:11">
      <c r="I177" s="354"/>
      <c r="J177" s="354"/>
      <c r="K177" s="354"/>
    </row>
    <row r="178" spans="9:11">
      <c r="I178" s="354"/>
      <c r="J178" s="354"/>
      <c r="K178" s="354"/>
    </row>
    <row r="179" spans="9:11">
      <c r="I179" s="354"/>
      <c r="J179" s="354"/>
      <c r="K179" s="354"/>
    </row>
    <row r="180" spans="9:11">
      <c r="I180" s="354"/>
      <c r="J180" s="354"/>
      <c r="K180" s="354"/>
    </row>
    <row r="181" spans="9:11">
      <c r="I181" s="354"/>
      <c r="J181" s="354"/>
      <c r="K181" s="354"/>
    </row>
    <row r="182" spans="9:11">
      <c r="I182" s="354"/>
      <c r="J182" s="354"/>
      <c r="K182" s="354"/>
    </row>
    <row r="183" spans="9:11">
      <c r="I183" s="354"/>
      <c r="J183" s="354"/>
      <c r="K183" s="354"/>
    </row>
    <row r="184" spans="9:11">
      <c r="I184" s="354"/>
      <c r="J184" s="354"/>
      <c r="K184" s="354"/>
    </row>
    <row r="185" spans="9:11">
      <c r="I185" s="354"/>
      <c r="J185" s="354"/>
      <c r="K185" s="354"/>
    </row>
    <row r="186" spans="9:11">
      <c r="I186" s="354"/>
      <c r="J186" s="354"/>
      <c r="K186" s="354"/>
    </row>
    <row r="187" spans="9:11">
      <c r="I187" s="354"/>
      <c r="J187" s="354"/>
      <c r="K187" s="354"/>
    </row>
    <row r="188" spans="9:11">
      <c r="I188" s="354"/>
      <c r="J188" s="354"/>
      <c r="K188" s="354"/>
    </row>
    <row r="189" spans="9:11">
      <c r="I189" s="354"/>
      <c r="J189" s="354"/>
      <c r="K189" s="354"/>
    </row>
    <row r="190" spans="9:11">
      <c r="I190" s="354"/>
      <c r="J190" s="354"/>
      <c r="K190" s="354"/>
    </row>
    <row r="191" spans="9:11">
      <c r="I191" s="354"/>
      <c r="J191" s="354"/>
      <c r="K191" s="354"/>
    </row>
    <row r="192" spans="9:11">
      <c r="I192" s="354"/>
      <c r="J192" s="354"/>
      <c r="K192" s="354"/>
    </row>
    <row r="193" spans="9:11">
      <c r="I193" s="354"/>
      <c r="J193" s="354"/>
      <c r="K193" s="354"/>
    </row>
    <row r="194" spans="9:11">
      <c r="I194" s="354"/>
      <c r="J194" s="354"/>
      <c r="K194" s="354"/>
    </row>
    <row r="195" spans="9:11">
      <c r="I195" s="354"/>
      <c r="J195" s="354"/>
      <c r="K195" s="354"/>
    </row>
    <row r="196" spans="9:11">
      <c r="I196" s="354"/>
      <c r="J196" s="354"/>
      <c r="K196" s="354"/>
    </row>
    <row r="197" spans="9:11">
      <c r="I197" s="354"/>
      <c r="J197" s="354"/>
      <c r="K197" s="354"/>
    </row>
    <row r="198" spans="9:11">
      <c r="I198" s="354"/>
      <c r="J198" s="354"/>
      <c r="K198" s="354"/>
    </row>
    <row r="199" spans="9:11">
      <c r="I199" s="354"/>
      <c r="J199" s="354"/>
      <c r="K199" s="354"/>
    </row>
    <row r="200" spans="9:11">
      <c r="I200" s="354"/>
      <c r="J200" s="354"/>
      <c r="K200" s="354"/>
    </row>
    <row r="201" spans="9:11">
      <c r="I201" s="354"/>
      <c r="J201" s="354"/>
      <c r="K201" s="354"/>
    </row>
    <row r="202" spans="9:11">
      <c r="I202" s="354"/>
      <c r="J202" s="354"/>
      <c r="K202" s="354"/>
    </row>
    <row r="203" spans="9:11">
      <c r="I203" s="354"/>
      <c r="J203" s="354"/>
      <c r="K203" s="354"/>
    </row>
    <row r="204" spans="9:11">
      <c r="I204" s="354"/>
      <c r="J204" s="354"/>
      <c r="K204" s="354"/>
    </row>
    <row r="205" spans="9:11">
      <c r="I205" s="354"/>
      <c r="J205" s="354"/>
      <c r="K205" s="354"/>
    </row>
    <row r="206" spans="9:11">
      <c r="I206" s="354"/>
      <c r="J206" s="354"/>
      <c r="K206" s="354"/>
    </row>
    <row r="207" spans="9:11">
      <c r="I207" s="354"/>
      <c r="J207" s="354"/>
      <c r="K207" s="354"/>
    </row>
    <row r="208" spans="9:11">
      <c r="I208" s="354"/>
      <c r="J208" s="354"/>
      <c r="K208" s="354"/>
    </row>
    <row r="209" spans="9:11">
      <c r="I209" s="354"/>
      <c r="J209" s="354"/>
      <c r="K209" s="354"/>
    </row>
    <row r="210" spans="9:11">
      <c r="I210" s="354"/>
      <c r="J210" s="354"/>
      <c r="K210" s="354"/>
    </row>
    <row r="211" spans="9:11">
      <c r="I211" s="354"/>
      <c r="J211" s="354"/>
      <c r="K211" s="354"/>
    </row>
    <row r="212" spans="9:11">
      <c r="I212" s="354"/>
      <c r="J212" s="354"/>
      <c r="K212" s="354"/>
    </row>
    <row r="213" spans="9:11">
      <c r="I213" s="354"/>
      <c r="J213" s="354"/>
      <c r="K213" s="354"/>
    </row>
    <row r="214" spans="9:11">
      <c r="I214" s="354"/>
      <c r="J214" s="354"/>
      <c r="K214" s="354"/>
    </row>
    <row r="215" spans="9:11">
      <c r="I215" s="354"/>
      <c r="J215" s="354"/>
      <c r="K215" s="354"/>
    </row>
    <row r="216" spans="9:11">
      <c r="I216" s="354"/>
      <c r="J216" s="354"/>
      <c r="K216" s="354"/>
    </row>
    <row r="217" spans="9:11">
      <c r="I217" s="354"/>
      <c r="J217" s="354"/>
      <c r="K217" s="354"/>
    </row>
    <row r="218" spans="9:11">
      <c r="I218" s="354"/>
      <c r="J218" s="354"/>
      <c r="K218" s="354"/>
    </row>
    <row r="219" spans="9:11">
      <c r="I219" s="354"/>
      <c r="J219" s="354"/>
      <c r="K219" s="354"/>
    </row>
    <row r="220" spans="9:11">
      <c r="I220" s="354"/>
      <c r="J220" s="354"/>
      <c r="K220" s="354"/>
    </row>
    <row r="221" spans="9:11">
      <c r="I221" s="354"/>
      <c r="J221" s="354"/>
      <c r="K221" s="354"/>
    </row>
    <row r="222" spans="9:11">
      <c r="I222" s="354"/>
      <c r="J222" s="354"/>
      <c r="K222" s="354"/>
    </row>
    <row r="223" spans="9:11">
      <c r="I223" s="354"/>
      <c r="J223" s="354"/>
      <c r="K223" s="354"/>
    </row>
    <row r="224" spans="9:11">
      <c r="I224" s="354"/>
      <c r="J224" s="354"/>
      <c r="K224" s="354"/>
    </row>
    <row r="225" spans="9:11">
      <c r="I225" s="354"/>
      <c r="J225" s="354"/>
      <c r="K225" s="354"/>
    </row>
    <row r="226" spans="9:11">
      <c r="I226" s="354"/>
      <c r="J226" s="354"/>
      <c r="K226" s="354"/>
    </row>
    <row r="227" spans="9:11">
      <c r="I227" s="354"/>
      <c r="J227" s="354"/>
      <c r="K227" s="354"/>
    </row>
    <row r="228" spans="9:11">
      <c r="I228" s="354"/>
      <c r="J228" s="354"/>
      <c r="K228" s="354"/>
    </row>
    <row r="229" spans="9:11">
      <c r="I229" s="354"/>
      <c r="J229" s="354"/>
      <c r="K229" s="354"/>
    </row>
    <row r="230" spans="9:11">
      <c r="I230" s="354"/>
      <c r="J230" s="354"/>
      <c r="K230" s="354"/>
    </row>
    <row r="231" spans="9:11">
      <c r="I231" s="354"/>
      <c r="J231" s="354"/>
      <c r="K231" s="354"/>
    </row>
    <row r="232" spans="9:11">
      <c r="I232" s="354"/>
      <c r="J232" s="354"/>
      <c r="K232" s="354"/>
    </row>
    <row r="233" spans="9:11">
      <c r="I233" s="354"/>
      <c r="J233" s="354"/>
      <c r="K233" s="354"/>
    </row>
    <row r="234" spans="9:11">
      <c r="I234" s="354"/>
      <c r="J234" s="354"/>
      <c r="K234" s="354"/>
    </row>
    <row r="235" spans="9:11">
      <c r="I235" s="354"/>
      <c r="J235" s="354"/>
      <c r="K235" s="354"/>
    </row>
    <row r="236" spans="9:11">
      <c r="I236" s="354"/>
      <c r="J236" s="354"/>
      <c r="K236" s="354"/>
    </row>
    <row r="237" spans="9:11">
      <c r="I237" s="354"/>
      <c r="J237" s="354"/>
    </row>
    <row r="238" spans="9:11">
      <c r="I238" s="354"/>
      <c r="J238" s="354"/>
    </row>
    <row r="239" spans="9:11">
      <c r="I239" s="354"/>
      <c r="J239" s="354"/>
    </row>
    <row r="240" spans="9:11">
      <c r="I240" s="354"/>
      <c r="J240" s="354"/>
    </row>
    <row r="241" spans="9:10">
      <c r="I241" s="354"/>
      <c r="J241" s="354"/>
    </row>
    <row r="242" spans="9:10">
      <c r="I242" s="354"/>
      <c r="J242" s="354"/>
    </row>
    <row r="243" spans="9:10">
      <c r="I243" s="354"/>
      <c r="J243" s="354"/>
    </row>
    <row r="244" spans="9:10">
      <c r="I244" s="354"/>
      <c r="J244" s="354"/>
    </row>
    <row r="245" spans="9:10">
      <c r="I245" s="354"/>
      <c r="J245" s="354"/>
    </row>
    <row r="246" spans="9:10">
      <c r="I246" s="354"/>
      <c r="J246" s="354"/>
    </row>
    <row r="247" spans="9:10">
      <c r="I247" s="354"/>
      <c r="J247" s="354"/>
    </row>
    <row r="248" spans="9:10">
      <c r="I248" s="354"/>
      <c r="J248" s="354"/>
    </row>
    <row r="249" spans="9:10">
      <c r="I249" s="354"/>
      <c r="J249" s="354"/>
    </row>
    <row r="250" spans="9:10">
      <c r="I250" s="354"/>
      <c r="J250" s="354"/>
    </row>
    <row r="251" spans="9:10">
      <c r="I251" s="354"/>
      <c r="J251" s="354"/>
    </row>
    <row r="252" spans="9:10">
      <c r="I252" s="354"/>
      <c r="J252" s="354"/>
    </row>
    <row r="253" spans="9:10">
      <c r="I253" s="354"/>
      <c r="J253" s="354"/>
    </row>
    <row r="254" spans="9:10">
      <c r="I254" s="354"/>
      <c r="J254" s="354"/>
    </row>
    <row r="255" spans="9:10">
      <c r="I255" s="354"/>
      <c r="J255" s="354"/>
    </row>
    <row r="256" spans="9:10">
      <c r="I256" s="354"/>
      <c r="J256" s="354"/>
    </row>
    <row r="257" spans="9:10">
      <c r="I257" s="354"/>
      <c r="J257" s="354"/>
    </row>
    <row r="258" spans="9:10">
      <c r="I258" s="354"/>
      <c r="J258" s="354"/>
    </row>
    <row r="259" spans="9:10">
      <c r="I259" s="354"/>
      <c r="J259" s="354"/>
    </row>
    <row r="260" spans="9:10">
      <c r="I260" s="354"/>
      <c r="J260" s="354"/>
    </row>
    <row r="261" spans="9:10">
      <c r="I261" s="354"/>
      <c r="J261" s="354"/>
    </row>
    <row r="262" spans="9:10">
      <c r="I262" s="354"/>
      <c r="J262" s="354"/>
    </row>
    <row r="263" spans="9:10">
      <c r="I263" s="354"/>
      <c r="J263" s="354"/>
    </row>
    <row r="264" spans="9:10">
      <c r="I264" s="354"/>
      <c r="J264" s="354"/>
    </row>
    <row r="265" spans="9:10">
      <c r="I265" s="354"/>
      <c r="J265" s="354"/>
    </row>
    <row r="266" spans="9:10">
      <c r="I266" s="354"/>
      <c r="J266" s="354"/>
    </row>
    <row r="267" spans="9:10">
      <c r="I267" s="354"/>
      <c r="J267" s="354"/>
    </row>
    <row r="268" spans="9:10">
      <c r="I268" s="354"/>
      <c r="J268" s="354"/>
    </row>
    <row r="269" spans="9:10">
      <c r="I269" s="354"/>
      <c r="J269" s="354"/>
    </row>
    <row r="270" spans="9:10">
      <c r="I270" s="354"/>
      <c r="J270" s="354"/>
    </row>
    <row r="271" spans="9:10">
      <c r="I271" s="354"/>
      <c r="J271" s="354"/>
    </row>
    <row r="272" spans="9:10">
      <c r="I272" s="354"/>
      <c r="J272" s="354"/>
    </row>
    <row r="273" spans="9:10">
      <c r="I273" s="354"/>
      <c r="J273" s="354"/>
    </row>
    <row r="274" spans="9:10">
      <c r="I274" s="354"/>
      <c r="J274" s="354"/>
    </row>
    <row r="275" spans="9:10">
      <c r="I275" s="354"/>
      <c r="J275" s="354"/>
    </row>
    <row r="276" spans="9:10">
      <c r="I276" s="354"/>
      <c r="J276" s="354"/>
    </row>
    <row r="277" spans="9:10">
      <c r="I277" s="354"/>
      <c r="J277" s="354"/>
    </row>
    <row r="278" spans="9:10">
      <c r="I278" s="354"/>
      <c r="J278" s="354"/>
    </row>
    <row r="279" spans="9:10">
      <c r="I279" s="354"/>
      <c r="J279" s="354"/>
    </row>
    <row r="280" spans="9:10">
      <c r="I280" s="354"/>
      <c r="J280" s="354"/>
    </row>
    <row r="281" spans="9:10">
      <c r="I281" s="354"/>
      <c r="J281" s="354"/>
    </row>
    <row r="282" spans="9:10">
      <c r="I282" s="354"/>
      <c r="J282" s="354"/>
    </row>
    <row r="283" spans="9:10">
      <c r="I283" s="354"/>
      <c r="J283" s="354"/>
    </row>
    <row r="284" spans="9:10">
      <c r="I284" s="354"/>
      <c r="J284" s="354"/>
    </row>
    <row r="285" spans="9:10">
      <c r="I285" s="354"/>
      <c r="J285" s="354"/>
    </row>
    <row r="286" spans="9:10">
      <c r="I286" s="354"/>
      <c r="J286" s="354"/>
    </row>
    <row r="287" spans="9:10">
      <c r="I287" s="354"/>
      <c r="J287" s="354"/>
    </row>
    <row r="288" spans="9:10">
      <c r="I288" s="354"/>
      <c r="J288" s="354"/>
    </row>
    <row r="289" spans="9:10">
      <c r="I289" s="354"/>
      <c r="J289" s="354"/>
    </row>
    <row r="290" spans="9:10">
      <c r="I290" s="354"/>
      <c r="J290" s="354"/>
    </row>
    <row r="291" spans="9:10">
      <c r="I291" s="354"/>
      <c r="J291" s="354"/>
    </row>
    <row r="292" spans="9:10">
      <c r="I292" s="354"/>
      <c r="J292" s="354"/>
    </row>
    <row r="293" spans="9:10">
      <c r="I293" s="354"/>
      <c r="J293" s="354"/>
    </row>
    <row r="294" spans="9:10">
      <c r="I294" s="354"/>
      <c r="J294" s="354"/>
    </row>
    <row r="295" spans="9:10">
      <c r="I295" s="354"/>
      <c r="J295" s="354"/>
    </row>
    <row r="296" spans="9:10">
      <c r="I296" s="354"/>
      <c r="J296" s="354"/>
    </row>
    <row r="297" spans="9:10">
      <c r="I297" s="354"/>
      <c r="J297" s="354"/>
    </row>
    <row r="298" spans="9:10">
      <c r="I298" s="354"/>
      <c r="J298" s="354"/>
    </row>
    <row r="299" spans="9:10">
      <c r="I299" s="354"/>
      <c r="J299" s="354"/>
    </row>
    <row r="300" spans="9:10">
      <c r="I300" s="354"/>
      <c r="J300" s="354"/>
    </row>
    <row r="301" spans="9:10">
      <c r="I301" s="354"/>
      <c r="J301" s="354"/>
    </row>
    <row r="302" spans="9:10">
      <c r="I302" s="354"/>
      <c r="J302" s="354"/>
    </row>
    <row r="303" spans="9:10">
      <c r="I303" s="354"/>
      <c r="J303" s="354"/>
    </row>
    <row r="304" spans="9:10">
      <c r="I304" s="354"/>
      <c r="J304" s="354"/>
    </row>
    <row r="305" spans="9:10">
      <c r="I305" s="354"/>
      <c r="J305" s="354"/>
    </row>
    <row r="306" spans="9:10">
      <c r="I306" s="354"/>
      <c r="J306" s="354"/>
    </row>
    <row r="307" spans="9:10">
      <c r="I307" s="354"/>
      <c r="J307" s="354"/>
    </row>
    <row r="308" spans="9:10">
      <c r="I308" s="354"/>
      <c r="J308" s="354"/>
    </row>
    <row r="309" spans="9:10">
      <c r="I309" s="354"/>
      <c r="J309" s="354"/>
    </row>
    <row r="310" spans="9:10">
      <c r="I310" s="354"/>
      <c r="J310" s="354"/>
    </row>
    <row r="311" spans="9:10">
      <c r="I311" s="354"/>
      <c r="J311" s="354"/>
    </row>
    <row r="312" spans="9:10">
      <c r="I312" s="354"/>
      <c r="J312" s="354"/>
    </row>
    <row r="313" spans="9:10">
      <c r="I313" s="354"/>
      <c r="J313" s="354"/>
    </row>
    <row r="314" spans="9:10">
      <c r="I314" s="354"/>
      <c r="J314" s="354"/>
    </row>
    <row r="315" spans="9:10">
      <c r="I315" s="354"/>
      <c r="J315" s="354"/>
    </row>
    <row r="316" spans="9:10">
      <c r="I316" s="354"/>
      <c r="J316" s="354"/>
    </row>
    <row r="317" spans="9:10">
      <c r="I317" s="354"/>
      <c r="J317" s="354"/>
    </row>
    <row r="318" spans="9:10">
      <c r="I318" s="354"/>
      <c r="J318" s="354"/>
    </row>
    <row r="319" spans="9:10">
      <c r="I319" s="354"/>
      <c r="J319" s="354"/>
    </row>
    <row r="320" spans="9:10">
      <c r="I320" s="354"/>
      <c r="J320" s="354"/>
    </row>
    <row r="321" spans="9:10">
      <c r="I321" s="354"/>
      <c r="J321" s="354"/>
    </row>
    <row r="322" spans="9:10">
      <c r="I322" s="354"/>
      <c r="J322" s="354"/>
    </row>
    <row r="323" spans="9:10">
      <c r="I323" s="354"/>
      <c r="J323" s="354"/>
    </row>
    <row r="324" spans="9:10">
      <c r="I324" s="354"/>
      <c r="J324" s="354"/>
    </row>
    <row r="325" spans="9:10">
      <c r="I325" s="354"/>
      <c r="J325" s="354"/>
    </row>
    <row r="326" spans="9:10">
      <c r="I326" s="354"/>
      <c r="J326" s="354"/>
    </row>
    <row r="327" spans="9:10">
      <c r="I327" s="354"/>
      <c r="J327" s="354"/>
    </row>
    <row r="328" spans="9:10">
      <c r="I328" s="354"/>
      <c r="J328" s="354"/>
    </row>
    <row r="329" spans="9:10">
      <c r="I329" s="354"/>
      <c r="J329" s="354"/>
    </row>
    <row r="330" spans="9:10">
      <c r="I330" s="354"/>
      <c r="J330" s="354"/>
    </row>
    <row r="331" spans="9:10">
      <c r="I331" s="354"/>
      <c r="J331" s="354"/>
    </row>
    <row r="332" spans="9:10">
      <c r="I332" s="354"/>
      <c r="J332" s="354"/>
    </row>
    <row r="333" spans="9:10">
      <c r="I333" s="354"/>
      <c r="J333" s="354"/>
    </row>
    <row r="334" spans="9:10">
      <c r="I334" s="354"/>
      <c r="J334" s="354"/>
    </row>
    <row r="335" spans="9:10">
      <c r="I335" s="354"/>
      <c r="J335" s="354"/>
    </row>
    <row r="336" spans="9:10">
      <c r="I336" s="354"/>
      <c r="J336" s="354"/>
    </row>
    <row r="337" spans="9:10">
      <c r="I337" s="354"/>
      <c r="J337" s="354"/>
    </row>
    <row r="338" spans="9:10">
      <c r="I338" s="354"/>
      <c r="J338" s="354"/>
    </row>
    <row r="339" spans="9:10">
      <c r="I339" s="354"/>
      <c r="J339" s="354"/>
    </row>
    <row r="340" spans="9:10">
      <c r="I340" s="354"/>
      <c r="J340" s="354"/>
    </row>
    <row r="341" spans="9:10">
      <c r="I341" s="354"/>
      <c r="J341" s="354"/>
    </row>
    <row r="342" spans="9:10">
      <c r="I342" s="354"/>
      <c r="J342" s="354"/>
    </row>
    <row r="343" spans="9:10">
      <c r="I343" s="354"/>
      <c r="J343" s="354"/>
    </row>
    <row r="344" spans="9:10">
      <c r="I344" s="354"/>
      <c r="J344" s="354"/>
    </row>
    <row r="345" spans="9:10">
      <c r="I345" s="354"/>
      <c r="J345" s="354"/>
    </row>
    <row r="346" spans="9:10">
      <c r="I346" s="354"/>
      <c r="J346" s="354"/>
    </row>
    <row r="347" spans="9:10">
      <c r="I347" s="354"/>
      <c r="J347" s="354"/>
    </row>
    <row r="348" spans="9:10">
      <c r="I348" s="354"/>
      <c r="J348" s="354"/>
    </row>
    <row r="349" spans="9:10">
      <c r="I349" s="354"/>
      <c r="J349" s="354"/>
    </row>
    <row r="350" spans="9:10">
      <c r="I350" s="354"/>
      <c r="J350" s="354"/>
    </row>
    <row r="351" spans="9:10">
      <c r="I351" s="354"/>
      <c r="J351" s="354"/>
    </row>
    <row r="352" spans="9:10">
      <c r="I352" s="354"/>
      <c r="J352" s="354"/>
    </row>
    <row r="353" spans="9:10">
      <c r="I353" s="354"/>
      <c r="J353" s="354"/>
    </row>
    <row r="354" spans="9:10">
      <c r="I354" s="354"/>
      <c r="J354" s="354"/>
    </row>
    <row r="355" spans="9:10">
      <c r="I355" s="354"/>
      <c r="J355" s="354"/>
    </row>
    <row r="356" spans="9:10">
      <c r="I356" s="354"/>
      <c r="J356" s="354"/>
    </row>
    <row r="357" spans="9:10">
      <c r="I357" s="354"/>
      <c r="J357" s="354"/>
    </row>
    <row r="358" spans="9:10">
      <c r="I358" s="354"/>
      <c r="J358" s="354"/>
    </row>
    <row r="359" spans="9:10">
      <c r="I359" s="354"/>
      <c r="J359" s="354"/>
    </row>
    <row r="360" spans="9:10">
      <c r="I360" s="354"/>
      <c r="J360" s="354"/>
    </row>
    <row r="361" spans="9:10">
      <c r="I361" s="354"/>
      <c r="J361" s="354"/>
    </row>
    <row r="362" spans="9:10">
      <c r="I362" s="354"/>
      <c r="J362" s="354"/>
    </row>
    <row r="363" spans="9:10">
      <c r="I363" s="354"/>
      <c r="J363" s="354"/>
    </row>
    <row r="364" spans="9:10">
      <c r="I364" s="354"/>
      <c r="J364" s="354"/>
    </row>
    <row r="365" spans="9:10">
      <c r="I365" s="354"/>
      <c r="J365" s="354"/>
    </row>
    <row r="366" spans="9:10">
      <c r="I366" s="354"/>
      <c r="J366" s="354"/>
    </row>
    <row r="367" spans="9:10">
      <c r="I367" s="354"/>
      <c r="J367" s="354"/>
    </row>
    <row r="368" spans="9:10">
      <c r="I368" s="354"/>
      <c r="J368" s="354"/>
    </row>
    <row r="369" spans="9:10">
      <c r="I369" s="354"/>
      <c r="J369" s="354"/>
    </row>
    <row r="370" spans="9:10">
      <c r="I370" s="354"/>
      <c r="J370" s="354"/>
    </row>
    <row r="371" spans="9:10">
      <c r="I371" s="354"/>
      <c r="J371" s="354"/>
    </row>
    <row r="372" spans="9:10">
      <c r="I372" s="354"/>
      <c r="J372" s="354"/>
    </row>
    <row r="373" spans="9:10">
      <c r="I373" s="354"/>
      <c r="J373" s="354"/>
    </row>
    <row r="374" spans="9:10">
      <c r="I374" s="354"/>
      <c r="J374" s="354"/>
    </row>
    <row r="375" spans="9:10">
      <c r="I375" s="354"/>
      <c r="J375" s="354"/>
    </row>
    <row r="376" spans="9:10">
      <c r="I376" s="354"/>
      <c r="J376" s="354"/>
    </row>
    <row r="377" spans="9:10">
      <c r="I377" s="354"/>
      <c r="J377" s="354"/>
    </row>
    <row r="378" spans="9:10">
      <c r="I378" s="354"/>
      <c r="J378" s="354"/>
    </row>
    <row r="379" spans="9:10">
      <c r="I379" s="354"/>
      <c r="J379" s="354"/>
    </row>
    <row r="380" spans="9:10">
      <c r="I380" s="354"/>
      <c r="J380" s="354"/>
    </row>
    <row r="381" spans="9:10">
      <c r="I381" s="354"/>
      <c r="J381" s="354"/>
    </row>
    <row r="382" spans="9:10">
      <c r="I382" s="354"/>
      <c r="J382" s="354"/>
    </row>
    <row r="383" spans="9:10">
      <c r="I383" s="354"/>
      <c r="J383" s="354"/>
    </row>
    <row r="384" spans="9:10">
      <c r="I384" s="354"/>
      <c r="J384" s="354"/>
    </row>
    <row r="385" spans="9:10">
      <c r="I385" s="354"/>
      <c r="J385" s="354"/>
    </row>
    <row r="386" spans="9:10">
      <c r="I386" s="354"/>
      <c r="J386" s="354"/>
    </row>
    <row r="387" spans="9:10">
      <c r="I387" s="354"/>
      <c r="J387" s="354"/>
    </row>
    <row r="388" spans="9:10">
      <c r="I388" s="354"/>
      <c r="J388" s="354"/>
    </row>
    <row r="389" spans="9:10">
      <c r="I389" s="354"/>
      <c r="J389" s="354"/>
    </row>
    <row r="390" spans="9:10">
      <c r="I390" s="354"/>
      <c r="J390" s="354"/>
    </row>
    <row r="391" spans="9:10">
      <c r="I391" s="354"/>
      <c r="J391" s="354"/>
    </row>
    <row r="392" spans="9:10">
      <c r="I392" s="354"/>
      <c r="J392" s="354"/>
    </row>
    <row r="393" spans="9:10">
      <c r="I393" s="354"/>
      <c r="J393" s="354"/>
    </row>
    <row r="394" spans="9:10">
      <c r="I394" s="354"/>
      <c r="J394" s="354"/>
    </row>
    <row r="395" spans="9:10">
      <c r="I395" s="354"/>
      <c r="J395" s="354"/>
    </row>
    <row r="396" spans="9:10">
      <c r="I396" s="354"/>
      <c r="J396" s="354"/>
    </row>
    <row r="397" spans="9:10">
      <c r="I397" s="354"/>
      <c r="J397" s="354"/>
    </row>
    <row r="398" spans="9:10">
      <c r="I398" s="354"/>
      <c r="J398" s="354"/>
    </row>
    <row r="399" spans="9:10">
      <c r="I399" s="354"/>
      <c r="J399" s="354"/>
    </row>
    <row r="400" spans="9:10">
      <c r="I400" s="354"/>
      <c r="J400" s="354"/>
    </row>
    <row r="401" spans="9:10">
      <c r="I401" s="354"/>
      <c r="J401" s="354"/>
    </row>
    <row r="402" spans="9:10">
      <c r="I402" s="354"/>
      <c r="J402" s="354"/>
    </row>
    <row r="403" spans="9:10">
      <c r="I403" s="354"/>
      <c r="J403" s="354"/>
    </row>
    <row r="404" spans="9:10">
      <c r="I404" s="354"/>
      <c r="J404" s="354"/>
    </row>
    <row r="405" spans="9:10">
      <c r="I405" s="354"/>
      <c r="J405" s="354"/>
    </row>
    <row r="406" spans="9:10">
      <c r="I406" s="354"/>
      <c r="J406" s="354"/>
    </row>
    <row r="407" spans="9:10">
      <c r="I407" s="354"/>
      <c r="J407" s="354"/>
    </row>
    <row r="408" spans="9:10">
      <c r="I408" s="354"/>
      <c r="J408" s="354"/>
    </row>
    <row r="409" spans="9:10">
      <c r="I409" s="354"/>
      <c r="J409" s="354"/>
    </row>
    <row r="410" spans="9:10">
      <c r="I410" s="354"/>
      <c r="J410" s="354"/>
    </row>
    <row r="411" spans="9:10">
      <c r="I411" s="354"/>
      <c r="J411" s="354"/>
    </row>
    <row r="412" spans="9:10">
      <c r="I412" s="354"/>
      <c r="J412" s="354"/>
    </row>
    <row r="413" spans="9:10">
      <c r="I413" s="354"/>
      <c r="J413" s="354"/>
    </row>
    <row r="414" spans="9:10">
      <c r="I414" s="354"/>
      <c r="J414" s="354"/>
    </row>
    <row r="415" spans="9:10">
      <c r="I415" s="354"/>
      <c r="J415" s="354"/>
    </row>
    <row r="416" spans="9:10">
      <c r="I416" s="354"/>
      <c r="J416" s="354"/>
    </row>
    <row r="417" spans="9:10">
      <c r="I417" s="354"/>
      <c r="J417" s="354"/>
    </row>
    <row r="418" spans="9:10">
      <c r="I418" s="354"/>
      <c r="J418" s="354"/>
    </row>
    <row r="419" spans="9:10">
      <c r="I419" s="354"/>
      <c r="J419" s="354"/>
    </row>
    <row r="420" spans="9:10">
      <c r="I420" s="354"/>
      <c r="J420" s="354"/>
    </row>
    <row r="421" spans="9:10">
      <c r="I421" s="354"/>
      <c r="J421" s="354"/>
    </row>
    <row r="422" spans="9:10">
      <c r="I422" s="354"/>
      <c r="J422" s="354"/>
    </row>
    <row r="423" spans="9:10">
      <c r="I423" s="354"/>
      <c r="J423" s="354"/>
    </row>
    <row r="424" spans="9:10">
      <c r="I424" s="354"/>
      <c r="J424" s="354"/>
    </row>
    <row r="425" spans="9:10">
      <c r="I425" s="354"/>
      <c r="J425" s="354"/>
    </row>
    <row r="426" spans="9:10">
      <c r="I426" s="354"/>
      <c r="J426" s="354"/>
    </row>
    <row r="427" spans="9:10">
      <c r="I427" s="354"/>
      <c r="J427" s="354"/>
    </row>
    <row r="428" spans="9:10">
      <c r="I428" s="354"/>
      <c r="J428" s="354"/>
    </row>
    <row r="429" spans="9:10">
      <c r="I429" s="354"/>
      <c r="J429" s="354"/>
    </row>
    <row r="430" spans="9:10">
      <c r="I430" s="354"/>
      <c r="J430" s="354"/>
    </row>
    <row r="431" spans="9:10">
      <c r="I431" s="354"/>
      <c r="J431" s="354"/>
    </row>
    <row r="432" spans="9:10">
      <c r="I432" s="354"/>
      <c r="J432" s="354"/>
    </row>
    <row r="433" spans="9:10">
      <c r="I433" s="354"/>
      <c r="J433" s="354"/>
    </row>
    <row r="434" spans="9:10">
      <c r="I434" s="354"/>
      <c r="J434" s="354"/>
    </row>
    <row r="435" spans="9:10">
      <c r="I435" s="354"/>
      <c r="J435" s="354"/>
    </row>
    <row r="436" spans="9:10">
      <c r="I436" s="354"/>
      <c r="J436" s="354"/>
    </row>
    <row r="437" spans="9:10">
      <c r="I437" s="354"/>
      <c r="J437" s="354"/>
    </row>
    <row r="438" spans="9:10">
      <c r="I438" s="354"/>
      <c r="J438" s="354"/>
    </row>
    <row r="439" spans="9:10">
      <c r="I439" s="354"/>
      <c r="J439" s="354"/>
    </row>
    <row r="440" spans="9:10">
      <c r="I440" s="354"/>
      <c r="J440" s="354"/>
    </row>
    <row r="441" spans="9:10">
      <c r="I441" s="354"/>
      <c r="J441" s="354"/>
    </row>
    <row r="442" spans="9:10">
      <c r="I442" s="354"/>
      <c r="J442" s="354"/>
    </row>
    <row r="443" spans="9:10">
      <c r="I443" s="354"/>
      <c r="J443" s="354"/>
    </row>
    <row r="444" spans="9:10">
      <c r="I444" s="354"/>
      <c r="J444" s="354"/>
    </row>
    <row r="445" spans="9:10">
      <c r="I445" s="354"/>
      <c r="J445" s="354"/>
    </row>
    <row r="446" spans="9:10">
      <c r="I446" s="354"/>
      <c r="J446" s="354"/>
    </row>
    <row r="447" spans="9:10">
      <c r="I447" s="354"/>
      <c r="J447" s="354"/>
    </row>
    <row r="448" spans="9:10">
      <c r="I448" s="354"/>
      <c r="J448" s="354"/>
    </row>
    <row r="449" spans="9:10">
      <c r="I449" s="354"/>
      <c r="J449" s="354"/>
    </row>
    <row r="450" spans="9:10">
      <c r="I450" s="354"/>
      <c r="J450" s="354"/>
    </row>
    <row r="451" spans="9:10">
      <c r="I451" s="354"/>
      <c r="J451" s="354"/>
    </row>
    <row r="452" spans="9:10">
      <c r="I452" s="354"/>
      <c r="J452" s="354"/>
    </row>
    <row r="453" spans="9:10">
      <c r="I453" s="354"/>
      <c r="J453" s="354"/>
    </row>
    <row r="454" spans="9:10">
      <c r="I454" s="354"/>
      <c r="J454" s="354"/>
    </row>
    <row r="455" spans="9:10">
      <c r="I455" s="354"/>
      <c r="J455" s="354"/>
    </row>
    <row r="456" spans="9:10">
      <c r="I456" s="354"/>
      <c r="J456" s="354"/>
    </row>
    <row r="457" spans="9:10">
      <c r="I457" s="354"/>
      <c r="J457" s="354"/>
    </row>
    <row r="458" spans="9:10">
      <c r="I458" s="354"/>
      <c r="J458" s="354"/>
    </row>
    <row r="459" spans="9:10">
      <c r="I459" s="354"/>
      <c r="J459" s="354"/>
    </row>
    <row r="460" spans="9:10">
      <c r="I460" s="354"/>
      <c r="J460" s="354"/>
    </row>
    <row r="461" spans="9:10">
      <c r="I461" s="354"/>
      <c r="J461" s="354"/>
    </row>
    <row r="462" spans="9:10">
      <c r="I462" s="354"/>
      <c r="J462" s="354"/>
    </row>
    <row r="463" spans="9:10">
      <c r="I463" s="354"/>
      <c r="J463" s="354"/>
    </row>
    <row r="464" spans="9:10">
      <c r="I464" s="354"/>
      <c r="J464" s="354"/>
    </row>
    <row r="465" spans="9:10">
      <c r="I465" s="354"/>
      <c r="J465" s="354"/>
    </row>
    <row r="466" spans="9:10">
      <c r="I466" s="354"/>
      <c r="J466" s="354"/>
    </row>
    <row r="467" spans="9:10">
      <c r="I467" s="354"/>
      <c r="J467" s="354"/>
    </row>
    <row r="468" spans="9:10">
      <c r="I468" s="354"/>
      <c r="J468" s="354"/>
    </row>
    <row r="469" spans="9:10">
      <c r="I469" s="354"/>
      <c r="J469" s="354"/>
    </row>
    <row r="470" spans="9:10">
      <c r="I470" s="354"/>
      <c r="J470" s="354"/>
    </row>
    <row r="471" spans="9:10">
      <c r="I471" s="354"/>
      <c r="J471" s="354"/>
    </row>
    <row r="472" spans="9:10">
      <c r="I472" s="354"/>
      <c r="J472" s="354"/>
    </row>
    <row r="473" spans="9:10">
      <c r="I473" s="354"/>
      <c r="J473" s="354"/>
    </row>
    <row r="474" spans="9:10">
      <c r="I474" s="354"/>
      <c r="J474" s="354"/>
    </row>
    <row r="475" spans="9:10">
      <c r="I475" s="354"/>
      <c r="J475" s="354"/>
    </row>
    <row r="476" spans="9:10">
      <c r="I476" s="354"/>
      <c r="J476" s="354"/>
    </row>
    <row r="477" spans="9:10">
      <c r="I477" s="354"/>
      <c r="J477" s="354"/>
    </row>
    <row r="478" spans="9:10">
      <c r="I478" s="354"/>
      <c r="J478" s="354"/>
    </row>
    <row r="479" spans="9:10">
      <c r="I479" s="354"/>
      <c r="J479" s="354"/>
    </row>
    <row r="480" spans="9:10">
      <c r="I480" s="354"/>
      <c r="J480" s="354"/>
    </row>
    <row r="481" spans="9:10">
      <c r="I481" s="354"/>
      <c r="J481" s="354"/>
    </row>
    <row r="482" spans="9:10">
      <c r="I482" s="354"/>
      <c r="J482" s="354"/>
    </row>
    <row r="483" spans="9:10">
      <c r="I483" s="354"/>
      <c r="J483" s="354"/>
    </row>
    <row r="484" spans="9:10">
      <c r="I484" s="354"/>
      <c r="J484" s="354"/>
    </row>
    <row r="485" spans="9:10">
      <c r="I485" s="354"/>
      <c r="J485" s="354"/>
    </row>
    <row r="486" spans="9:10">
      <c r="I486" s="354"/>
      <c r="J486" s="354"/>
    </row>
    <row r="487" spans="9:10">
      <c r="I487" s="354"/>
      <c r="J487" s="354"/>
    </row>
    <row r="488" spans="9:10">
      <c r="I488" s="354"/>
      <c r="J488" s="354"/>
    </row>
    <row r="489" spans="9:10">
      <c r="I489" s="354"/>
      <c r="J489" s="354"/>
    </row>
    <row r="490" spans="9:10">
      <c r="I490" s="354"/>
      <c r="J490" s="354"/>
    </row>
    <row r="491" spans="9:10">
      <c r="I491" s="354"/>
      <c r="J491" s="354"/>
    </row>
    <row r="492" spans="9:10">
      <c r="I492" s="354"/>
      <c r="J492" s="354"/>
    </row>
    <row r="493" spans="9:10">
      <c r="I493" s="354"/>
      <c r="J493" s="354"/>
    </row>
    <row r="494" spans="9:10">
      <c r="I494" s="354"/>
      <c r="J494" s="354"/>
    </row>
    <row r="495" spans="9:10">
      <c r="I495" s="354"/>
      <c r="J495" s="354"/>
    </row>
    <row r="496" spans="9:10">
      <c r="I496" s="354"/>
      <c r="J496" s="354"/>
    </row>
    <row r="497" spans="9:10">
      <c r="I497" s="354"/>
      <c r="J497" s="354"/>
    </row>
    <row r="498" spans="9:10">
      <c r="I498" s="354"/>
      <c r="J498" s="354"/>
    </row>
    <row r="499" spans="9:10">
      <c r="I499" s="354"/>
      <c r="J499" s="354"/>
    </row>
    <row r="500" spans="9:10">
      <c r="I500" s="354"/>
      <c r="J500" s="354"/>
    </row>
    <row r="501" spans="9:10">
      <c r="I501" s="354"/>
      <c r="J501" s="354"/>
    </row>
    <row r="502" spans="9:10">
      <c r="I502" s="354"/>
      <c r="J502" s="354"/>
    </row>
    <row r="503" spans="9:10">
      <c r="I503" s="354"/>
      <c r="J503" s="354"/>
    </row>
    <row r="504" spans="9:10">
      <c r="I504" s="354"/>
      <c r="J504" s="354"/>
    </row>
    <row r="505" spans="9:10">
      <c r="I505" s="354"/>
      <c r="J505" s="354"/>
    </row>
    <row r="506" spans="9:10">
      <c r="I506" s="354"/>
      <c r="J506" s="354"/>
    </row>
    <row r="507" spans="9:10">
      <c r="I507" s="354"/>
      <c r="J507" s="354"/>
    </row>
    <row r="508" spans="9:10">
      <c r="I508" s="354"/>
      <c r="J508" s="354"/>
    </row>
    <row r="509" spans="9:10">
      <c r="I509" s="354"/>
      <c r="J509" s="354"/>
    </row>
    <row r="510" spans="9:10">
      <c r="I510" s="354"/>
      <c r="J510" s="354"/>
    </row>
    <row r="511" spans="9:10">
      <c r="I511" s="354"/>
      <c r="J511" s="354"/>
    </row>
    <row r="512" spans="9:10">
      <c r="I512" s="354"/>
      <c r="J512" s="354"/>
    </row>
    <row r="513" spans="9:10">
      <c r="I513" s="354"/>
      <c r="J513" s="354"/>
    </row>
    <row r="514" spans="9:10">
      <c r="I514" s="354"/>
      <c r="J514" s="354"/>
    </row>
    <row r="515" spans="9:10">
      <c r="I515" s="354"/>
      <c r="J515" s="354"/>
    </row>
    <row r="516" spans="9:10">
      <c r="I516" s="354"/>
      <c r="J516" s="354"/>
    </row>
    <row r="517" spans="9:10">
      <c r="I517" s="354"/>
      <c r="J517" s="354"/>
    </row>
    <row r="518" spans="9:10">
      <c r="I518" s="354"/>
      <c r="J518" s="354"/>
    </row>
    <row r="519" spans="9:10">
      <c r="I519" s="354"/>
      <c r="J519" s="354"/>
    </row>
    <row r="520" spans="9:10">
      <c r="I520" s="354"/>
      <c r="J520" s="354"/>
    </row>
    <row r="521" spans="9:10">
      <c r="I521" s="354"/>
      <c r="J521" s="354"/>
    </row>
    <row r="522" spans="9:10">
      <c r="I522" s="354"/>
      <c r="J522" s="354"/>
    </row>
    <row r="523" spans="9:10">
      <c r="I523" s="354"/>
      <c r="J523" s="354"/>
    </row>
    <row r="524" spans="9:10">
      <c r="I524" s="354"/>
      <c r="J524" s="354"/>
    </row>
    <row r="525" spans="9:10">
      <c r="I525" s="354"/>
      <c r="J525" s="354"/>
    </row>
    <row r="526" spans="9:10">
      <c r="I526" s="354"/>
      <c r="J526" s="354"/>
    </row>
    <row r="527" spans="9:10">
      <c r="I527" s="354"/>
      <c r="J527" s="354"/>
    </row>
    <row r="528" spans="9:10">
      <c r="I528" s="354"/>
      <c r="J528" s="354"/>
    </row>
    <row r="529" spans="9:10">
      <c r="I529" s="354"/>
      <c r="J529" s="354"/>
    </row>
    <row r="530" spans="9:10">
      <c r="I530" s="354"/>
      <c r="J530" s="354"/>
    </row>
    <row r="531" spans="9:10">
      <c r="I531" s="354"/>
      <c r="J531" s="354"/>
    </row>
    <row r="532" spans="9:10">
      <c r="I532" s="354"/>
      <c r="J532" s="354"/>
    </row>
    <row r="533" spans="9:10">
      <c r="I533" s="354"/>
      <c r="J533" s="354"/>
    </row>
    <row r="534" spans="9:10">
      <c r="I534" s="354"/>
      <c r="J534" s="354"/>
    </row>
    <row r="535" spans="9:10">
      <c r="I535" s="354"/>
      <c r="J535" s="354"/>
    </row>
    <row r="536" spans="9:10">
      <c r="I536" s="354"/>
      <c r="J536" s="354"/>
    </row>
    <row r="537" spans="9:10">
      <c r="I537" s="354"/>
      <c r="J537" s="354"/>
    </row>
    <row r="538" spans="9:10">
      <c r="I538" s="354"/>
      <c r="J538" s="354"/>
    </row>
    <row r="539" spans="9:10">
      <c r="I539" s="354"/>
      <c r="J539" s="354"/>
    </row>
    <row r="540" spans="9:10">
      <c r="I540" s="354"/>
      <c r="J540" s="354"/>
    </row>
    <row r="541" spans="9:10">
      <c r="I541" s="354"/>
      <c r="J541" s="354"/>
    </row>
    <row r="542" spans="9:10">
      <c r="I542" s="354"/>
      <c r="J542" s="354"/>
    </row>
    <row r="543" spans="9:10">
      <c r="I543" s="354"/>
      <c r="J543" s="354"/>
    </row>
    <row r="544" spans="9:10">
      <c r="I544" s="354"/>
      <c r="J544" s="354"/>
    </row>
    <row r="545" spans="9:10">
      <c r="I545" s="354"/>
      <c r="J545" s="354"/>
    </row>
    <row r="546" spans="9:10">
      <c r="I546" s="354"/>
      <c r="J546" s="354"/>
    </row>
    <row r="547" spans="9:10">
      <c r="I547" s="354"/>
      <c r="J547" s="354"/>
    </row>
    <row r="548" spans="9:10">
      <c r="I548" s="354"/>
      <c r="J548" s="354"/>
    </row>
    <row r="549" spans="9:10">
      <c r="I549" s="354"/>
      <c r="J549" s="354"/>
    </row>
    <row r="550" spans="9:10">
      <c r="I550" s="354"/>
      <c r="J550" s="354"/>
    </row>
    <row r="551" spans="9:10">
      <c r="I551" s="354"/>
      <c r="J551" s="354"/>
    </row>
    <row r="552" spans="9:10">
      <c r="I552" s="354"/>
      <c r="J552" s="354"/>
    </row>
    <row r="553" spans="9:10">
      <c r="I553" s="354"/>
      <c r="J553" s="354"/>
    </row>
    <row r="554" spans="9:10">
      <c r="I554" s="354"/>
      <c r="J554" s="354"/>
    </row>
    <row r="555" spans="9:10">
      <c r="I555" s="354"/>
      <c r="J555" s="354"/>
    </row>
    <row r="556" spans="9:10">
      <c r="I556" s="354"/>
      <c r="J556" s="354"/>
    </row>
    <row r="557" spans="9:10">
      <c r="I557" s="354"/>
      <c r="J557" s="354"/>
    </row>
    <row r="558" spans="9:10">
      <c r="I558" s="354"/>
      <c r="J558" s="354"/>
    </row>
    <row r="559" spans="9:10">
      <c r="I559" s="354"/>
      <c r="J559" s="354"/>
    </row>
    <row r="560" spans="9:10">
      <c r="I560" s="354"/>
      <c r="J560" s="354"/>
    </row>
    <row r="561" spans="9:10">
      <c r="I561" s="354"/>
      <c r="J561" s="354"/>
    </row>
    <row r="562" spans="9:10">
      <c r="I562" s="354"/>
      <c r="J562" s="354"/>
    </row>
    <row r="563" spans="9:10">
      <c r="I563" s="354"/>
      <c r="J563" s="354"/>
    </row>
    <row r="564" spans="9:10">
      <c r="I564" s="354"/>
      <c r="J564" s="354"/>
    </row>
    <row r="565" spans="9:10">
      <c r="I565" s="354"/>
      <c r="J565" s="354"/>
    </row>
    <row r="566" spans="9:10">
      <c r="I566" s="354"/>
      <c r="J566" s="354"/>
    </row>
    <row r="567" spans="9:10">
      <c r="I567" s="354"/>
      <c r="J567" s="354"/>
    </row>
    <row r="568" spans="9:10">
      <c r="I568" s="354"/>
      <c r="J568" s="354"/>
    </row>
    <row r="569" spans="9:10">
      <c r="I569" s="354"/>
      <c r="J569" s="354"/>
    </row>
    <row r="570" spans="9:10">
      <c r="I570" s="354"/>
      <c r="J570" s="354"/>
    </row>
    <row r="571" spans="9:10">
      <c r="I571" s="354"/>
      <c r="J571" s="354"/>
    </row>
    <row r="572" spans="9:10">
      <c r="I572" s="354"/>
      <c r="J572" s="354"/>
    </row>
    <row r="573" spans="9:10">
      <c r="I573" s="354"/>
      <c r="J573" s="354"/>
    </row>
    <row r="574" spans="9:10">
      <c r="I574" s="354"/>
      <c r="J574" s="354"/>
    </row>
    <row r="575" spans="9:10">
      <c r="I575" s="354"/>
      <c r="J575" s="354"/>
    </row>
    <row r="576" spans="9:10">
      <c r="I576" s="354"/>
      <c r="J576" s="354"/>
    </row>
    <row r="577" spans="9:10">
      <c r="I577" s="354"/>
      <c r="J577" s="354"/>
    </row>
    <row r="578" spans="9:10">
      <c r="I578" s="354"/>
      <c r="J578" s="354"/>
    </row>
    <row r="579" spans="9:10">
      <c r="I579" s="354"/>
      <c r="J579" s="354"/>
    </row>
    <row r="580" spans="9:10">
      <c r="I580" s="354"/>
      <c r="J580" s="354"/>
    </row>
    <row r="581" spans="9:10">
      <c r="I581" s="354"/>
      <c r="J581" s="354"/>
    </row>
    <row r="582" spans="9:10">
      <c r="I582" s="354"/>
      <c r="J582" s="354"/>
    </row>
    <row r="583" spans="9:10">
      <c r="I583" s="354"/>
      <c r="J583" s="354"/>
    </row>
    <row r="584" spans="9:10">
      <c r="I584" s="354"/>
      <c r="J584" s="354"/>
    </row>
    <row r="585" spans="9:10">
      <c r="I585" s="354"/>
      <c r="J585" s="354"/>
    </row>
    <row r="586" spans="9:10">
      <c r="I586" s="354"/>
      <c r="J586" s="354"/>
    </row>
    <row r="587" spans="9:10">
      <c r="I587" s="354"/>
      <c r="J587" s="354"/>
    </row>
    <row r="588" spans="9:10">
      <c r="I588" s="354"/>
      <c r="J588" s="354"/>
    </row>
    <row r="589" spans="9:10">
      <c r="I589" s="354"/>
      <c r="J589" s="354"/>
    </row>
    <row r="590" spans="9:10">
      <c r="I590" s="354"/>
      <c r="J590" s="354"/>
    </row>
    <row r="591" spans="9:10">
      <c r="I591" s="354"/>
      <c r="J591" s="354"/>
    </row>
    <row r="592" spans="9:10">
      <c r="I592" s="354"/>
      <c r="J592" s="354"/>
    </row>
    <row r="593" spans="9:10">
      <c r="I593" s="354"/>
      <c r="J593" s="354"/>
    </row>
    <row r="594" spans="9:10">
      <c r="I594" s="354"/>
      <c r="J594" s="354"/>
    </row>
    <row r="595" spans="9:10">
      <c r="I595" s="354"/>
      <c r="J595" s="354"/>
    </row>
    <row r="596" spans="9:10">
      <c r="I596" s="354"/>
      <c r="J596" s="354"/>
    </row>
    <row r="597" spans="9:10">
      <c r="I597" s="354"/>
      <c r="J597" s="354"/>
    </row>
    <row r="598" spans="9:10">
      <c r="I598" s="354"/>
      <c r="J598" s="354"/>
    </row>
    <row r="599" spans="9:10">
      <c r="I599" s="354"/>
      <c r="J599" s="354"/>
    </row>
    <row r="600" spans="9:10">
      <c r="I600" s="354"/>
      <c r="J600" s="354"/>
    </row>
    <row r="601" spans="9:10">
      <c r="I601" s="354"/>
      <c r="J601" s="354"/>
    </row>
    <row r="602" spans="9:10">
      <c r="I602" s="354"/>
      <c r="J602" s="354"/>
    </row>
    <row r="603" spans="9:10">
      <c r="I603" s="354"/>
      <c r="J603" s="354"/>
    </row>
    <row r="604" spans="9:10">
      <c r="I604" s="354"/>
      <c r="J604" s="354"/>
    </row>
    <row r="605" spans="9:10">
      <c r="I605" s="354"/>
      <c r="J605" s="354"/>
    </row>
    <row r="606" spans="9:10">
      <c r="I606" s="354"/>
      <c r="J606" s="354"/>
    </row>
    <row r="607" spans="9:10">
      <c r="I607" s="354"/>
      <c r="J607" s="354"/>
    </row>
    <row r="608" spans="9:10">
      <c r="I608" s="354"/>
      <c r="J608" s="354"/>
    </row>
    <row r="609" spans="9:10">
      <c r="I609" s="354"/>
      <c r="J609" s="354"/>
    </row>
    <row r="610" spans="9:10">
      <c r="I610" s="354"/>
      <c r="J610" s="354"/>
    </row>
    <row r="611" spans="9:10">
      <c r="I611" s="354"/>
      <c r="J611" s="354"/>
    </row>
    <row r="612" spans="9:10">
      <c r="I612" s="354"/>
      <c r="J612" s="354"/>
    </row>
    <row r="613" spans="9:10">
      <c r="I613" s="354"/>
      <c r="J613" s="354"/>
    </row>
    <row r="614" spans="9:10">
      <c r="I614" s="354"/>
      <c r="J614" s="354"/>
    </row>
    <row r="615" spans="9:10">
      <c r="I615" s="354"/>
      <c r="J615" s="354"/>
    </row>
    <row r="616" spans="9:10">
      <c r="I616" s="354"/>
      <c r="J616" s="354"/>
    </row>
    <row r="617" spans="9:10">
      <c r="I617" s="354"/>
      <c r="J617" s="354"/>
    </row>
    <row r="618" spans="9:10">
      <c r="I618" s="354"/>
      <c r="J618" s="354"/>
    </row>
    <row r="619" spans="9:10">
      <c r="I619" s="354"/>
      <c r="J619" s="354"/>
    </row>
    <row r="620" spans="9:10">
      <c r="I620" s="354"/>
      <c r="J620" s="354"/>
    </row>
    <row r="621" spans="9:10">
      <c r="I621" s="354"/>
      <c r="J621" s="354"/>
    </row>
    <row r="622" spans="9:10">
      <c r="I622" s="354"/>
      <c r="J622" s="354"/>
    </row>
    <row r="623" spans="9:10">
      <c r="I623" s="354"/>
      <c r="J623" s="354"/>
    </row>
    <row r="624" spans="9:10">
      <c r="I624" s="354"/>
      <c r="J624" s="354"/>
    </row>
    <row r="625" spans="9:10">
      <c r="I625" s="354"/>
      <c r="J625" s="354"/>
    </row>
    <row r="626" spans="9:10">
      <c r="I626" s="354"/>
      <c r="J626" s="354"/>
    </row>
    <row r="627" spans="9:10">
      <c r="I627" s="354"/>
      <c r="J627" s="354"/>
    </row>
    <row r="628" spans="9:10">
      <c r="I628" s="354"/>
      <c r="J628" s="354"/>
    </row>
    <row r="629" spans="9:10">
      <c r="I629" s="354"/>
      <c r="J629" s="354"/>
    </row>
    <row r="630" spans="9:10">
      <c r="I630" s="354"/>
      <c r="J630" s="354"/>
    </row>
    <row r="631" spans="9:10">
      <c r="I631" s="354"/>
      <c r="J631" s="354"/>
    </row>
    <row r="632" spans="9:10">
      <c r="I632" s="354"/>
      <c r="J632" s="354"/>
    </row>
    <row r="633" spans="9:10">
      <c r="I633" s="354"/>
      <c r="J633" s="354"/>
    </row>
    <row r="634" spans="9:10">
      <c r="I634" s="354"/>
      <c r="J634" s="354"/>
    </row>
    <row r="635" spans="9:10">
      <c r="I635" s="354"/>
      <c r="J635" s="354"/>
    </row>
    <row r="636" spans="9:10">
      <c r="I636" s="354"/>
      <c r="J636" s="354"/>
    </row>
    <row r="637" spans="9:10">
      <c r="I637" s="354"/>
      <c r="J637" s="354"/>
    </row>
    <row r="638" spans="9:10">
      <c r="I638" s="354"/>
      <c r="J638" s="354"/>
    </row>
    <row r="639" spans="9:10">
      <c r="I639" s="354"/>
      <c r="J639" s="354"/>
    </row>
    <row r="640" spans="9:10">
      <c r="I640" s="354"/>
      <c r="J640" s="354"/>
    </row>
    <row r="641" spans="9:10">
      <c r="I641" s="354"/>
      <c r="J641" s="354"/>
    </row>
    <row r="642" spans="9:10">
      <c r="I642" s="354"/>
      <c r="J642" s="354"/>
    </row>
    <row r="643" spans="9:10">
      <c r="I643" s="354"/>
      <c r="J643" s="354"/>
    </row>
    <row r="644" spans="9:10">
      <c r="I644" s="354"/>
      <c r="J644" s="354"/>
    </row>
    <row r="645" spans="9:10">
      <c r="I645" s="354"/>
      <c r="J645" s="354"/>
    </row>
    <row r="646" spans="9:10">
      <c r="I646" s="354"/>
      <c r="J646" s="354"/>
    </row>
    <row r="647" spans="9:10">
      <c r="I647" s="354"/>
      <c r="J647" s="354"/>
    </row>
    <row r="648" spans="9:10">
      <c r="I648" s="354"/>
      <c r="J648" s="354"/>
    </row>
    <row r="649" spans="9:10">
      <c r="I649" s="354"/>
      <c r="J649" s="354"/>
    </row>
    <row r="650" spans="9:10">
      <c r="I650" s="354"/>
      <c r="J650" s="354"/>
    </row>
    <row r="651" spans="9:10">
      <c r="I651" s="354"/>
      <c r="J651" s="354"/>
    </row>
    <row r="652" spans="9:10">
      <c r="I652" s="354"/>
      <c r="J652" s="354"/>
    </row>
    <row r="653" spans="9:10">
      <c r="I653" s="354"/>
      <c r="J653" s="354"/>
    </row>
    <row r="654" spans="9:10">
      <c r="I654" s="354"/>
      <c r="J654" s="354"/>
    </row>
    <row r="655" spans="9:10">
      <c r="I655" s="354"/>
      <c r="J655" s="354"/>
    </row>
    <row r="656" spans="9:10">
      <c r="I656" s="354"/>
      <c r="J656" s="354"/>
    </row>
    <row r="657" spans="9:10">
      <c r="I657" s="354"/>
      <c r="J657" s="354"/>
    </row>
    <row r="658" spans="9:10">
      <c r="I658" s="354"/>
      <c r="J658" s="354"/>
    </row>
    <row r="659" spans="9:10">
      <c r="I659" s="354"/>
      <c r="J659" s="354"/>
    </row>
    <row r="660" spans="9:10">
      <c r="I660" s="354"/>
      <c r="J660" s="354"/>
    </row>
    <row r="661" spans="9:10">
      <c r="I661" s="354"/>
      <c r="J661" s="354"/>
    </row>
    <row r="662" spans="9:10">
      <c r="I662" s="354"/>
      <c r="J662" s="354"/>
    </row>
    <row r="663" spans="9:10">
      <c r="I663" s="354"/>
      <c r="J663" s="354"/>
    </row>
    <row r="664" spans="9:10">
      <c r="I664" s="354"/>
      <c r="J664" s="354"/>
    </row>
    <row r="665" spans="9:10">
      <c r="I665" s="354"/>
      <c r="J665" s="354"/>
    </row>
    <row r="666" spans="9:10">
      <c r="I666" s="354"/>
      <c r="J666" s="354"/>
    </row>
    <row r="667" spans="9:10">
      <c r="I667" s="354"/>
      <c r="J667" s="354"/>
    </row>
    <row r="668" spans="9:10">
      <c r="I668" s="354"/>
      <c r="J668" s="354"/>
    </row>
    <row r="669" spans="9:10">
      <c r="I669" s="354"/>
      <c r="J669" s="354"/>
    </row>
    <row r="670" spans="9:10">
      <c r="I670" s="354"/>
      <c r="J670" s="354"/>
    </row>
    <row r="671" spans="9:10">
      <c r="I671" s="354"/>
      <c r="J671" s="354"/>
    </row>
    <row r="672" spans="9:10">
      <c r="I672" s="354"/>
      <c r="J672" s="354"/>
    </row>
    <row r="673" spans="9:10">
      <c r="I673" s="354"/>
      <c r="J673" s="354"/>
    </row>
    <row r="674" spans="9:10">
      <c r="I674" s="354"/>
      <c r="J674" s="354"/>
    </row>
    <row r="675" spans="9:10">
      <c r="I675" s="354"/>
      <c r="J675" s="354"/>
    </row>
    <row r="676" spans="9:10">
      <c r="I676" s="354"/>
      <c r="J676" s="354"/>
    </row>
    <row r="677" spans="9:10">
      <c r="I677" s="354"/>
      <c r="J677" s="354"/>
    </row>
    <row r="678" spans="9:10">
      <c r="I678" s="354"/>
      <c r="J678" s="354"/>
    </row>
    <row r="679" spans="9:10">
      <c r="I679" s="354"/>
      <c r="J679" s="354"/>
    </row>
    <row r="680" spans="9:10">
      <c r="I680" s="354"/>
      <c r="J680" s="354"/>
    </row>
    <row r="681" spans="9:10">
      <c r="I681" s="354"/>
      <c r="J681" s="354"/>
    </row>
    <row r="682" spans="9:10">
      <c r="I682" s="354"/>
      <c r="J682" s="354"/>
    </row>
    <row r="683" spans="9:10">
      <c r="I683" s="354"/>
      <c r="J683" s="354"/>
    </row>
    <row r="684" spans="9:10">
      <c r="I684" s="354"/>
      <c r="J684" s="354"/>
    </row>
    <row r="685" spans="9:10">
      <c r="I685" s="354"/>
      <c r="J685" s="354"/>
    </row>
    <row r="686" spans="9:10">
      <c r="I686" s="354"/>
      <c r="J686" s="354"/>
    </row>
    <row r="687" spans="9:10">
      <c r="I687" s="354"/>
      <c r="J687" s="354"/>
    </row>
    <row r="688" spans="9:10">
      <c r="I688" s="354"/>
      <c r="J688" s="354"/>
    </row>
    <row r="689" spans="9:10">
      <c r="I689" s="354"/>
      <c r="J689" s="354"/>
    </row>
    <row r="690" spans="9:10">
      <c r="I690" s="354"/>
      <c r="J690" s="354"/>
    </row>
    <row r="691" spans="9:10">
      <c r="I691" s="354"/>
      <c r="J691" s="354"/>
    </row>
    <row r="692" spans="9:10">
      <c r="I692" s="354"/>
      <c r="J692" s="354"/>
    </row>
    <row r="693" spans="9:10">
      <c r="I693" s="354"/>
      <c r="J693" s="354"/>
    </row>
    <row r="694" spans="9:10">
      <c r="I694" s="354"/>
      <c r="J694" s="354"/>
    </row>
    <row r="695" spans="9:10">
      <c r="I695" s="354"/>
      <c r="J695" s="354"/>
    </row>
    <row r="696" spans="9:10">
      <c r="I696" s="354"/>
      <c r="J696" s="354"/>
    </row>
    <row r="697" spans="9:10">
      <c r="I697" s="354"/>
      <c r="J697" s="354"/>
    </row>
    <row r="698" spans="9:10">
      <c r="I698" s="354"/>
      <c r="J698" s="354"/>
    </row>
    <row r="699" spans="9:10">
      <c r="I699" s="354"/>
      <c r="J699" s="354"/>
    </row>
    <row r="700" spans="9:10">
      <c r="I700" s="354"/>
      <c r="J700" s="354"/>
    </row>
    <row r="701" spans="9:10">
      <c r="I701" s="354"/>
      <c r="J701" s="354"/>
    </row>
    <row r="702" spans="9:10">
      <c r="I702" s="354"/>
      <c r="J702" s="354"/>
    </row>
    <row r="703" spans="9:10">
      <c r="I703" s="354"/>
      <c r="J703" s="354"/>
    </row>
    <row r="704" spans="9:10">
      <c r="I704" s="354"/>
      <c r="J704" s="354"/>
    </row>
    <row r="705" spans="9:10">
      <c r="I705" s="354"/>
      <c r="J705" s="354"/>
    </row>
    <row r="706" spans="9:10">
      <c r="I706" s="354"/>
      <c r="J706" s="354"/>
    </row>
    <row r="707" spans="9:10">
      <c r="I707" s="354"/>
      <c r="J707" s="354"/>
    </row>
    <row r="708" spans="9:10">
      <c r="I708" s="354"/>
      <c r="J708" s="354"/>
    </row>
    <row r="709" spans="9:10">
      <c r="I709" s="354"/>
      <c r="J709" s="354"/>
    </row>
    <row r="710" spans="9:10">
      <c r="I710" s="354"/>
      <c r="J710" s="354"/>
    </row>
    <row r="711" spans="9:10">
      <c r="I711" s="354"/>
      <c r="J711" s="354"/>
    </row>
    <row r="712" spans="9:10">
      <c r="I712" s="354"/>
      <c r="J712" s="354"/>
    </row>
    <row r="713" spans="9:10">
      <c r="I713" s="354"/>
      <c r="J713" s="354"/>
    </row>
    <row r="714" spans="9:10">
      <c r="I714" s="354"/>
      <c r="J714" s="354"/>
    </row>
    <row r="715" spans="9:10">
      <c r="I715" s="354"/>
      <c r="J715" s="354"/>
    </row>
    <row r="716" spans="9:10">
      <c r="I716" s="354"/>
      <c r="J716" s="354"/>
    </row>
    <row r="717" spans="9:10">
      <c r="I717" s="354"/>
      <c r="J717" s="354"/>
    </row>
    <row r="718" spans="9:10">
      <c r="I718" s="354"/>
      <c r="J718" s="354"/>
    </row>
    <row r="719" spans="9:10">
      <c r="I719" s="354"/>
      <c r="J719" s="354"/>
    </row>
    <row r="720" spans="9:10">
      <c r="I720" s="354"/>
      <c r="J720" s="354"/>
    </row>
    <row r="721" spans="9:10">
      <c r="I721" s="354"/>
      <c r="J721" s="354"/>
    </row>
    <row r="722" spans="9:10">
      <c r="I722" s="354"/>
      <c r="J722" s="354"/>
    </row>
    <row r="723" spans="9:10">
      <c r="I723" s="354"/>
      <c r="J723" s="354"/>
    </row>
    <row r="724" spans="9:10">
      <c r="I724" s="354"/>
      <c r="J724" s="354"/>
    </row>
    <row r="725" spans="9:10">
      <c r="I725" s="354"/>
      <c r="J725" s="354"/>
    </row>
    <row r="726" spans="9:10">
      <c r="I726" s="354"/>
      <c r="J726" s="354"/>
    </row>
    <row r="727" spans="9:10">
      <c r="I727" s="354"/>
      <c r="J727" s="354"/>
    </row>
    <row r="728" spans="9:10">
      <c r="I728" s="354"/>
      <c r="J728" s="354"/>
    </row>
    <row r="729" spans="9:10">
      <c r="I729" s="354"/>
      <c r="J729" s="354"/>
    </row>
    <row r="730" spans="9:10">
      <c r="I730" s="354"/>
      <c r="J730" s="354"/>
    </row>
    <row r="731" spans="9:10">
      <c r="I731" s="354"/>
      <c r="J731" s="354"/>
    </row>
    <row r="732" spans="9:10">
      <c r="I732" s="354"/>
      <c r="J732" s="354"/>
    </row>
    <row r="733" spans="9:10">
      <c r="I733" s="354"/>
      <c r="J733" s="354"/>
    </row>
    <row r="734" spans="9:10">
      <c r="I734" s="354"/>
      <c r="J734" s="354"/>
    </row>
    <row r="735" spans="9:10">
      <c r="I735" s="354"/>
      <c r="J735" s="354"/>
    </row>
    <row r="736" spans="9:10">
      <c r="I736" s="354"/>
      <c r="J736" s="354"/>
    </row>
    <row r="737" spans="9:10">
      <c r="I737" s="354"/>
      <c r="J737" s="354"/>
    </row>
    <row r="738" spans="9:10">
      <c r="I738" s="354"/>
      <c r="J738" s="354"/>
    </row>
    <row r="739" spans="9:10">
      <c r="I739" s="354"/>
      <c r="J739" s="354"/>
    </row>
    <row r="740" spans="9:10">
      <c r="I740" s="354"/>
      <c r="J740" s="354"/>
    </row>
    <row r="741" spans="9:10">
      <c r="I741" s="354"/>
      <c r="J741" s="354"/>
    </row>
    <row r="742" spans="9:10">
      <c r="I742" s="354"/>
      <c r="J742" s="354"/>
    </row>
    <row r="743" spans="9:10">
      <c r="I743" s="354"/>
      <c r="J743" s="354"/>
    </row>
    <row r="744" spans="9:10">
      <c r="I744" s="354"/>
      <c r="J744" s="354"/>
    </row>
    <row r="745" spans="9:10">
      <c r="I745" s="354"/>
      <c r="J745" s="354"/>
    </row>
    <row r="746" spans="9:10">
      <c r="I746" s="354"/>
      <c r="J746" s="354"/>
    </row>
    <row r="747" spans="9:10">
      <c r="I747" s="354"/>
      <c r="J747" s="354"/>
    </row>
    <row r="748" spans="9:10">
      <c r="I748" s="354"/>
      <c r="J748" s="354"/>
    </row>
    <row r="749" spans="9:10">
      <c r="I749" s="354"/>
      <c r="J749" s="354"/>
    </row>
    <row r="750" spans="9:10">
      <c r="I750" s="354"/>
      <c r="J750" s="354"/>
    </row>
    <row r="751" spans="9:10">
      <c r="I751" s="354"/>
      <c r="J751" s="354"/>
    </row>
    <row r="752" spans="9:10">
      <c r="I752" s="354"/>
      <c r="J752" s="354"/>
    </row>
    <row r="753" spans="9:10">
      <c r="I753" s="354"/>
      <c r="J753" s="354"/>
    </row>
    <row r="754" spans="9:10">
      <c r="I754" s="354"/>
      <c r="J754" s="354"/>
    </row>
    <row r="755" spans="9:10">
      <c r="I755" s="354"/>
      <c r="J755" s="354"/>
    </row>
    <row r="756" spans="9:10">
      <c r="I756" s="354"/>
      <c r="J756" s="354"/>
    </row>
    <row r="757" spans="9:10">
      <c r="I757" s="354"/>
      <c r="J757" s="354"/>
    </row>
    <row r="758" spans="9:10">
      <c r="I758" s="354"/>
      <c r="J758" s="354"/>
    </row>
    <row r="759" spans="9:10">
      <c r="I759" s="354"/>
      <c r="J759" s="354"/>
    </row>
    <row r="760" spans="9:10">
      <c r="I760" s="354"/>
      <c r="J760" s="354"/>
    </row>
    <row r="761" spans="9:10">
      <c r="I761" s="354"/>
      <c r="J761" s="354"/>
    </row>
    <row r="762" spans="9:10">
      <c r="I762" s="354"/>
      <c r="J762" s="354"/>
    </row>
    <row r="763" spans="9:10">
      <c r="I763" s="354"/>
      <c r="J763" s="354"/>
    </row>
    <row r="764" spans="9:10">
      <c r="I764" s="354"/>
      <c r="J764" s="354"/>
    </row>
    <row r="765" spans="9:10">
      <c r="I765" s="354"/>
      <c r="J765" s="354"/>
    </row>
    <row r="766" spans="9:10">
      <c r="I766" s="354"/>
      <c r="J766" s="354"/>
    </row>
    <row r="767" spans="9:10">
      <c r="I767" s="354"/>
      <c r="J767" s="354"/>
    </row>
    <row r="768" spans="9:10">
      <c r="I768" s="354"/>
      <c r="J768" s="354"/>
    </row>
    <row r="769" spans="9:10">
      <c r="I769" s="354"/>
      <c r="J769" s="354"/>
    </row>
    <row r="770" spans="9:10">
      <c r="I770" s="354"/>
      <c r="J770" s="354"/>
    </row>
    <row r="771" spans="9:10">
      <c r="I771" s="354"/>
      <c r="J771" s="354"/>
    </row>
    <row r="772" spans="9:10">
      <c r="I772" s="354"/>
      <c r="J772" s="354"/>
    </row>
    <row r="773" spans="9:10">
      <c r="I773" s="354"/>
      <c r="J773" s="354"/>
    </row>
    <row r="774" spans="9:10">
      <c r="I774" s="354"/>
      <c r="J774" s="354"/>
    </row>
    <row r="775" spans="9:10">
      <c r="I775" s="354"/>
      <c r="J775" s="354"/>
    </row>
    <row r="776" spans="9:10">
      <c r="I776" s="354"/>
      <c r="J776" s="354"/>
    </row>
    <row r="777" spans="9:10">
      <c r="I777" s="354"/>
      <c r="J777" s="354"/>
    </row>
    <row r="778" spans="9:10">
      <c r="I778" s="354"/>
      <c r="J778" s="354"/>
    </row>
    <row r="779" spans="9:10">
      <c r="I779" s="354"/>
      <c r="J779" s="354"/>
    </row>
    <row r="780" spans="9:10">
      <c r="I780" s="354"/>
      <c r="J780" s="354"/>
    </row>
    <row r="781" spans="9:10">
      <c r="I781" s="354"/>
      <c r="J781" s="354"/>
    </row>
    <row r="782" spans="9:10">
      <c r="I782" s="354"/>
      <c r="J782" s="354"/>
    </row>
    <row r="783" spans="9:10">
      <c r="I783" s="354"/>
      <c r="J783" s="354"/>
    </row>
    <row r="784" spans="9:10">
      <c r="I784" s="354"/>
      <c r="J784" s="354"/>
    </row>
    <row r="785" spans="9:10">
      <c r="I785" s="354"/>
      <c r="J785" s="354"/>
    </row>
    <row r="786" spans="9:10">
      <c r="I786" s="354"/>
      <c r="J786" s="354"/>
    </row>
    <row r="787" spans="9:10">
      <c r="I787" s="354"/>
      <c r="J787" s="354"/>
    </row>
    <row r="788" spans="9:10">
      <c r="I788" s="354"/>
      <c r="J788" s="354"/>
    </row>
    <row r="789" spans="9:10">
      <c r="I789" s="354"/>
      <c r="J789" s="354"/>
    </row>
    <row r="790" spans="9:10">
      <c r="I790" s="354"/>
      <c r="J790" s="354"/>
    </row>
    <row r="791" spans="9:10">
      <c r="I791" s="354"/>
      <c r="J791" s="354"/>
    </row>
    <row r="792" spans="9:10">
      <c r="I792" s="354"/>
      <c r="J792" s="354"/>
    </row>
    <row r="793" spans="9:10">
      <c r="I793" s="354"/>
      <c r="J793" s="354"/>
    </row>
    <row r="794" spans="9:10">
      <c r="I794" s="354"/>
      <c r="J794" s="354"/>
    </row>
    <row r="795" spans="9:10">
      <c r="I795" s="354"/>
      <c r="J795" s="354"/>
    </row>
    <row r="796" spans="9:10">
      <c r="I796" s="354"/>
      <c r="J796" s="354"/>
    </row>
    <row r="797" spans="9:10">
      <c r="I797" s="354"/>
      <c r="J797" s="354"/>
    </row>
    <row r="798" spans="9:10">
      <c r="I798" s="354"/>
      <c r="J798" s="354"/>
    </row>
    <row r="799" spans="9:10">
      <c r="I799" s="354"/>
      <c r="J799" s="354"/>
    </row>
    <row r="800" spans="9:10">
      <c r="I800" s="354"/>
      <c r="J800" s="354"/>
    </row>
    <row r="801" spans="9:10">
      <c r="I801" s="354"/>
      <c r="J801" s="354"/>
    </row>
    <row r="802" spans="9:10">
      <c r="I802" s="354"/>
      <c r="J802" s="354"/>
    </row>
    <row r="803" spans="9:10">
      <c r="I803" s="354"/>
      <c r="J803" s="354"/>
    </row>
    <row r="804" spans="9:10">
      <c r="I804" s="354"/>
      <c r="J804" s="354"/>
    </row>
    <row r="805" spans="9:10">
      <c r="I805" s="354"/>
      <c r="J805" s="354"/>
    </row>
    <row r="806" spans="9:10">
      <c r="I806" s="354"/>
      <c r="J806" s="354"/>
    </row>
    <row r="807" spans="9:10">
      <c r="I807" s="354"/>
      <c r="J807" s="354"/>
    </row>
    <row r="808" spans="9:10">
      <c r="I808" s="354"/>
      <c r="J808" s="354"/>
    </row>
    <row r="809" spans="9:10">
      <c r="I809" s="354"/>
      <c r="J809" s="354"/>
    </row>
    <row r="810" spans="9:10">
      <c r="I810" s="354"/>
      <c r="J810" s="354"/>
    </row>
    <row r="811" spans="9:10">
      <c r="I811" s="354"/>
      <c r="J811" s="354"/>
    </row>
    <row r="812" spans="9:10">
      <c r="I812" s="354"/>
      <c r="J812" s="354"/>
    </row>
    <row r="813" spans="9:10">
      <c r="I813" s="354"/>
      <c r="J813" s="354"/>
    </row>
    <row r="814" spans="9:10">
      <c r="I814" s="354"/>
      <c r="J814" s="354"/>
    </row>
    <row r="815" spans="9:10">
      <c r="I815" s="354"/>
      <c r="J815" s="354"/>
    </row>
    <row r="816" spans="9:10">
      <c r="I816" s="354"/>
      <c r="J816" s="354"/>
    </row>
    <row r="817" spans="9:10">
      <c r="I817" s="354"/>
      <c r="J817" s="354"/>
    </row>
    <row r="818" spans="9:10">
      <c r="I818" s="354"/>
      <c r="J818" s="354"/>
    </row>
    <row r="819" spans="9:10">
      <c r="I819" s="354"/>
      <c r="J819" s="354"/>
    </row>
    <row r="820" spans="9:10">
      <c r="I820" s="354"/>
      <c r="J820" s="354"/>
    </row>
    <row r="821" spans="9:10">
      <c r="I821" s="354"/>
      <c r="J821" s="354"/>
    </row>
    <row r="822" spans="9:10">
      <c r="I822" s="354"/>
      <c r="J822" s="354"/>
    </row>
    <row r="823" spans="9:10">
      <c r="I823" s="354"/>
      <c r="J823" s="354"/>
    </row>
    <row r="824" spans="9:10">
      <c r="I824" s="354"/>
      <c r="J824" s="354"/>
    </row>
    <row r="825" spans="9:10">
      <c r="I825" s="354"/>
      <c r="J825" s="354"/>
    </row>
    <row r="826" spans="9:10">
      <c r="I826" s="354"/>
      <c r="J826" s="354"/>
    </row>
    <row r="827" spans="9:10">
      <c r="I827" s="354"/>
      <c r="J827" s="354"/>
    </row>
    <row r="828" spans="9:10">
      <c r="I828" s="354"/>
      <c r="J828" s="354"/>
    </row>
    <row r="829" spans="9:10">
      <c r="I829" s="354"/>
      <c r="J829" s="354"/>
    </row>
    <row r="830" spans="9:10">
      <c r="I830" s="354"/>
      <c r="J830" s="354"/>
    </row>
    <row r="831" spans="9:10">
      <c r="I831" s="354"/>
      <c r="J831" s="354"/>
    </row>
    <row r="832" spans="9:10">
      <c r="I832" s="354"/>
      <c r="J832" s="354"/>
    </row>
    <row r="833" spans="9:10">
      <c r="I833" s="354"/>
      <c r="J833" s="354"/>
    </row>
    <row r="834" spans="9:10">
      <c r="I834" s="354"/>
      <c r="J834" s="354"/>
    </row>
    <row r="835" spans="9:10">
      <c r="I835" s="354"/>
      <c r="J835" s="354"/>
    </row>
    <row r="836" spans="9:10">
      <c r="I836" s="354"/>
      <c r="J836" s="354"/>
    </row>
    <row r="837" spans="9:10">
      <c r="I837" s="354"/>
      <c r="J837" s="354"/>
    </row>
    <row r="838" spans="9:10">
      <c r="I838" s="354"/>
      <c r="J838" s="354"/>
    </row>
    <row r="839" spans="9:10">
      <c r="I839" s="354"/>
      <c r="J839" s="354"/>
    </row>
    <row r="840" spans="9:10">
      <c r="I840" s="354"/>
      <c r="J840" s="354"/>
    </row>
    <row r="841" spans="9:10">
      <c r="I841" s="354"/>
      <c r="J841" s="354"/>
    </row>
    <row r="842" spans="9:10">
      <c r="I842" s="354"/>
      <c r="J842" s="354"/>
    </row>
    <row r="843" spans="9:10">
      <c r="I843" s="354"/>
      <c r="J843" s="354"/>
    </row>
    <row r="844" spans="9:10">
      <c r="I844" s="354"/>
      <c r="J844" s="354"/>
    </row>
    <row r="845" spans="9:10">
      <c r="I845" s="354"/>
      <c r="J845" s="354"/>
    </row>
    <row r="846" spans="9:10">
      <c r="I846" s="354"/>
      <c r="J846" s="354"/>
    </row>
    <row r="847" spans="9:10">
      <c r="I847" s="354"/>
      <c r="J847" s="354"/>
    </row>
    <row r="848" spans="9:10">
      <c r="I848" s="354"/>
      <c r="J848" s="354"/>
    </row>
    <row r="849" spans="9:10">
      <c r="I849" s="354"/>
      <c r="J849" s="354"/>
    </row>
    <row r="850" spans="9:10">
      <c r="I850" s="354"/>
      <c r="J850" s="354"/>
    </row>
    <row r="851" spans="9:10">
      <c r="I851" s="354"/>
      <c r="J851" s="354"/>
    </row>
    <row r="852" spans="9:10">
      <c r="I852" s="354"/>
      <c r="J852" s="354"/>
    </row>
    <row r="853" spans="9:10">
      <c r="I853" s="354"/>
      <c r="J853" s="354"/>
    </row>
    <row r="854" spans="9:10">
      <c r="I854" s="354"/>
      <c r="J854" s="354"/>
    </row>
    <row r="855" spans="9:10">
      <c r="I855" s="354"/>
      <c r="J855" s="354"/>
    </row>
    <row r="856" spans="9:10">
      <c r="I856" s="354"/>
      <c r="J856" s="354"/>
    </row>
    <row r="857" spans="9:10">
      <c r="I857" s="354"/>
      <c r="J857" s="354"/>
    </row>
    <row r="858" spans="9:10">
      <c r="I858" s="354"/>
      <c r="J858" s="354"/>
    </row>
    <row r="859" spans="9:10">
      <c r="I859" s="354"/>
      <c r="J859" s="354"/>
    </row>
    <row r="860" spans="9:10">
      <c r="I860" s="354"/>
      <c r="J860" s="354"/>
    </row>
    <row r="861" spans="9:10">
      <c r="I861" s="354"/>
      <c r="J861" s="354"/>
    </row>
    <row r="862" spans="9:10">
      <c r="I862" s="354"/>
      <c r="J862" s="354"/>
    </row>
    <row r="863" spans="9:10">
      <c r="I863" s="354"/>
      <c r="J863" s="354"/>
    </row>
    <row r="864" spans="9:10">
      <c r="I864" s="354"/>
      <c r="J864" s="354"/>
    </row>
    <row r="865" spans="9:10">
      <c r="I865" s="354"/>
      <c r="J865" s="354"/>
    </row>
    <row r="866" spans="9:10">
      <c r="I866" s="354"/>
      <c r="J866" s="354"/>
    </row>
    <row r="867" spans="9:10">
      <c r="I867" s="354"/>
      <c r="J867" s="354"/>
    </row>
    <row r="868" spans="9:10">
      <c r="I868" s="354"/>
      <c r="J868" s="354"/>
    </row>
    <row r="869" spans="9:10">
      <c r="I869" s="354"/>
      <c r="J869" s="354"/>
    </row>
    <row r="870" spans="9:10">
      <c r="I870" s="354"/>
      <c r="J870" s="354"/>
    </row>
    <row r="871" spans="9:10">
      <c r="I871" s="354"/>
      <c r="J871" s="354"/>
    </row>
    <row r="872" spans="9:10">
      <c r="I872" s="354"/>
      <c r="J872" s="354"/>
    </row>
    <row r="873" spans="9:10">
      <c r="I873" s="354"/>
      <c r="J873" s="354"/>
    </row>
    <row r="874" spans="9:10">
      <c r="I874" s="354"/>
      <c r="J874" s="354"/>
    </row>
    <row r="875" spans="9:10">
      <c r="I875" s="354"/>
      <c r="J875" s="354"/>
    </row>
    <row r="876" spans="9:10">
      <c r="I876" s="354"/>
      <c r="J876" s="354"/>
    </row>
    <row r="877" spans="9:10">
      <c r="I877" s="354"/>
      <c r="J877" s="354"/>
    </row>
    <row r="878" spans="9:10">
      <c r="I878" s="354"/>
      <c r="J878" s="354"/>
    </row>
    <row r="879" spans="9:10">
      <c r="I879" s="354"/>
      <c r="J879" s="354"/>
    </row>
    <row r="880" spans="9:10">
      <c r="I880" s="354"/>
      <c r="J880" s="354"/>
    </row>
    <row r="881" spans="9:10">
      <c r="I881" s="354"/>
      <c r="J881" s="354"/>
    </row>
    <row r="882" spans="9:10">
      <c r="I882" s="354"/>
      <c r="J882" s="354"/>
    </row>
    <row r="883" spans="9:10">
      <c r="I883" s="354"/>
      <c r="J883" s="354"/>
    </row>
    <row r="884" spans="9:10">
      <c r="I884" s="354"/>
      <c r="J884" s="354"/>
    </row>
    <row r="885" spans="9:10">
      <c r="I885" s="354"/>
      <c r="J885" s="354"/>
    </row>
    <row r="886" spans="9:10">
      <c r="I886" s="354"/>
      <c r="J886" s="354"/>
    </row>
    <row r="887" spans="9:10">
      <c r="I887" s="354"/>
      <c r="J887" s="354"/>
    </row>
    <row r="888" spans="9:10">
      <c r="I888" s="354"/>
      <c r="J888" s="354"/>
    </row>
    <row r="889" spans="9:10">
      <c r="I889" s="354"/>
      <c r="J889" s="354"/>
    </row>
    <row r="890" spans="9:10">
      <c r="I890" s="354"/>
      <c r="J890" s="354"/>
    </row>
    <row r="891" spans="9:10">
      <c r="I891" s="354"/>
      <c r="J891" s="354"/>
    </row>
    <row r="892" spans="9:10">
      <c r="I892" s="354"/>
      <c r="J892" s="354"/>
    </row>
    <row r="893" spans="9:10">
      <c r="I893" s="354"/>
      <c r="J893" s="354"/>
    </row>
    <row r="894" spans="9:10">
      <c r="I894" s="354"/>
      <c r="J894" s="354"/>
    </row>
    <row r="895" spans="9:10">
      <c r="I895" s="354"/>
      <c r="J895" s="354"/>
    </row>
    <row r="896" spans="9:10">
      <c r="I896" s="354"/>
      <c r="J896" s="354"/>
    </row>
    <row r="897" spans="9:10">
      <c r="I897" s="354"/>
      <c r="J897" s="354"/>
    </row>
    <row r="898" spans="9:10">
      <c r="I898" s="354"/>
      <c r="J898" s="354"/>
    </row>
    <row r="899" spans="9:10">
      <c r="I899" s="354"/>
      <c r="J899" s="354">
        <f t="shared" ref="J899:J915" si="0">H899-I899</f>
        <v>0</v>
      </c>
    </row>
    <row r="900" spans="9:10">
      <c r="I900" s="354"/>
      <c r="J900" s="354">
        <f t="shared" si="0"/>
        <v>0</v>
      </c>
    </row>
    <row r="901" spans="9:10">
      <c r="I901" s="354"/>
      <c r="J901" s="354">
        <f t="shared" si="0"/>
        <v>0</v>
      </c>
    </row>
    <row r="902" spans="9:10">
      <c r="I902" s="354"/>
      <c r="J902" s="354">
        <f t="shared" si="0"/>
        <v>0</v>
      </c>
    </row>
    <row r="903" spans="9:10">
      <c r="I903" s="354"/>
      <c r="J903" s="354">
        <f t="shared" si="0"/>
        <v>0</v>
      </c>
    </row>
    <row r="904" spans="9:10">
      <c r="I904" s="354"/>
      <c r="J904" s="354">
        <f t="shared" si="0"/>
        <v>0</v>
      </c>
    </row>
    <row r="905" spans="9:10">
      <c r="I905" s="354"/>
      <c r="J905" s="354">
        <f t="shared" si="0"/>
        <v>0</v>
      </c>
    </row>
    <row r="906" spans="9:10">
      <c r="I906" s="354"/>
      <c r="J906" s="354">
        <f t="shared" si="0"/>
        <v>0</v>
      </c>
    </row>
    <row r="907" spans="9:10">
      <c r="I907" s="354"/>
      <c r="J907" s="354">
        <f t="shared" si="0"/>
        <v>0</v>
      </c>
    </row>
    <row r="908" spans="9:10">
      <c r="I908" s="354"/>
      <c r="J908" s="354">
        <f t="shared" si="0"/>
        <v>0</v>
      </c>
    </row>
    <row r="909" spans="9:10">
      <c r="I909" s="354"/>
      <c r="J909" s="354">
        <f t="shared" si="0"/>
        <v>0</v>
      </c>
    </row>
    <row r="910" spans="9:10">
      <c r="I910" s="354"/>
      <c r="J910" s="354">
        <f t="shared" si="0"/>
        <v>0</v>
      </c>
    </row>
    <row r="911" spans="9:10">
      <c r="I911" s="354"/>
      <c r="J911" s="354">
        <f t="shared" si="0"/>
        <v>0</v>
      </c>
    </row>
    <row r="912" spans="9:10">
      <c r="I912" s="354"/>
      <c r="J912" s="354">
        <f t="shared" si="0"/>
        <v>0</v>
      </c>
    </row>
    <row r="913" spans="9:10">
      <c r="I913" s="354"/>
      <c r="J913" s="354">
        <f t="shared" si="0"/>
        <v>0</v>
      </c>
    </row>
    <row r="914" spans="9:10">
      <c r="I914" s="354"/>
      <c r="J914" s="354">
        <f t="shared" si="0"/>
        <v>0</v>
      </c>
    </row>
    <row r="915" spans="9:10">
      <c r="I915" s="354"/>
      <c r="J915" s="354">
        <f t="shared" si="0"/>
        <v>0</v>
      </c>
    </row>
    <row r="916" spans="9:10">
      <c r="I916" s="354"/>
      <c r="J916" s="354"/>
    </row>
    <row r="917" spans="9:10">
      <c r="I917" s="354"/>
      <c r="J917" s="354"/>
    </row>
    <row r="918" spans="9:10">
      <c r="I918" s="354"/>
      <c r="J918" s="354"/>
    </row>
    <row r="919" spans="9:10">
      <c r="I919" s="354"/>
      <c r="J919" s="354"/>
    </row>
    <row r="920" spans="9:10">
      <c r="I920" s="354"/>
      <c r="J920" s="354"/>
    </row>
    <row r="921" spans="9:10">
      <c r="I921" s="354"/>
      <c r="J921" s="354"/>
    </row>
    <row r="922" spans="9:10">
      <c r="I922" s="354"/>
      <c r="J922" s="354"/>
    </row>
    <row r="923" spans="9:10">
      <c r="I923" s="354"/>
      <c r="J923" s="354"/>
    </row>
    <row r="924" spans="9:10">
      <c r="I924" s="354"/>
      <c r="J924" s="354"/>
    </row>
    <row r="925" spans="9:10">
      <c r="I925" s="354"/>
      <c r="J925" s="354"/>
    </row>
    <row r="926" spans="9:10">
      <c r="I926" s="354"/>
      <c r="J926" s="354"/>
    </row>
    <row r="927" spans="9:10">
      <c r="I927" s="354"/>
      <c r="J927" s="354"/>
    </row>
    <row r="928" spans="9:10">
      <c r="I928" s="354"/>
      <c r="J928" s="354"/>
    </row>
    <row r="929" spans="9:10">
      <c r="I929" s="354"/>
      <c r="J929" s="354"/>
    </row>
    <row r="930" spans="9:10">
      <c r="I930" s="354"/>
      <c r="J930" s="354"/>
    </row>
    <row r="931" spans="9:10">
      <c r="I931" s="354"/>
      <c r="J931" s="354"/>
    </row>
    <row r="932" spans="9:10">
      <c r="I932" s="354"/>
      <c r="J932" s="354"/>
    </row>
    <row r="933" spans="9:10">
      <c r="I933" s="354"/>
      <c r="J933" s="354"/>
    </row>
    <row r="934" spans="9:10">
      <c r="I934" s="354"/>
      <c r="J934" s="354"/>
    </row>
    <row r="935" spans="9:10">
      <c r="I935" s="354"/>
      <c r="J935" s="354"/>
    </row>
    <row r="936" spans="9:10">
      <c r="I936" s="354"/>
      <c r="J936" s="354"/>
    </row>
    <row r="937" spans="9:10">
      <c r="I937" s="354"/>
      <c r="J937" s="354"/>
    </row>
    <row r="938" spans="9:10">
      <c r="I938" s="354"/>
      <c r="J938" s="354"/>
    </row>
    <row r="939" spans="9:10">
      <c r="I939" s="354"/>
      <c r="J939" s="354"/>
    </row>
    <row r="940" spans="9:10">
      <c r="I940" s="354"/>
      <c r="J940" s="354"/>
    </row>
    <row r="941" spans="9:10">
      <c r="I941" s="354"/>
      <c r="J941" s="354"/>
    </row>
    <row r="942" spans="9:10">
      <c r="I942" s="354"/>
      <c r="J942" s="354"/>
    </row>
    <row r="943" spans="9:10">
      <c r="I943" s="354"/>
      <c r="J943" s="354"/>
    </row>
    <row r="944" spans="9:10">
      <c r="I944" s="354"/>
      <c r="J944" s="354"/>
    </row>
    <row r="945" spans="9:10">
      <c r="I945" s="354"/>
      <c r="J945" s="354"/>
    </row>
    <row r="946" spans="9:10">
      <c r="I946" s="354"/>
      <c r="J946" s="354"/>
    </row>
    <row r="947" spans="9:10">
      <c r="I947" s="354"/>
      <c r="J947" s="354"/>
    </row>
    <row r="948" spans="9:10">
      <c r="I948" s="354"/>
      <c r="J948" s="354"/>
    </row>
    <row r="949" spans="9:10">
      <c r="I949" s="354"/>
      <c r="J949" s="354"/>
    </row>
    <row r="950" spans="9:10">
      <c r="I950" s="354"/>
      <c r="J950" s="354"/>
    </row>
    <row r="951" spans="9:10">
      <c r="I951" s="354"/>
      <c r="J951" s="354"/>
    </row>
    <row r="952" spans="9:10">
      <c r="I952" s="354"/>
      <c r="J952" s="354"/>
    </row>
    <row r="953" spans="9:10">
      <c r="I953" s="354"/>
      <c r="J953" s="354"/>
    </row>
    <row r="954" spans="9:10">
      <c r="I954" s="354"/>
      <c r="J954" s="354"/>
    </row>
    <row r="955" spans="9:10">
      <c r="I955" s="354"/>
      <c r="J955" s="354"/>
    </row>
    <row r="956" spans="9:10">
      <c r="I956" s="354"/>
      <c r="J956" s="354"/>
    </row>
    <row r="957" spans="9:10">
      <c r="I957" s="354"/>
      <c r="J957" s="354"/>
    </row>
    <row r="958" spans="9:10">
      <c r="I958" s="354"/>
      <c r="J958" s="354"/>
    </row>
    <row r="959" spans="9:10">
      <c r="I959" s="354"/>
      <c r="J959" s="354"/>
    </row>
    <row r="960" spans="9:10">
      <c r="I960" s="354"/>
      <c r="J960" s="354"/>
    </row>
    <row r="961" spans="9:10">
      <c r="I961" s="354"/>
      <c r="J961" s="354"/>
    </row>
    <row r="962" spans="9:10">
      <c r="I962" s="354"/>
      <c r="J962" s="354"/>
    </row>
    <row r="963" spans="9:10">
      <c r="I963" s="354"/>
      <c r="J963" s="354"/>
    </row>
    <row r="964" spans="9:10">
      <c r="I964" s="354"/>
      <c r="J964" s="354"/>
    </row>
    <row r="965" spans="9:10">
      <c r="I965" s="354"/>
      <c r="J965" s="354"/>
    </row>
    <row r="966" spans="9:10">
      <c r="I966" s="354"/>
      <c r="J966" s="354"/>
    </row>
    <row r="967" spans="9:10">
      <c r="I967" s="354"/>
      <c r="J967" s="354"/>
    </row>
    <row r="968" spans="9:10">
      <c r="I968" s="354"/>
      <c r="J968" s="354"/>
    </row>
    <row r="969" spans="9:10">
      <c r="I969" s="354"/>
      <c r="J969" s="354"/>
    </row>
    <row r="970" spans="9:10">
      <c r="I970" s="354"/>
      <c r="J970" s="354"/>
    </row>
    <row r="971" spans="9:10">
      <c r="I971" s="354"/>
      <c r="J971" s="354"/>
    </row>
    <row r="972" spans="9:10">
      <c r="I972" s="354"/>
      <c r="J972" s="354"/>
    </row>
    <row r="973" spans="9:10">
      <c r="I973" s="354"/>
      <c r="J973" s="354"/>
    </row>
    <row r="974" spans="9:10">
      <c r="I974" s="354"/>
      <c r="J974" s="354"/>
    </row>
    <row r="975" spans="9:10">
      <c r="I975" s="354"/>
      <c r="J975" s="354"/>
    </row>
    <row r="976" spans="9:10">
      <c r="I976" s="354"/>
      <c r="J976" s="354"/>
    </row>
    <row r="977" spans="9:10">
      <c r="I977" s="354"/>
      <c r="J977" s="354"/>
    </row>
    <row r="978" spans="9:10">
      <c r="I978" s="354"/>
      <c r="J978" s="354"/>
    </row>
    <row r="979" spans="9:10">
      <c r="I979" s="354"/>
      <c r="J979" s="354"/>
    </row>
    <row r="980" spans="9:10">
      <c r="I980" s="354"/>
      <c r="J980" s="354"/>
    </row>
    <row r="981" spans="9:10">
      <c r="I981" s="354"/>
      <c r="J981" s="354"/>
    </row>
    <row r="982" spans="9:10">
      <c r="I982" s="354"/>
      <c r="J982" s="354"/>
    </row>
    <row r="983" spans="9:10">
      <c r="I983" s="354"/>
      <c r="J983" s="354"/>
    </row>
    <row r="984" spans="9:10">
      <c r="I984" s="354"/>
      <c r="J984" s="354"/>
    </row>
    <row r="985" spans="9:10">
      <c r="I985" s="354"/>
      <c r="J985" s="354"/>
    </row>
    <row r="986" spans="9:10">
      <c r="I986" s="354"/>
      <c r="J986" s="354"/>
    </row>
    <row r="987" spans="9:10">
      <c r="I987" s="354"/>
      <c r="J987" s="354"/>
    </row>
    <row r="988" spans="9:10">
      <c r="I988" s="354"/>
      <c r="J988" s="354"/>
    </row>
    <row r="989" spans="9:10">
      <c r="I989" s="354"/>
      <c r="J989" s="354"/>
    </row>
    <row r="990" spans="9:10">
      <c r="I990" s="354"/>
      <c r="J990" s="354"/>
    </row>
    <row r="991" spans="9:10">
      <c r="I991" s="354"/>
      <c r="J991" s="354"/>
    </row>
    <row r="992" spans="9:10">
      <c r="I992" s="354"/>
      <c r="J992" s="354"/>
    </row>
    <row r="993" spans="9:10">
      <c r="I993" s="354"/>
      <c r="J993" s="354"/>
    </row>
    <row r="994" spans="9:10">
      <c r="I994" s="354"/>
      <c r="J994" s="354"/>
    </row>
    <row r="995" spans="9:10">
      <c r="I995" s="354"/>
      <c r="J995" s="354"/>
    </row>
    <row r="996" spans="9:10">
      <c r="I996" s="354"/>
      <c r="J996" s="354"/>
    </row>
    <row r="997" spans="9:10">
      <c r="I997" s="354"/>
      <c r="J997" s="354"/>
    </row>
    <row r="998" spans="9:10">
      <c r="I998" s="354"/>
      <c r="J998" s="354"/>
    </row>
    <row r="999" spans="9:10">
      <c r="I999" s="354"/>
      <c r="J999" s="354"/>
    </row>
    <row r="1000" spans="9:10">
      <c r="I1000" s="354"/>
      <c r="J1000" s="354"/>
    </row>
    <row r="1001" spans="9:10">
      <c r="I1001" s="354"/>
      <c r="J1001" s="354"/>
    </row>
    <row r="1002" spans="9:10">
      <c r="I1002" s="354"/>
      <c r="J1002" s="354"/>
    </row>
    <row r="1003" spans="9:10">
      <c r="I1003" s="354"/>
      <c r="J1003" s="354"/>
    </row>
    <row r="1004" spans="9:10">
      <c r="I1004" s="354"/>
      <c r="J1004" s="354"/>
    </row>
    <row r="1005" spans="9:10">
      <c r="I1005" s="354"/>
      <c r="J1005" s="354"/>
    </row>
    <row r="1006" spans="9:10">
      <c r="I1006" s="354"/>
      <c r="J1006" s="354"/>
    </row>
    <row r="1007" spans="9:10">
      <c r="I1007" s="354"/>
      <c r="J1007" s="354"/>
    </row>
    <row r="1008" spans="9:10">
      <c r="I1008" s="354"/>
      <c r="J1008" s="354"/>
    </row>
    <row r="1009" spans="9:10">
      <c r="I1009" s="354"/>
      <c r="J1009" s="354"/>
    </row>
    <row r="1010" spans="9:10">
      <c r="I1010" s="354"/>
      <c r="J1010" s="354"/>
    </row>
    <row r="1011" spans="9:10">
      <c r="I1011" s="354"/>
      <c r="J1011" s="354"/>
    </row>
    <row r="1012" spans="9:10">
      <c r="I1012" s="354"/>
      <c r="J1012" s="354"/>
    </row>
    <row r="1013" spans="9:10">
      <c r="I1013" s="354"/>
      <c r="J1013" s="354"/>
    </row>
    <row r="1014" spans="9:10">
      <c r="I1014" s="354"/>
      <c r="J1014" s="354"/>
    </row>
    <row r="1015" spans="9:10">
      <c r="I1015" s="354"/>
      <c r="J1015" s="354"/>
    </row>
    <row r="1016" spans="9:10">
      <c r="I1016" s="354"/>
      <c r="J1016" s="354"/>
    </row>
    <row r="1017" spans="9:10">
      <c r="I1017" s="354"/>
      <c r="J1017" s="354"/>
    </row>
    <row r="1018" spans="9:10">
      <c r="I1018" s="354"/>
      <c r="J1018" s="354"/>
    </row>
    <row r="1019" spans="9:10">
      <c r="I1019" s="354"/>
      <c r="J1019" s="354"/>
    </row>
    <row r="1020" spans="9:10">
      <c r="I1020" s="354"/>
      <c r="J1020" s="354"/>
    </row>
    <row r="1021" spans="9:10">
      <c r="I1021" s="354"/>
      <c r="J1021" s="354"/>
    </row>
    <row r="1022" spans="9:10">
      <c r="I1022" s="354"/>
      <c r="J1022" s="354"/>
    </row>
    <row r="1023" spans="9:10">
      <c r="I1023" s="354"/>
      <c r="J1023" s="354"/>
    </row>
    <row r="1024" spans="9:10">
      <c r="I1024" s="354"/>
      <c r="J1024" s="354"/>
    </row>
    <row r="1025" spans="9:10">
      <c r="I1025" s="354"/>
      <c r="J1025" s="354"/>
    </row>
    <row r="1026" spans="9:10">
      <c r="I1026" s="354"/>
      <c r="J1026" s="354"/>
    </row>
    <row r="1027" spans="9:10">
      <c r="I1027" s="354"/>
      <c r="J1027" s="354"/>
    </row>
    <row r="1028" spans="9:10">
      <c r="I1028" s="354"/>
      <c r="J1028" s="354"/>
    </row>
    <row r="1029" spans="9:10">
      <c r="I1029" s="354"/>
      <c r="J1029" s="354"/>
    </row>
    <row r="1030" spans="9:10">
      <c r="I1030" s="354"/>
      <c r="J1030" s="354"/>
    </row>
    <row r="1031" spans="9:10">
      <c r="I1031" s="354"/>
      <c r="J1031" s="354"/>
    </row>
    <row r="1032" spans="9:10">
      <c r="I1032" s="354"/>
      <c r="J1032" s="354"/>
    </row>
    <row r="1033" spans="9:10">
      <c r="I1033" s="354"/>
      <c r="J1033" s="354"/>
    </row>
    <row r="1034" spans="9:10">
      <c r="I1034" s="354"/>
      <c r="J1034" s="354"/>
    </row>
    <row r="1035" spans="9:10">
      <c r="I1035" s="354"/>
      <c r="J1035" s="354"/>
    </row>
    <row r="1036" spans="9:10">
      <c r="I1036" s="354"/>
      <c r="J1036" s="354"/>
    </row>
    <row r="1037" spans="9:10">
      <c r="I1037" s="354"/>
      <c r="J1037" s="354"/>
    </row>
    <row r="1038" spans="9:10">
      <c r="I1038" s="354"/>
      <c r="J1038" s="354"/>
    </row>
    <row r="1039" spans="9:10">
      <c r="I1039" s="354"/>
      <c r="J1039" s="354"/>
    </row>
    <row r="1040" spans="9:10">
      <c r="I1040" s="354"/>
      <c r="J1040" s="354"/>
    </row>
    <row r="1041" spans="9:10">
      <c r="I1041" s="354"/>
      <c r="J1041" s="354"/>
    </row>
    <row r="1042" spans="9:10">
      <c r="I1042" s="354"/>
      <c r="J1042" s="354"/>
    </row>
    <row r="1043" spans="9:10">
      <c r="I1043" s="354"/>
      <c r="J1043" s="354"/>
    </row>
    <row r="1044" spans="9:10">
      <c r="I1044" s="354"/>
      <c r="J1044" s="354"/>
    </row>
    <row r="1045" spans="9:10">
      <c r="I1045" s="354"/>
      <c r="J1045" s="354"/>
    </row>
    <row r="1046" spans="9:10">
      <c r="I1046" s="354"/>
      <c r="J1046" s="354"/>
    </row>
    <row r="1047" spans="9:10">
      <c r="I1047" s="354"/>
      <c r="J1047" s="354"/>
    </row>
    <row r="1048" spans="9:10">
      <c r="I1048" s="354"/>
      <c r="J1048" s="354"/>
    </row>
    <row r="1049" spans="9:10">
      <c r="I1049" s="354"/>
      <c r="J1049" s="354"/>
    </row>
    <row r="1050" spans="9:10">
      <c r="I1050" s="354"/>
      <c r="J1050" s="354"/>
    </row>
    <row r="1051" spans="9:10">
      <c r="I1051" s="354"/>
      <c r="J1051" s="354"/>
    </row>
    <row r="1052" spans="9:10">
      <c r="I1052" s="354"/>
      <c r="J1052" s="354"/>
    </row>
    <row r="1053" spans="9:10">
      <c r="I1053" s="354"/>
      <c r="J1053" s="354"/>
    </row>
    <row r="1054" spans="9:10">
      <c r="I1054" s="354"/>
      <c r="J1054" s="354"/>
    </row>
    <row r="1055" spans="9:10">
      <c r="I1055" s="354"/>
      <c r="J1055" s="354"/>
    </row>
    <row r="1056" spans="9:10">
      <c r="I1056" s="354"/>
      <c r="J1056" s="354"/>
    </row>
    <row r="1057" spans="9:10">
      <c r="I1057" s="354"/>
      <c r="J1057" s="354"/>
    </row>
    <row r="1058" spans="9:10">
      <c r="I1058" s="354"/>
      <c r="J1058" s="354"/>
    </row>
    <row r="1059" spans="9:10">
      <c r="I1059" s="354"/>
      <c r="J1059" s="354"/>
    </row>
    <row r="1060" spans="9:10">
      <c r="I1060" s="354"/>
      <c r="J1060" s="354"/>
    </row>
    <row r="1061" spans="9:10">
      <c r="I1061" s="354"/>
      <c r="J1061" s="354"/>
    </row>
    <row r="1062" spans="9:10">
      <c r="I1062" s="354"/>
      <c r="J1062" s="354"/>
    </row>
    <row r="1063" spans="9:10">
      <c r="I1063" s="354"/>
      <c r="J1063" s="354"/>
    </row>
    <row r="1064" spans="9:10">
      <c r="I1064" s="354"/>
      <c r="J1064" s="354"/>
    </row>
    <row r="1065" spans="9:10">
      <c r="I1065" s="354"/>
      <c r="J1065" s="354"/>
    </row>
    <row r="1066" spans="9:10">
      <c r="I1066" s="354"/>
      <c r="J1066" s="354"/>
    </row>
    <row r="1067" spans="9:10">
      <c r="I1067" s="354"/>
      <c r="J1067" s="354"/>
    </row>
    <row r="1068" spans="9:10">
      <c r="I1068" s="354"/>
      <c r="J1068" s="354"/>
    </row>
    <row r="1069" spans="9:10">
      <c r="I1069" s="354"/>
      <c r="J1069" s="354"/>
    </row>
    <row r="1070" spans="9:10">
      <c r="I1070" s="354"/>
      <c r="J1070" s="354"/>
    </row>
    <row r="1071" spans="9:10">
      <c r="I1071" s="354"/>
      <c r="J1071" s="354"/>
    </row>
    <row r="1072" spans="9:10">
      <c r="I1072" s="354"/>
      <c r="J1072" s="354"/>
    </row>
    <row r="1073" spans="9:10">
      <c r="I1073" s="354"/>
      <c r="J1073" s="354"/>
    </row>
    <row r="1074" spans="9:10">
      <c r="I1074" s="354"/>
      <c r="J1074" s="354"/>
    </row>
    <row r="1075" spans="9:10">
      <c r="I1075" s="354"/>
      <c r="J1075" s="354"/>
    </row>
    <row r="1076" spans="9:10">
      <c r="I1076" s="354"/>
      <c r="J1076" s="354"/>
    </row>
    <row r="1077" spans="9:10">
      <c r="I1077" s="354"/>
      <c r="J1077" s="354"/>
    </row>
    <row r="1078" spans="9:10">
      <c r="I1078" s="354"/>
      <c r="J1078" s="354"/>
    </row>
    <row r="1079" spans="9:10">
      <c r="I1079" s="354"/>
      <c r="J1079" s="354"/>
    </row>
    <row r="1080" spans="9:10">
      <c r="I1080" s="354"/>
      <c r="J1080" s="354"/>
    </row>
    <row r="1081" spans="9:10">
      <c r="I1081" s="354"/>
      <c r="J1081" s="354"/>
    </row>
    <row r="1082" spans="9:10">
      <c r="I1082" s="354"/>
      <c r="J1082" s="354"/>
    </row>
    <row r="1083" spans="9:10">
      <c r="I1083" s="354"/>
      <c r="J1083" s="354"/>
    </row>
    <row r="1084" spans="9:10">
      <c r="I1084" s="354"/>
      <c r="J1084" s="354"/>
    </row>
    <row r="1085" spans="9:10">
      <c r="I1085" s="354"/>
      <c r="J1085" s="354"/>
    </row>
    <row r="1086" spans="9:10">
      <c r="I1086" s="354"/>
      <c r="J1086" s="354"/>
    </row>
    <row r="1087" spans="9:10">
      <c r="I1087" s="354"/>
      <c r="J1087" s="354"/>
    </row>
    <row r="1088" spans="9:10">
      <c r="I1088" s="354"/>
      <c r="J1088" s="354"/>
    </row>
    <row r="1089" spans="9:10">
      <c r="I1089" s="354"/>
      <c r="J1089" s="354"/>
    </row>
    <row r="1090" spans="9:10">
      <c r="I1090" s="354"/>
      <c r="J1090" s="354"/>
    </row>
    <row r="1091" spans="9:10">
      <c r="I1091" s="354"/>
      <c r="J1091" s="354"/>
    </row>
    <row r="1092" spans="9:10">
      <c r="I1092" s="354"/>
      <c r="J1092" s="354"/>
    </row>
    <row r="1093" spans="9:10">
      <c r="I1093" s="354"/>
      <c r="J1093" s="354"/>
    </row>
    <row r="1094" spans="9:10">
      <c r="I1094" s="354"/>
      <c r="J1094" s="354"/>
    </row>
    <row r="1095" spans="9:10">
      <c r="I1095" s="354"/>
      <c r="J1095" s="354"/>
    </row>
    <row r="1096" spans="9:10">
      <c r="I1096" s="354"/>
      <c r="J1096" s="354"/>
    </row>
    <row r="1097" spans="9:10">
      <c r="I1097" s="354"/>
      <c r="J1097" s="354"/>
    </row>
    <row r="1098" spans="9:10">
      <c r="I1098" s="354"/>
      <c r="J1098" s="354"/>
    </row>
    <row r="1099" spans="9:10">
      <c r="I1099" s="354"/>
      <c r="J1099" s="354"/>
    </row>
    <row r="1100" spans="9:10">
      <c r="I1100" s="354"/>
      <c r="J1100" s="354"/>
    </row>
    <row r="1101" spans="9:10">
      <c r="I1101" s="354"/>
      <c r="J1101" s="354"/>
    </row>
    <row r="1102" spans="9:10">
      <c r="I1102" s="354"/>
      <c r="J1102" s="354"/>
    </row>
    <row r="1103" spans="9:10">
      <c r="I1103" s="354"/>
      <c r="J1103" s="354"/>
    </row>
    <row r="1104" spans="9:10">
      <c r="I1104" s="354"/>
      <c r="J1104" s="354"/>
    </row>
    <row r="1105" spans="9:10">
      <c r="I1105" s="354"/>
      <c r="J1105" s="354"/>
    </row>
    <row r="1106" spans="9:10">
      <c r="I1106" s="354"/>
      <c r="J1106" s="354"/>
    </row>
    <row r="1107" spans="9:10">
      <c r="I1107" s="354"/>
      <c r="J1107" s="354"/>
    </row>
    <row r="1108" spans="9:10">
      <c r="I1108" s="354"/>
      <c r="J1108" s="354"/>
    </row>
    <row r="1109" spans="9:10">
      <c r="I1109" s="354"/>
      <c r="J1109" s="354"/>
    </row>
    <row r="1110" spans="9:10">
      <c r="I1110" s="354"/>
      <c r="J1110" s="354"/>
    </row>
    <row r="1111" spans="9:10">
      <c r="I1111" s="354"/>
      <c r="J1111" s="354"/>
    </row>
    <row r="1112" spans="9:10">
      <c r="I1112" s="354"/>
      <c r="J1112" s="354"/>
    </row>
    <row r="1113" spans="9:10">
      <c r="I1113" s="354"/>
      <c r="J1113" s="354"/>
    </row>
    <row r="1114" spans="9:10">
      <c r="I1114" s="354"/>
      <c r="J1114" s="354"/>
    </row>
    <row r="1115" spans="9:10">
      <c r="I1115" s="354"/>
      <c r="J1115" s="354"/>
    </row>
    <row r="1116" spans="9:10">
      <c r="I1116" s="354"/>
      <c r="J1116" s="354"/>
    </row>
    <row r="1117" spans="9:10">
      <c r="I1117" s="354"/>
      <c r="J1117" s="354"/>
    </row>
    <row r="1118" spans="9:10">
      <c r="I1118" s="354"/>
      <c r="J1118" s="354"/>
    </row>
    <row r="1119" spans="9:10">
      <c r="I1119" s="354"/>
      <c r="J1119" s="354"/>
    </row>
    <row r="1120" spans="9:10">
      <c r="I1120" s="354"/>
      <c r="J1120" s="354"/>
    </row>
    <row r="1121" spans="9:10">
      <c r="I1121" s="354"/>
      <c r="J1121" s="354"/>
    </row>
    <row r="1122" spans="9:10">
      <c r="I1122" s="354"/>
      <c r="J1122" s="354"/>
    </row>
    <row r="1123" spans="9:10">
      <c r="I1123" s="354"/>
      <c r="J1123" s="354"/>
    </row>
    <row r="1124" spans="9:10">
      <c r="I1124" s="354"/>
      <c r="J1124" s="354"/>
    </row>
    <row r="1125" spans="9:10">
      <c r="I1125" s="354"/>
      <c r="J1125" s="354"/>
    </row>
    <row r="1126" spans="9:10">
      <c r="I1126" s="354"/>
      <c r="J1126" s="354"/>
    </row>
    <row r="1127" spans="9:10">
      <c r="I1127" s="354"/>
      <c r="J1127" s="354"/>
    </row>
    <row r="1128" spans="9:10">
      <c r="I1128" s="354"/>
      <c r="J1128" s="354"/>
    </row>
    <row r="1129" spans="9:10">
      <c r="I1129" s="354"/>
      <c r="J1129" s="354"/>
    </row>
    <row r="1130" spans="9:10">
      <c r="I1130" s="354"/>
      <c r="J1130" s="354"/>
    </row>
    <row r="1131" spans="9:10">
      <c r="I1131" s="354"/>
      <c r="J1131" s="354"/>
    </row>
    <row r="1132" spans="9:10">
      <c r="I1132" s="354"/>
      <c r="J1132" s="354"/>
    </row>
    <row r="1133" spans="9:10">
      <c r="I1133" s="354"/>
      <c r="J1133" s="354"/>
    </row>
    <row r="1134" spans="9:10">
      <c r="I1134" s="354"/>
      <c r="J1134" s="354"/>
    </row>
    <row r="1135" spans="9:10">
      <c r="I1135" s="354"/>
      <c r="J1135" s="354"/>
    </row>
    <row r="1136" spans="9:10">
      <c r="I1136" s="354"/>
      <c r="J1136" s="354"/>
    </row>
    <row r="1137" spans="9:10">
      <c r="I1137" s="354"/>
      <c r="J1137" s="354"/>
    </row>
    <row r="1138" spans="9:10">
      <c r="I1138" s="354"/>
      <c r="J1138" s="354"/>
    </row>
    <row r="1139" spans="9:10">
      <c r="I1139" s="354"/>
      <c r="J1139" s="354"/>
    </row>
    <row r="1140" spans="9:10">
      <c r="I1140" s="354"/>
      <c r="J1140" s="354"/>
    </row>
    <row r="1141" spans="9:10">
      <c r="I1141" s="354"/>
      <c r="J1141" s="354"/>
    </row>
    <row r="1142" spans="9:10">
      <c r="I1142" s="354"/>
      <c r="J1142" s="354"/>
    </row>
    <row r="1143" spans="9:10">
      <c r="I1143" s="354"/>
      <c r="J1143" s="354"/>
    </row>
    <row r="1144" spans="9:10">
      <c r="I1144" s="354"/>
      <c r="J1144" s="354"/>
    </row>
    <row r="1145" spans="9:10">
      <c r="I1145" s="354"/>
      <c r="J1145" s="354"/>
    </row>
    <row r="1146" spans="9:10">
      <c r="I1146" s="354"/>
      <c r="J1146" s="354"/>
    </row>
    <row r="1147" spans="9:10">
      <c r="I1147" s="354"/>
      <c r="J1147" s="354"/>
    </row>
    <row r="1148" spans="9:10">
      <c r="I1148" s="354"/>
      <c r="J1148" s="354"/>
    </row>
    <row r="1149" spans="9:10">
      <c r="I1149" s="354"/>
      <c r="J1149" s="354"/>
    </row>
    <row r="1150" spans="9:10">
      <c r="I1150" s="354"/>
      <c r="J1150" s="354"/>
    </row>
    <row r="1151" spans="9:10">
      <c r="I1151" s="354"/>
      <c r="J1151" s="354"/>
    </row>
    <row r="1152" spans="9:10">
      <c r="I1152" s="354"/>
      <c r="J1152" s="354"/>
    </row>
    <row r="1153" spans="9:10">
      <c r="I1153" s="354"/>
      <c r="J1153" s="354"/>
    </row>
    <row r="1154" spans="9:10">
      <c r="I1154" s="354"/>
      <c r="J1154" s="354"/>
    </row>
    <row r="1155" spans="9:10">
      <c r="I1155" s="354"/>
      <c r="J1155" s="354"/>
    </row>
    <row r="1156" spans="9:10">
      <c r="I1156" s="354"/>
      <c r="J1156" s="354"/>
    </row>
    <row r="1157" spans="9:10">
      <c r="I1157" s="354"/>
      <c r="J1157" s="354"/>
    </row>
    <row r="1158" spans="9:10">
      <c r="I1158" s="354"/>
      <c r="J1158" s="354"/>
    </row>
    <row r="1159" spans="9:10">
      <c r="I1159" s="354"/>
      <c r="J1159" s="354"/>
    </row>
    <row r="1160" spans="9:10">
      <c r="I1160" s="354"/>
      <c r="J1160" s="354"/>
    </row>
    <row r="1161" spans="9:10">
      <c r="I1161" s="354"/>
      <c r="J1161" s="354"/>
    </row>
    <row r="1162" spans="9:10">
      <c r="I1162" s="354"/>
      <c r="J1162" s="354"/>
    </row>
    <row r="1163" spans="9:10">
      <c r="I1163" s="354"/>
      <c r="J1163" s="354"/>
    </row>
    <row r="1164" spans="9:10">
      <c r="I1164" s="354"/>
      <c r="J1164" s="354"/>
    </row>
    <row r="1165" spans="9:10">
      <c r="I1165" s="354"/>
      <c r="J1165" s="354"/>
    </row>
    <row r="1166" spans="9:10">
      <c r="I1166" s="354"/>
      <c r="J1166" s="354"/>
    </row>
    <row r="1167" spans="9:10">
      <c r="I1167" s="354"/>
      <c r="J1167" s="354"/>
    </row>
    <row r="1168" spans="9:10">
      <c r="I1168" s="354"/>
      <c r="J1168" s="354"/>
    </row>
    <row r="1169" spans="9:10">
      <c r="I1169" s="354"/>
      <c r="J1169" s="354"/>
    </row>
    <row r="1170" spans="9:10">
      <c r="I1170" s="354"/>
      <c r="J1170" s="354"/>
    </row>
    <row r="1171" spans="9:10">
      <c r="I1171" s="354"/>
      <c r="J1171" s="354"/>
    </row>
    <row r="1172" spans="9:10">
      <c r="I1172" s="354"/>
      <c r="J1172" s="354"/>
    </row>
    <row r="1173" spans="9:10">
      <c r="I1173" s="354"/>
      <c r="J1173" s="354"/>
    </row>
    <row r="1174" spans="9:10">
      <c r="I1174" s="354"/>
      <c r="J1174" s="354"/>
    </row>
    <row r="1175" spans="9:10">
      <c r="I1175" s="354"/>
      <c r="J1175" s="354"/>
    </row>
    <row r="1176" spans="9:10">
      <c r="I1176" s="354"/>
      <c r="J1176" s="354"/>
    </row>
    <row r="1177" spans="9:10">
      <c r="I1177" s="354"/>
      <c r="J1177" s="354"/>
    </row>
    <row r="1178" spans="9:10">
      <c r="I1178" s="354"/>
      <c r="J1178" s="354"/>
    </row>
    <row r="1179" spans="9:10">
      <c r="I1179" s="354"/>
      <c r="J1179" s="354"/>
    </row>
    <row r="1180" spans="9:10">
      <c r="I1180" s="354"/>
      <c r="J1180" s="354"/>
    </row>
    <row r="1181" spans="9:10">
      <c r="I1181" s="354"/>
      <c r="J1181" s="354"/>
    </row>
    <row r="1182" spans="9:10">
      <c r="I1182" s="354"/>
      <c r="J1182" s="354"/>
    </row>
    <row r="1183" spans="9:10">
      <c r="I1183" s="354"/>
      <c r="J1183" s="354"/>
    </row>
    <row r="1184" spans="9:10">
      <c r="I1184" s="354"/>
      <c r="J1184" s="354"/>
    </row>
    <row r="1185" spans="9:10">
      <c r="I1185" s="354"/>
      <c r="J1185" s="354"/>
    </row>
    <row r="1186" spans="9:10">
      <c r="I1186" s="354"/>
      <c r="J1186" s="354"/>
    </row>
    <row r="1187" spans="9:10">
      <c r="I1187" s="354"/>
      <c r="J1187" s="354"/>
    </row>
    <row r="1188" spans="9:10">
      <c r="I1188" s="354"/>
      <c r="J1188" s="354"/>
    </row>
    <row r="1189" spans="9:10">
      <c r="I1189" s="354"/>
      <c r="J1189" s="354"/>
    </row>
    <row r="1190" spans="9:10">
      <c r="I1190" s="354"/>
      <c r="J1190" s="354"/>
    </row>
    <row r="1191" spans="9:10">
      <c r="I1191" s="354"/>
      <c r="J1191" s="354"/>
    </row>
    <row r="1192" spans="9:10">
      <c r="I1192" s="354"/>
      <c r="J1192" s="354"/>
    </row>
    <row r="1193" spans="9:10">
      <c r="I1193" s="354"/>
      <c r="J1193" s="354"/>
    </row>
    <row r="1194" spans="9:10">
      <c r="I1194" s="354"/>
      <c r="J1194" s="354"/>
    </row>
    <row r="1195" spans="9:10">
      <c r="I1195" s="354"/>
      <c r="J1195" s="354"/>
    </row>
    <row r="1196" spans="9:10">
      <c r="I1196" s="354"/>
      <c r="J1196" s="354"/>
    </row>
    <row r="1197" spans="9:10">
      <c r="I1197" s="354"/>
      <c r="J1197" s="354"/>
    </row>
    <row r="1198" spans="9:10">
      <c r="I1198" s="354"/>
      <c r="J1198" s="354"/>
    </row>
    <row r="1199" spans="9:10">
      <c r="I1199" s="354"/>
      <c r="J1199" s="354"/>
    </row>
    <row r="1200" spans="9:10">
      <c r="I1200" s="354"/>
      <c r="J1200" s="354"/>
    </row>
    <row r="1201" spans="9:10">
      <c r="I1201" s="354"/>
      <c r="J1201" s="354"/>
    </row>
    <row r="1202" spans="9:10">
      <c r="I1202" s="354"/>
      <c r="J1202" s="354"/>
    </row>
    <row r="1203" spans="9:10">
      <c r="I1203" s="354"/>
      <c r="J1203" s="354"/>
    </row>
    <row r="1204" spans="9:10">
      <c r="I1204" s="354"/>
      <c r="J1204" s="354"/>
    </row>
    <row r="1205" spans="9:10">
      <c r="I1205" s="354"/>
      <c r="J1205" s="354"/>
    </row>
    <row r="1206" spans="9:10">
      <c r="I1206" s="354"/>
      <c r="J1206" s="354"/>
    </row>
    <row r="1207" spans="9:10">
      <c r="I1207" s="354"/>
      <c r="J1207" s="354"/>
    </row>
    <row r="1208" spans="9:10">
      <c r="I1208" s="354"/>
      <c r="J1208" s="354"/>
    </row>
    <row r="1209" spans="9:10">
      <c r="I1209" s="354"/>
      <c r="J1209" s="354"/>
    </row>
    <row r="1210" spans="9:10">
      <c r="I1210" s="354"/>
      <c r="J1210" s="354"/>
    </row>
    <row r="1211" spans="9:10">
      <c r="I1211" s="354"/>
      <c r="J1211" s="354"/>
    </row>
    <row r="1212" spans="9:10">
      <c r="I1212" s="354"/>
      <c r="J1212" s="354"/>
    </row>
    <row r="1213" spans="9:10">
      <c r="I1213" s="354"/>
      <c r="J1213" s="354"/>
    </row>
    <row r="1214" spans="9:10">
      <c r="I1214" s="354"/>
      <c r="J1214" s="354"/>
    </row>
    <row r="1215" spans="9:10">
      <c r="I1215" s="354"/>
      <c r="J1215" s="354"/>
    </row>
    <row r="1216" spans="9:10">
      <c r="I1216" s="354"/>
      <c r="J1216" s="354"/>
    </row>
    <row r="1217" spans="9:10">
      <c r="I1217" s="354"/>
      <c r="J1217" s="354"/>
    </row>
    <row r="1218" spans="9:10">
      <c r="I1218" s="354"/>
      <c r="J1218" s="354"/>
    </row>
    <row r="1219" spans="9:10">
      <c r="I1219" s="354"/>
      <c r="J1219" s="354"/>
    </row>
    <row r="1220" spans="9:10">
      <c r="I1220" s="354"/>
      <c r="J1220" s="354"/>
    </row>
    <row r="1221" spans="9:10">
      <c r="I1221" s="354"/>
      <c r="J1221" s="354"/>
    </row>
    <row r="1222" spans="9:10">
      <c r="I1222" s="354"/>
      <c r="J1222" s="354"/>
    </row>
    <row r="1223" spans="9:10">
      <c r="I1223" s="354"/>
      <c r="J1223" s="354"/>
    </row>
    <row r="1224" spans="9:10">
      <c r="I1224" s="354"/>
      <c r="J1224" s="354"/>
    </row>
    <row r="1225" spans="9:10">
      <c r="I1225" s="354"/>
      <c r="J1225" s="354"/>
    </row>
    <row r="1226" spans="9:10">
      <c r="I1226" s="354"/>
      <c r="J1226" s="354"/>
    </row>
    <row r="1227" spans="9:10">
      <c r="I1227" s="354"/>
      <c r="J1227" s="354"/>
    </row>
    <row r="1228" spans="9:10">
      <c r="I1228" s="354"/>
      <c r="J1228" s="354"/>
    </row>
    <row r="1229" spans="9:10">
      <c r="I1229" s="354"/>
      <c r="J1229" s="354"/>
    </row>
    <row r="1230" spans="9:10">
      <c r="I1230" s="354"/>
      <c r="J1230" s="354"/>
    </row>
    <row r="1231" spans="9:10">
      <c r="I1231" s="354"/>
      <c r="J1231" s="354"/>
    </row>
    <row r="1232" spans="9:10">
      <c r="I1232" s="354"/>
      <c r="J1232" s="354"/>
    </row>
    <row r="1233" spans="9:10">
      <c r="I1233" s="354"/>
      <c r="J1233" s="354"/>
    </row>
    <row r="1234" spans="9:10">
      <c r="I1234" s="354"/>
      <c r="J1234" s="354"/>
    </row>
    <row r="1235" spans="9:10">
      <c r="I1235" s="354"/>
      <c r="J1235" s="354"/>
    </row>
    <row r="1236" spans="9:10">
      <c r="I1236" s="354"/>
      <c r="J1236" s="354"/>
    </row>
    <row r="1237" spans="9:10">
      <c r="I1237" s="354"/>
      <c r="J1237" s="354"/>
    </row>
    <row r="1238" spans="9:10">
      <c r="I1238" s="354"/>
      <c r="J1238" s="354"/>
    </row>
    <row r="1239" spans="9:10">
      <c r="I1239" s="354"/>
      <c r="J1239" s="354"/>
    </row>
    <row r="1240" spans="9:10">
      <c r="I1240" s="354"/>
      <c r="J1240" s="354"/>
    </row>
    <row r="1241" spans="9:10">
      <c r="I1241" s="354"/>
      <c r="J1241" s="354"/>
    </row>
    <row r="1242" spans="9:10">
      <c r="I1242" s="354"/>
      <c r="J1242" s="354"/>
    </row>
    <row r="1243" spans="9:10">
      <c r="I1243" s="354"/>
      <c r="J1243" s="354"/>
    </row>
    <row r="1244" spans="9:10">
      <c r="I1244" s="354"/>
      <c r="J1244" s="354"/>
    </row>
    <row r="1245" spans="9:10">
      <c r="I1245" s="354"/>
      <c r="J1245" s="354"/>
    </row>
    <row r="1246" spans="9:10">
      <c r="I1246" s="354"/>
      <c r="J1246" s="354"/>
    </row>
    <row r="1247" spans="9:10">
      <c r="I1247" s="354"/>
      <c r="J1247" s="354"/>
    </row>
    <row r="1248" spans="9:10">
      <c r="I1248" s="354"/>
      <c r="J1248" s="354"/>
    </row>
    <row r="1249" spans="9:10">
      <c r="I1249" s="354"/>
      <c r="J1249" s="354"/>
    </row>
    <row r="1250" spans="9:10">
      <c r="I1250" s="354"/>
      <c r="J1250" s="354"/>
    </row>
    <row r="1251" spans="9:10">
      <c r="I1251" s="354"/>
      <c r="J1251" s="354"/>
    </row>
    <row r="1252" spans="9:10">
      <c r="I1252" s="354"/>
      <c r="J1252" s="354"/>
    </row>
    <row r="1253" spans="9:10">
      <c r="I1253" s="354"/>
      <c r="J1253" s="354"/>
    </row>
    <row r="1254" spans="9:10">
      <c r="I1254" s="354"/>
      <c r="J1254" s="354"/>
    </row>
    <row r="1255" spans="9:10">
      <c r="I1255" s="354"/>
      <c r="J1255" s="354"/>
    </row>
    <row r="1256" spans="9:10">
      <c r="I1256" s="354"/>
      <c r="J1256" s="354"/>
    </row>
    <row r="1257" spans="9:10">
      <c r="I1257" s="354"/>
      <c r="J1257" s="354"/>
    </row>
    <row r="1258" spans="9:10">
      <c r="I1258" s="354"/>
      <c r="J1258" s="354"/>
    </row>
    <row r="1259" spans="9:10">
      <c r="I1259" s="354"/>
      <c r="J1259" s="354"/>
    </row>
    <row r="1260" spans="9:10">
      <c r="I1260" s="354"/>
      <c r="J1260" s="354"/>
    </row>
    <row r="1261" spans="9:10">
      <c r="I1261" s="354"/>
      <c r="J1261" s="354"/>
    </row>
    <row r="1262" spans="9:10">
      <c r="I1262" s="354"/>
      <c r="J1262" s="354"/>
    </row>
    <row r="1263" spans="9:10">
      <c r="I1263" s="354"/>
      <c r="J1263" s="354"/>
    </row>
    <row r="1264" spans="9:10">
      <c r="I1264" s="354"/>
      <c r="J1264" s="354"/>
    </row>
    <row r="1265" spans="9:10">
      <c r="I1265" s="354"/>
      <c r="J1265" s="354"/>
    </row>
    <row r="1266" spans="9:10">
      <c r="I1266" s="354"/>
      <c r="J1266" s="354"/>
    </row>
    <row r="1267" spans="9:10">
      <c r="I1267" s="354"/>
      <c r="J1267" s="354"/>
    </row>
    <row r="1268" spans="9:10">
      <c r="I1268" s="354"/>
      <c r="J1268" s="354"/>
    </row>
    <row r="1269" spans="9:10">
      <c r="I1269" s="354"/>
      <c r="J1269" s="354"/>
    </row>
    <row r="1270" spans="9:10">
      <c r="I1270" s="354"/>
      <c r="J1270" s="354"/>
    </row>
    <row r="1271" spans="9:10">
      <c r="I1271" s="354"/>
      <c r="J1271" s="354"/>
    </row>
    <row r="1272" spans="9:10">
      <c r="I1272" s="354"/>
      <c r="J1272" s="354"/>
    </row>
    <row r="1273" spans="9:10">
      <c r="I1273" s="354"/>
      <c r="J1273" s="354"/>
    </row>
    <row r="1274" spans="9:10">
      <c r="I1274" s="354"/>
      <c r="J1274" s="354"/>
    </row>
    <row r="1275" spans="9:10">
      <c r="I1275" s="354"/>
      <c r="J1275" s="354"/>
    </row>
    <row r="1276" spans="9:10">
      <c r="I1276" s="354"/>
      <c r="J1276" s="354"/>
    </row>
    <row r="1277" spans="9:10">
      <c r="I1277" s="354"/>
      <c r="J1277" s="354"/>
    </row>
    <row r="1278" spans="9:10">
      <c r="I1278" s="354"/>
      <c r="J1278" s="354"/>
    </row>
    <row r="1279" spans="9:10">
      <c r="I1279" s="354"/>
      <c r="J1279" s="354"/>
    </row>
    <row r="1280" spans="9:10">
      <c r="I1280" s="354"/>
      <c r="J1280" s="354"/>
    </row>
    <row r="1281" spans="9:10">
      <c r="I1281" s="354"/>
      <c r="J1281" s="354"/>
    </row>
    <row r="1282" spans="9:10">
      <c r="I1282" s="354"/>
      <c r="J1282" s="354"/>
    </row>
    <row r="1283" spans="9:10">
      <c r="I1283" s="354"/>
      <c r="J1283" s="354"/>
    </row>
    <row r="1284" spans="9:10">
      <c r="I1284" s="354"/>
      <c r="J1284" s="354"/>
    </row>
    <row r="1285" spans="9:10">
      <c r="I1285" s="354"/>
      <c r="J1285" s="354"/>
    </row>
    <row r="1286" spans="9:10">
      <c r="I1286" s="354"/>
      <c r="J1286" s="354"/>
    </row>
    <row r="1287" spans="9:10">
      <c r="I1287" s="354"/>
      <c r="J1287" s="354"/>
    </row>
    <row r="1288" spans="9:10">
      <c r="I1288" s="354"/>
      <c r="J1288" s="354"/>
    </row>
    <row r="1289" spans="9:10">
      <c r="I1289" s="354"/>
      <c r="J1289" s="354"/>
    </row>
    <row r="1290" spans="9:10">
      <c r="I1290" s="354"/>
      <c r="J1290" s="354"/>
    </row>
    <row r="1291" spans="9:10">
      <c r="I1291" s="354"/>
      <c r="J1291" s="354"/>
    </row>
    <row r="1292" spans="9:10">
      <c r="I1292" s="354"/>
      <c r="J1292" s="354"/>
    </row>
    <row r="1293" spans="9:10">
      <c r="I1293" s="354"/>
      <c r="J1293" s="354"/>
    </row>
    <row r="1294" spans="9:10">
      <c r="I1294" s="354"/>
      <c r="J1294" s="354"/>
    </row>
    <row r="1295" spans="9:10">
      <c r="I1295" s="354"/>
      <c r="J1295" s="354"/>
    </row>
    <row r="1296" spans="9:10">
      <c r="I1296" s="354"/>
      <c r="J1296" s="354"/>
    </row>
    <row r="1297" spans="9:10">
      <c r="I1297" s="354"/>
      <c r="J1297" s="354"/>
    </row>
    <row r="1298" spans="9:10">
      <c r="I1298" s="354"/>
      <c r="J1298" s="354"/>
    </row>
    <row r="1299" spans="9:10">
      <c r="I1299" s="354"/>
      <c r="J1299" s="354"/>
    </row>
    <row r="1300" spans="9:10">
      <c r="I1300" s="354"/>
      <c r="J1300" s="354"/>
    </row>
    <row r="1301" spans="9:10">
      <c r="I1301" s="354"/>
      <c r="J1301" s="354"/>
    </row>
    <row r="1302" spans="9:10">
      <c r="I1302" s="354"/>
      <c r="J1302" s="354"/>
    </row>
    <row r="1303" spans="9:10">
      <c r="I1303" s="354"/>
      <c r="J1303" s="354"/>
    </row>
    <row r="1304" spans="9:10">
      <c r="I1304" s="354"/>
      <c r="J1304" s="354"/>
    </row>
    <row r="1305" spans="9:10">
      <c r="I1305" s="354"/>
      <c r="J1305" s="354"/>
    </row>
    <row r="1306" spans="9:10">
      <c r="I1306" s="354"/>
      <c r="J1306" s="354"/>
    </row>
    <row r="1307" spans="9:10">
      <c r="I1307" s="354"/>
      <c r="J1307" s="354"/>
    </row>
    <row r="1308" spans="9:10">
      <c r="I1308" s="354"/>
      <c r="J1308" s="354"/>
    </row>
    <row r="1309" spans="9:10">
      <c r="I1309" s="354"/>
      <c r="J1309" s="354"/>
    </row>
    <row r="1310" spans="9:10">
      <c r="I1310" s="354"/>
      <c r="J1310" s="354"/>
    </row>
    <row r="1311" spans="9:10">
      <c r="I1311" s="354"/>
      <c r="J1311" s="354"/>
    </row>
    <row r="1312" spans="9:10">
      <c r="I1312" s="354"/>
      <c r="J1312" s="354"/>
    </row>
    <row r="1313" spans="9:10">
      <c r="I1313" s="354"/>
      <c r="J1313" s="354"/>
    </row>
    <row r="1314" spans="9:10">
      <c r="I1314" s="354"/>
      <c r="J1314" s="354"/>
    </row>
    <row r="1315" spans="9:10">
      <c r="I1315" s="354"/>
      <c r="J1315" s="354"/>
    </row>
    <row r="1316" spans="9:10">
      <c r="I1316" s="354"/>
      <c r="J1316" s="354"/>
    </row>
    <row r="1317" spans="9:10">
      <c r="I1317" s="354"/>
      <c r="J1317" s="354"/>
    </row>
    <row r="1318" spans="9:10">
      <c r="I1318" s="354"/>
      <c r="J1318" s="354"/>
    </row>
    <row r="1319" spans="9:10">
      <c r="I1319" s="354"/>
      <c r="J1319" s="354"/>
    </row>
    <row r="1320" spans="9:10">
      <c r="I1320" s="354"/>
      <c r="J1320" s="354"/>
    </row>
    <row r="1321" spans="9:10">
      <c r="I1321" s="354"/>
      <c r="J1321" s="354"/>
    </row>
    <row r="1322" spans="9:10">
      <c r="I1322" s="354"/>
      <c r="J1322" s="354"/>
    </row>
    <row r="1323" spans="9:10">
      <c r="I1323" s="354"/>
      <c r="J1323" s="354"/>
    </row>
    <row r="1324" spans="9:10">
      <c r="I1324" s="354"/>
      <c r="J1324" s="354"/>
    </row>
    <row r="1325" spans="9:10">
      <c r="I1325" s="354"/>
      <c r="J1325" s="354"/>
    </row>
    <row r="1326" spans="9:10">
      <c r="I1326" s="354"/>
      <c r="J1326" s="354"/>
    </row>
    <row r="1327" spans="9:10">
      <c r="I1327" s="354"/>
      <c r="J1327" s="354"/>
    </row>
    <row r="1328" spans="9:10">
      <c r="I1328" s="354"/>
      <c r="J1328" s="354"/>
    </row>
    <row r="1329" spans="9:10">
      <c r="I1329" s="354"/>
      <c r="J1329" s="354"/>
    </row>
    <row r="1330" spans="9:10">
      <c r="I1330" s="354"/>
      <c r="J1330" s="354"/>
    </row>
    <row r="1331" spans="9:10">
      <c r="I1331" s="354"/>
      <c r="J1331" s="354"/>
    </row>
    <row r="1332" spans="9:10">
      <c r="I1332" s="354"/>
      <c r="J1332" s="354"/>
    </row>
    <row r="1333" spans="9:10">
      <c r="I1333" s="354"/>
      <c r="J1333" s="354"/>
    </row>
    <row r="1334" spans="9:10">
      <c r="I1334" s="354"/>
      <c r="J1334" s="354"/>
    </row>
    <row r="1335" spans="9:10">
      <c r="I1335" s="354"/>
      <c r="J1335" s="354"/>
    </row>
    <row r="1336" spans="9:10">
      <c r="I1336" s="354"/>
      <c r="J1336" s="354"/>
    </row>
    <row r="1337" spans="9:10">
      <c r="I1337" s="354"/>
      <c r="J1337" s="354"/>
    </row>
    <row r="1338" spans="9:10">
      <c r="I1338" s="354"/>
      <c r="J1338" s="354"/>
    </row>
    <row r="1339" spans="9:10">
      <c r="I1339" s="354"/>
      <c r="J1339" s="354"/>
    </row>
    <row r="1340" spans="9:10">
      <c r="I1340" s="354"/>
      <c r="J1340" s="354"/>
    </row>
    <row r="1341" spans="9:10">
      <c r="I1341" s="354"/>
      <c r="J1341" s="354"/>
    </row>
    <row r="1342" spans="9:10">
      <c r="I1342" s="354"/>
      <c r="J1342" s="354"/>
    </row>
    <row r="1343" spans="9:10">
      <c r="I1343" s="354"/>
      <c r="J1343" s="354"/>
    </row>
    <row r="1344" spans="9:10">
      <c r="I1344" s="354"/>
      <c r="J1344" s="354"/>
    </row>
    <row r="1345" spans="9:10">
      <c r="I1345" s="354"/>
      <c r="J1345" s="354"/>
    </row>
    <row r="1346" spans="9:10">
      <c r="I1346" s="354"/>
      <c r="J1346" s="354"/>
    </row>
    <row r="1347" spans="9:10">
      <c r="I1347" s="354"/>
      <c r="J1347" s="354"/>
    </row>
    <row r="1348" spans="9:10">
      <c r="I1348" s="354"/>
      <c r="J1348" s="354"/>
    </row>
    <row r="1349" spans="9:10">
      <c r="I1349" s="354"/>
      <c r="J1349" s="354"/>
    </row>
    <row r="1350" spans="9:10">
      <c r="I1350" s="354"/>
      <c r="J1350" s="354"/>
    </row>
    <row r="1351" spans="9:10">
      <c r="I1351" s="354"/>
      <c r="J1351" s="354"/>
    </row>
    <row r="1352" spans="9:10">
      <c r="I1352" s="354"/>
      <c r="J1352" s="354"/>
    </row>
    <row r="1353" spans="9:10">
      <c r="I1353" s="354"/>
      <c r="J1353" s="354"/>
    </row>
    <row r="1354" spans="9:10">
      <c r="I1354" s="354"/>
      <c r="J1354" s="354"/>
    </row>
    <row r="1355" spans="9:10">
      <c r="I1355" s="354"/>
      <c r="J1355" s="354"/>
    </row>
    <row r="1356" spans="9:10">
      <c r="I1356" s="354"/>
      <c r="J1356" s="354"/>
    </row>
    <row r="1357" spans="9:10">
      <c r="I1357" s="354"/>
      <c r="J1357" s="354"/>
    </row>
    <row r="1358" spans="9:10">
      <c r="I1358" s="354"/>
      <c r="J1358" s="354"/>
    </row>
    <row r="1359" spans="9:10">
      <c r="I1359" s="354"/>
      <c r="J1359" s="354"/>
    </row>
    <row r="1360" spans="9:10">
      <c r="I1360" s="354"/>
      <c r="J1360" s="354"/>
    </row>
    <row r="1361" spans="9:10">
      <c r="I1361" s="354"/>
      <c r="J1361" s="354"/>
    </row>
    <row r="1362" spans="9:10">
      <c r="I1362" s="354"/>
      <c r="J1362" s="354"/>
    </row>
    <row r="1363" spans="9:10">
      <c r="I1363" s="354"/>
      <c r="J1363" s="354"/>
    </row>
    <row r="1364" spans="9:10">
      <c r="I1364" s="354"/>
      <c r="J1364" s="354"/>
    </row>
    <row r="1365" spans="9:10">
      <c r="I1365" s="354"/>
      <c r="J1365" s="354"/>
    </row>
    <row r="1366" spans="9:10">
      <c r="I1366" s="354"/>
      <c r="J1366" s="354"/>
    </row>
    <row r="1367" spans="9:10">
      <c r="I1367" s="354"/>
      <c r="J1367" s="354"/>
    </row>
    <row r="1368" spans="9:10">
      <c r="I1368" s="354"/>
      <c r="J1368" s="354"/>
    </row>
    <row r="1369" spans="9:10">
      <c r="I1369" s="354"/>
      <c r="J1369" s="354"/>
    </row>
    <row r="1370" spans="9:10">
      <c r="I1370" s="354"/>
      <c r="J1370" s="354"/>
    </row>
    <row r="1371" spans="9:10">
      <c r="I1371" s="354"/>
      <c r="J1371" s="354"/>
    </row>
    <row r="1372" spans="9:10">
      <c r="I1372" s="354"/>
      <c r="J1372" s="354"/>
    </row>
    <row r="1373" spans="9:10">
      <c r="I1373" s="354"/>
      <c r="J1373" s="354"/>
    </row>
    <row r="1374" spans="9:10">
      <c r="I1374" s="354"/>
      <c r="J1374" s="354"/>
    </row>
    <row r="1375" spans="9:10">
      <c r="I1375" s="354"/>
      <c r="J1375" s="354"/>
    </row>
    <row r="1376" spans="9:10">
      <c r="I1376" s="354"/>
      <c r="J1376" s="354"/>
    </row>
    <row r="1377" spans="9:10">
      <c r="I1377" s="354"/>
      <c r="J1377" s="354"/>
    </row>
    <row r="1378" spans="9:10">
      <c r="I1378" s="354"/>
      <c r="J1378" s="354"/>
    </row>
    <row r="1379" spans="9:10">
      <c r="I1379" s="354"/>
      <c r="J1379" s="354"/>
    </row>
    <row r="1380" spans="9:10">
      <c r="I1380" s="354"/>
      <c r="J1380" s="354"/>
    </row>
    <row r="1381" spans="9:10">
      <c r="I1381" s="354"/>
      <c r="J1381" s="354"/>
    </row>
    <row r="1382" spans="9:10">
      <c r="I1382" s="354"/>
      <c r="J1382" s="354"/>
    </row>
    <row r="1383" spans="9:10">
      <c r="I1383" s="354"/>
      <c r="J1383" s="354"/>
    </row>
    <row r="1384" spans="9:10">
      <c r="I1384" s="354"/>
      <c r="J1384" s="354"/>
    </row>
    <row r="1385" spans="9:10">
      <c r="I1385" s="354"/>
      <c r="J1385" s="354"/>
    </row>
    <row r="1386" spans="9:10">
      <c r="I1386" s="354"/>
      <c r="J1386" s="354"/>
    </row>
    <row r="1387" spans="9:10">
      <c r="I1387" s="354"/>
      <c r="J1387" s="354"/>
    </row>
    <row r="1388" spans="9:10">
      <c r="I1388" s="354"/>
      <c r="J1388" s="354"/>
    </row>
    <row r="1389" spans="9:10">
      <c r="I1389" s="354"/>
      <c r="J1389" s="354"/>
    </row>
    <row r="1390" spans="9:10">
      <c r="I1390" s="354"/>
      <c r="J1390" s="354"/>
    </row>
    <row r="1391" spans="9:10">
      <c r="I1391" s="354"/>
      <c r="J1391" s="354"/>
    </row>
    <row r="1392" spans="9:10">
      <c r="I1392" s="354"/>
      <c r="J1392" s="354"/>
    </row>
    <row r="1393" spans="9:10">
      <c r="I1393" s="354"/>
      <c r="J1393" s="354"/>
    </row>
    <row r="1394" spans="9:10">
      <c r="I1394" s="354"/>
      <c r="J1394" s="354"/>
    </row>
    <row r="1395" spans="9:10">
      <c r="I1395" s="354"/>
      <c r="J1395" s="354"/>
    </row>
    <row r="1396" spans="9:10">
      <c r="I1396" s="354"/>
      <c r="J1396" s="354"/>
    </row>
    <row r="1397" spans="9:10">
      <c r="I1397" s="354"/>
      <c r="J1397" s="354"/>
    </row>
    <row r="1398" spans="9:10">
      <c r="I1398" s="354"/>
      <c r="J1398" s="354"/>
    </row>
    <row r="1399" spans="9:10">
      <c r="I1399" s="354"/>
      <c r="J1399" s="354"/>
    </row>
    <row r="1400" spans="9:10">
      <c r="I1400" s="354"/>
      <c r="J1400" s="354"/>
    </row>
    <row r="1401" spans="9:10">
      <c r="I1401" s="354"/>
      <c r="J1401" s="354"/>
    </row>
    <row r="1402" spans="9:10">
      <c r="I1402" s="354"/>
      <c r="J1402" s="354"/>
    </row>
    <row r="1403" spans="9:10">
      <c r="I1403" s="354"/>
      <c r="J1403" s="354"/>
    </row>
    <row r="1404" spans="9:10">
      <c r="I1404" s="354"/>
      <c r="J1404" s="354"/>
    </row>
    <row r="1405" spans="9:10">
      <c r="I1405" s="354"/>
      <c r="J1405" s="354"/>
    </row>
    <row r="1406" spans="9:10">
      <c r="I1406" s="354"/>
      <c r="J1406" s="354"/>
    </row>
    <row r="1407" spans="9:10">
      <c r="I1407" s="354"/>
      <c r="J1407" s="354"/>
    </row>
    <row r="1408" spans="9:10">
      <c r="I1408" s="354"/>
      <c r="J1408" s="354"/>
    </row>
    <row r="1409" spans="9:10">
      <c r="I1409" s="354"/>
      <c r="J1409" s="354"/>
    </row>
    <row r="1410" spans="9:10">
      <c r="I1410" s="354"/>
      <c r="J1410" s="354"/>
    </row>
    <row r="1411" spans="9:10">
      <c r="I1411" s="354"/>
      <c r="J1411" s="354"/>
    </row>
    <row r="1412" spans="9:10">
      <c r="I1412" s="354"/>
      <c r="J1412" s="354"/>
    </row>
    <row r="1413" spans="9:10">
      <c r="I1413" s="354"/>
      <c r="J1413" s="354"/>
    </row>
    <row r="1414" spans="9:10">
      <c r="I1414" s="354"/>
      <c r="J1414" s="354"/>
    </row>
    <row r="1415" spans="9:10">
      <c r="I1415" s="354"/>
      <c r="J1415" s="354"/>
    </row>
    <row r="1416" spans="9:10">
      <c r="I1416" s="354"/>
      <c r="J1416" s="354"/>
    </row>
    <row r="1417" spans="9:10">
      <c r="I1417" s="354"/>
      <c r="J1417" s="354"/>
    </row>
    <row r="1418" spans="9:10">
      <c r="I1418" s="354"/>
      <c r="J1418" s="354"/>
    </row>
    <row r="1419" spans="9:10">
      <c r="I1419" s="354"/>
      <c r="J1419" s="354"/>
    </row>
    <row r="1420" spans="9:10">
      <c r="I1420" s="354"/>
      <c r="J1420" s="354"/>
    </row>
    <row r="1421" spans="9:10">
      <c r="I1421" s="354"/>
      <c r="J1421" s="354"/>
    </row>
    <row r="1422" spans="9:10">
      <c r="I1422" s="354"/>
      <c r="J1422" s="354"/>
    </row>
    <row r="1423" spans="9:10">
      <c r="I1423" s="354"/>
      <c r="J1423" s="354"/>
    </row>
    <row r="1424" spans="9:10">
      <c r="I1424" s="354"/>
      <c r="J1424" s="354"/>
    </row>
    <row r="1425" spans="9:10">
      <c r="I1425" s="354"/>
      <c r="J1425" s="354"/>
    </row>
    <row r="1426" spans="9:10">
      <c r="I1426" s="354"/>
      <c r="J1426" s="354"/>
    </row>
    <row r="1427" spans="9:10">
      <c r="I1427" s="354"/>
      <c r="J1427" s="354"/>
    </row>
    <row r="1428" spans="9:10">
      <c r="I1428" s="354"/>
      <c r="J1428" s="354"/>
    </row>
    <row r="1429" spans="9:10">
      <c r="I1429" s="354"/>
      <c r="J1429" s="354"/>
    </row>
    <row r="1430" spans="9:10">
      <c r="I1430" s="354"/>
      <c r="J1430" s="354"/>
    </row>
    <row r="1431" spans="9:10">
      <c r="I1431" s="354"/>
      <c r="J1431" s="354"/>
    </row>
    <row r="1432" spans="9:10">
      <c r="I1432" s="354"/>
      <c r="J1432" s="354"/>
    </row>
    <row r="1433" spans="9:10">
      <c r="I1433" s="354"/>
      <c r="J1433" s="354"/>
    </row>
    <row r="1434" spans="9:10">
      <c r="I1434" s="354"/>
      <c r="J1434" s="354"/>
    </row>
    <row r="1435" spans="9:10">
      <c r="I1435" s="354"/>
      <c r="J1435" s="354"/>
    </row>
    <row r="1436" spans="9:10">
      <c r="I1436" s="354"/>
      <c r="J1436" s="354"/>
    </row>
    <row r="1437" spans="9:10">
      <c r="I1437" s="354"/>
      <c r="J1437" s="354"/>
    </row>
    <row r="1438" spans="9:10">
      <c r="I1438" s="354"/>
      <c r="J1438" s="354"/>
    </row>
    <row r="1439" spans="9:10">
      <c r="I1439" s="354"/>
      <c r="J1439" s="354"/>
    </row>
    <row r="1440" spans="9:10">
      <c r="I1440" s="354"/>
      <c r="J1440" s="354"/>
    </row>
    <row r="1441" spans="9:10">
      <c r="I1441" s="354"/>
      <c r="J1441" s="354"/>
    </row>
    <row r="1442" spans="9:10">
      <c r="I1442" s="354"/>
      <c r="J1442" s="354"/>
    </row>
    <row r="1443" spans="9:10">
      <c r="I1443" s="354"/>
      <c r="J1443" s="354"/>
    </row>
    <row r="1444" spans="9:10">
      <c r="I1444" s="354"/>
      <c r="J1444" s="354"/>
    </row>
    <row r="1445" spans="9:10">
      <c r="I1445" s="354"/>
      <c r="J1445" s="354"/>
    </row>
    <row r="1446" spans="9:10">
      <c r="I1446" s="354"/>
      <c r="J1446" s="354"/>
    </row>
    <row r="1447" spans="9:10">
      <c r="I1447" s="354"/>
      <c r="J1447" s="354"/>
    </row>
    <row r="1448" spans="9:10">
      <c r="I1448" s="354"/>
      <c r="J1448" s="354"/>
    </row>
    <row r="1449" spans="9:10">
      <c r="I1449" s="354"/>
      <c r="J1449" s="354"/>
    </row>
    <row r="1450" spans="9:10">
      <c r="I1450" s="354"/>
      <c r="J1450" s="354"/>
    </row>
    <row r="1451" spans="9:10">
      <c r="I1451" s="354"/>
      <c r="J1451" s="354"/>
    </row>
    <row r="1452" spans="9:10">
      <c r="I1452" s="354"/>
      <c r="J1452" s="354"/>
    </row>
    <row r="1453" spans="9:10">
      <c r="I1453" s="354"/>
      <c r="J1453" s="354"/>
    </row>
    <row r="1454" spans="9:10">
      <c r="I1454" s="354"/>
      <c r="J1454" s="354"/>
    </row>
    <row r="1455" spans="9:10">
      <c r="I1455" s="354"/>
      <c r="J1455" s="354"/>
    </row>
    <row r="1456" spans="9:10">
      <c r="I1456" s="354"/>
      <c r="J1456" s="354"/>
    </row>
    <row r="1457" spans="9:10">
      <c r="I1457" s="354"/>
      <c r="J1457" s="354"/>
    </row>
    <row r="1458" spans="9:10">
      <c r="I1458" s="354"/>
      <c r="J1458" s="354"/>
    </row>
    <row r="1459" spans="9:10">
      <c r="I1459" s="354"/>
      <c r="J1459" s="354"/>
    </row>
    <row r="1460" spans="9:10">
      <c r="I1460" s="354"/>
      <c r="J1460" s="354"/>
    </row>
    <row r="1461" spans="9:10">
      <c r="I1461" s="354"/>
      <c r="J1461" s="354"/>
    </row>
    <row r="1462" spans="9:10">
      <c r="I1462" s="354"/>
      <c r="J1462" s="354"/>
    </row>
    <row r="1463" spans="9:10">
      <c r="I1463" s="354"/>
      <c r="J1463" s="354"/>
    </row>
    <row r="1464" spans="9:10">
      <c r="I1464" s="354"/>
      <c r="J1464" s="354"/>
    </row>
    <row r="1465" spans="9:10">
      <c r="I1465" s="354"/>
      <c r="J1465" s="354"/>
    </row>
    <row r="1466" spans="9:10">
      <c r="I1466" s="354"/>
      <c r="J1466" s="354"/>
    </row>
    <row r="1467" spans="9:10">
      <c r="I1467" s="354"/>
      <c r="J1467" s="354"/>
    </row>
    <row r="1468" spans="9:10">
      <c r="I1468" s="354"/>
      <c r="J1468" s="354"/>
    </row>
    <row r="1469" spans="9:10">
      <c r="I1469" s="354"/>
      <c r="J1469" s="354"/>
    </row>
    <row r="1470" spans="9:10">
      <c r="I1470" s="354"/>
      <c r="J1470" s="354"/>
    </row>
    <row r="1471" spans="9:10">
      <c r="I1471" s="354"/>
      <c r="J1471" s="354"/>
    </row>
    <row r="1472" spans="9:10">
      <c r="I1472" s="354"/>
      <c r="J1472" s="354"/>
    </row>
    <row r="1473" spans="9:10">
      <c r="I1473" s="354"/>
      <c r="J1473" s="354"/>
    </row>
    <row r="1474" spans="9:10">
      <c r="I1474" s="354"/>
      <c r="J1474" s="354"/>
    </row>
    <row r="1475" spans="9:10">
      <c r="I1475" s="354"/>
      <c r="J1475" s="354"/>
    </row>
    <row r="1476" spans="9:10">
      <c r="I1476" s="354"/>
      <c r="J1476" s="354"/>
    </row>
    <row r="1477" spans="9:10">
      <c r="I1477" s="354"/>
      <c r="J1477" s="354"/>
    </row>
    <row r="1478" spans="9:10">
      <c r="I1478" s="354"/>
      <c r="J1478" s="354"/>
    </row>
    <row r="1479" spans="9:10">
      <c r="I1479" s="354"/>
      <c r="J1479" s="354"/>
    </row>
    <row r="1480" spans="9:10">
      <c r="I1480" s="354"/>
      <c r="J1480" s="354"/>
    </row>
    <row r="1481" spans="9:10">
      <c r="I1481" s="354"/>
      <c r="J1481" s="354"/>
    </row>
    <row r="1482" spans="9:10">
      <c r="I1482" s="354"/>
      <c r="J1482" s="354"/>
    </row>
    <row r="1483" spans="9:10">
      <c r="I1483" s="354"/>
      <c r="J1483" s="354"/>
    </row>
    <row r="1484" spans="9:10">
      <c r="I1484" s="354"/>
      <c r="J1484" s="354"/>
    </row>
    <row r="1485" spans="9:10">
      <c r="I1485" s="354"/>
      <c r="J1485" s="354"/>
    </row>
    <row r="1486" spans="9:10">
      <c r="I1486" s="354"/>
      <c r="J1486" s="354"/>
    </row>
    <row r="1487" spans="9:10">
      <c r="I1487" s="354"/>
      <c r="J1487" s="354"/>
    </row>
    <row r="1488" spans="9:10">
      <c r="I1488" s="354"/>
      <c r="J1488" s="354"/>
    </row>
    <row r="1489" spans="9:10">
      <c r="I1489" s="354"/>
      <c r="J1489" s="354"/>
    </row>
    <row r="1490" spans="9:10">
      <c r="I1490" s="354"/>
      <c r="J1490" s="354"/>
    </row>
    <row r="1491" spans="9:10">
      <c r="I1491" s="354"/>
      <c r="J1491" s="354"/>
    </row>
    <row r="1492" spans="9:10">
      <c r="I1492" s="354"/>
      <c r="J1492" s="354"/>
    </row>
    <row r="1493" spans="9:10">
      <c r="I1493" s="354"/>
      <c r="J1493" s="354"/>
    </row>
    <row r="1494" spans="9:10">
      <c r="I1494" s="354"/>
      <c r="J1494" s="354"/>
    </row>
    <row r="1495" spans="9:10">
      <c r="I1495" s="354"/>
      <c r="J1495" s="354"/>
    </row>
    <row r="1496" spans="9:10">
      <c r="I1496" s="354"/>
      <c r="J1496" s="354"/>
    </row>
    <row r="1497" spans="9:10">
      <c r="I1497" s="354"/>
      <c r="J1497" s="354"/>
    </row>
    <row r="1498" spans="9:10">
      <c r="I1498" s="354"/>
      <c r="J1498" s="354"/>
    </row>
    <row r="1499" spans="9:10">
      <c r="I1499" s="354"/>
      <c r="J1499" s="354"/>
    </row>
    <row r="1500" spans="9:10">
      <c r="I1500" s="354"/>
      <c r="J1500" s="354"/>
    </row>
    <row r="1501" spans="9:10">
      <c r="I1501" s="354"/>
      <c r="J1501" s="354"/>
    </row>
    <row r="1502" spans="9:10">
      <c r="I1502" s="354"/>
      <c r="J1502" s="354"/>
    </row>
    <row r="1503" spans="9:10">
      <c r="I1503" s="354"/>
      <c r="J1503" s="354"/>
    </row>
    <row r="1504" spans="9:10">
      <c r="I1504" s="354"/>
      <c r="J1504" s="354"/>
    </row>
    <row r="1505" spans="9:10">
      <c r="I1505" s="354"/>
      <c r="J1505" s="354"/>
    </row>
    <row r="1506" spans="9:10">
      <c r="I1506" s="354"/>
      <c r="J1506" s="354"/>
    </row>
    <row r="1507" spans="9:10">
      <c r="I1507" s="354"/>
      <c r="J1507" s="354"/>
    </row>
    <row r="1508" spans="9:10">
      <c r="I1508" s="354"/>
      <c r="J1508" s="354"/>
    </row>
    <row r="1509" spans="9:10">
      <c r="I1509" s="354"/>
      <c r="J1509" s="354"/>
    </row>
    <row r="1510" spans="9:10">
      <c r="I1510" s="354"/>
      <c r="J1510" s="354"/>
    </row>
    <row r="1511" spans="9:10">
      <c r="I1511" s="354"/>
      <c r="J1511" s="354"/>
    </row>
    <row r="1512" spans="9:10">
      <c r="I1512" s="354"/>
      <c r="J1512" s="354"/>
    </row>
    <row r="1513" spans="9:10">
      <c r="I1513" s="354"/>
      <c r="J1513" s="354"/>
    </row>
    <row r="1514" spans="9:10">
      <c r="I1514" s="354"/>
      <c r="J1514" s="354"/>
    </row>
    <row r="1515" spans="9:10">
      <c r="I1515" s="354"/>
      <c r="J1515" s="354"/>
    </row>
    <row r="1516" spans="9:10">
      <c r="I1516" s="354"/>
      <c r="J1516" s="354"/>
    </row>
    <row r="1517" spans="9:10">
      <c r="I1517" s="354"/>
      <c r="J1517" s="354"/>
    </row>
    <row r="1518" spans="9:10">
      <c r="I1518" s="354"/>
      <c r="J1518" s="354"/>
    </row>
    <row r="1519" spans="9:10">
      <c r="I1519" s="354"/>
      <c r="J1519" s="354"/>
    </row>
    <row r="1520" spans="9:10">
      <c r="I1520" s="354"/>
      <c r="J1520" s="354"/>
    </row>
    <row r="1521" spans="9:10">
      <c r="I1521" s="354"/>
      <c r="J1521" s="354"/>
    </row>
    <row r="1522" spans="9:10">
      <c r="I1522" s="354"/>
      <c r="J1522" s="354"/>
    </row>
    <row r="1523" spans="9:10">
      <c r="I1523" s="354"/>
      <c r="J1523" s="354"/>
    </row>
    <row r="1524" spans="9:10">
      <c r="I1524" s="354"/>
      <c r="J1524" s="354"/>
    </row>
    <row r="1525" spans="9:10">
      <c r="I1525" s="354"/>
      <c r="J1525" s="354"/>
    </row>
    <row r="1526" spans="9:10">
      <c r="I1526" s="354"/>
      <c r="J1526" s="354"/>
    </row>
    <row r="1527" spans="9:10">
      <c r="I1527" s="354"/>
      <c r="J1527" s="354"/>
    </row>
    <row r="1528" spans="9:10">
      <c r="I1528" s="354"/>
      <c r="J1528" s="354"/>
    </row>
    <row r="1529" spans="9:10">
      <c r="I1529" s="354"/>
      <c r="J1529" s="354"/>
    </row>
    <row r="1530" spans="9:10">
      <c r="I1530" s="354"/>
      <c r="J1530" s="354"/>
    </row>
    <row r="1531" spans="9:10">
      <c r="I1531" s="354"/>
      <c r="J1531" s="354"/>
    </row>
    <row r="1532" spans="9:10">
      <c r="I1532" s="354"/>
      <c r="J1532" s="354"/>
    </row>
    <row r="1533" spans="9:10">
      <c r="I1533" s="354"/>
      <c r="J1533" s="354"/>
    </row>
    <row r="1534" spans="9:10">
      <c r="I1534" s="354"/>
      <c r="J1534" s="354"/>
    </row>
    <row r="1535" spans="9:10">
      <c r="I1535" s="354"/>
      <c r="J1535" s="354"/>
    </row>
    <row r="1536" spans="9:10">
      <c r="I1536" s="354"/>
      <c r="J1536" s="354"/>
    </row>
    <row r="1537" spans="9:10">
      <c r="I1537" s="354"/>
      <c r="J1537" s="354"/>
    </row>
    <row r="1538" spans="9:10">
      <c r="I1538" s="354"/>
      <c r="J1538" s="354"/>
    </row>
    <row r="1539" spans="9:10">
      <c r="I1539" s="354"/>
      <c r="J1539" s="354"/>
    </row>
    <row r="1540" spans="9:10">
      <c r="I1540" s="354"/>
      <c r="J1540" s="354"/>
    </row>
    <row r="1541" spans="9:10">
      <c r="I1541" s="354"/>
      <c r="J1541" s="354"/>
    </row>
    <row r="1542" spans="9:10">
      <c r="I1542" s="354"/>
      <c r="J1542" s="354"/>
    </row>
    <row r="1543" spans="9:10">
      <c r="I1543" s="354"/>
      <c r="J1543" s="354"/>
    </row>
    <row r="1544" spans="9:10">
      <c r="I1544" s="354"/>
      <c r="J1544" s="354"/>
    </row>
    <row r="1545" spans="9:10">
      <c r="I1545" s="354"/>
      <c r="J1545" s="354"/>
    </row>
    <row r="1546" spans="9:10">
      <c r="I1546" s="354"/>
      <c r="J1546" s="354"/>
    </row>
    <row r="1547" spans="9:10">
      <c r="I1547" s="354"/>
      <c r="J1547" s="354"/>
    </row>
    <row r="1548" spans="9:10">
      <c r="I1548" s="354"/>
      <c r="J1548" s="354"/>
    </row>
    <row r="1549" spans="9:10">
      <c r="I1549" s="354"/>
      <c r="J1549" s="354"/>
    </row>
    <row r="1550" spans="9:10">
      <c r="I1550" s="354"/>
      <c r="J1550" s="354"/>
    </row>
    <row r="1551" spans="9:10">
      <c r="I1551" s="354"/>
      <c r="J1551" s="354"/>
    </row>
    <row r="1552" spans="9:10">
      <c r="I1552" s="354"/>
      <c r="J1552" s="354"/>
    </row>
    <row r="1553" spans="9:10">
      <c r="I1553" s="354"/>
      <c r="J1553" s="354"/>
    </row>
    <row r="1554" spans="9:10">
      <c r="I1554" s="354"/>
      <c r="J1554" s="354"/>
    </row>
    <row r="1555" spans="9:10">
      <c r="I1555" s="354"/>
      <c r="J1555" s="354"/>
    </row>
    <row r="1556" spans="9:10">
      <c r="I1556" s="354"/>
      <c r="J1556" s="354"/>
    </row>
    <row r="1557" spans="9:10">
      <c r="I1557" s="354"/>
      <c r="J1557" s="354"/>
    </row>
    <row r="1558" spans="9:10">
      <c r="I1558" s="354"/>
      <c r="J1558" s="354"/>
    </row>
    <row r="1559" spans="9:10">
      <c r="I1559" s="354"/>
      <c r="J1559" s="354"/>
    </row>
    <row r="1560" spans="9:10">
      <c r="I1560" s="354"/>
      <c r="J1560" s="354"/>
    </row>
    <row r="1561" spans="9:10">
      <c r="I1561" s="354"/>
      <c r="J1561" s="354"/>
    </row>
    <row r="1562" spans="9:10">
      <c r="I1562" s="354"/>
      <c r="J1562" s="354"/>
    </row>
    <row r="1563" spans="9:10">
      <c r="I1563" s="354"/>
      <c r="J1563" s="354"/>
    </row>
    <row r="1564" spans="9:10">
      <c r="I1564" s="354"/>
      <c r="J1564" s="354"/>
    </row>
    <row r="1565" spans="9:10">
      <c r="I1565" s="354"/>
      <c r="J1565" s="354"/>
    </row>
    <row r="1566" spans="9:10">
      <c r="I1566" s="354"/>
      <c r="J1566" s="354"/>
    </row>
    <row r="1567" spans="9:10">
      <c r="I1567" s="354"/>
      <c r="J1567" s="354"/>
    </row>
    <row r="1568" spans="9:10">
      <c r="I1568" s="354"/>
      <c r="J1568" s="354"/>
    </row>
    <row r="1569" spans="9:10">
      <c r="I1569" s="354"/>
      <c r="J1569" s="354"/>
    </row>
    <row r="1570" spans="9:10">
      <c r="I1570" s="354"/>
      <c r="J1570" s="354"/>
    </row>
    <row r="1571" spans="9:10">
      <c r="I1571" s="354"/>
      <c r="J1571" s="354"/>
    </row>
    <row r="1572" spans="9:10">
      <c r="I1572" s="354"/>
      <c r="J1572" s="354"/>
    </row>
    <row r="1573" spans="9:10">
      <c r="I1573" s="354"/>
      <c r="J1573" s="354"/>
    </row>
    <row r="1574" spans="9:10">
      <c r="I1574" s="354"/>
      <c r="J1574" s="354"/>
    </row>
    <row r="1575" spans="9:10">
      <c r="I1575" s="354"/>
      <c r="J1575" s="354"/>
    </row>
    <row r="1576" spans="9:10">
      <c r="I1576" s="354"/>
      <c r="J1576" s="354"/>
    </row>
    <row r="1577" spans="9:10">
      <c r="I1577" s="354"/>
      <c r="J1577" s="354"/>
    </row>
    <row r="1578" spans="9:10">
      <c r="I1578" s="354"/>
      <c r="J1578" s="354"/>
    </row>
    <row r="1579" spans="9:10">
      <c r="I1579" s="354"/>
      <c r="J1579" s="354"/>
    </row>
    <row r="1580" spans="9:10">
      <c r="I1580" s="354"/>
      <c r="J1580" s="354"/>
    </row>
    <row r="1581" spans="9:10">
      <c r="I1581" s="354"/>
      <c r="J1581" s="354"/>
    </row>
    <row r="1582" spans="9:10">
      <c r="I1582" s="354"/>
      <c r="J1582" s="354"/>
    </row>
    <row r="1583" spans="9:10">
      <c r="I1583" s="354"/>
      <c r="J1583" s="354"/>
    </row>
    <row r="1584" spans="9:10">
      <c r="I1584" s="354"/>
      <c r="J1584" s="354"/>
    </row>
    <row r="1585" spans="9:10">
      <c r="I1585" s="354"/>
      <c r="J1585" s="354"/>
    </row>
    <row r="1586" spans="9:10">
      <c r="I1586" s="354"/>
      <c r="J1586" s="354"/>
    </row>
    <row r="1587" spans="9:10">
      <c r="I1587" s="354"/>
      <c r="J1587" s="354"/>
    </row>
    <row r="1588" spans="9:10">
      <c r="I1588" s="354"/>
      <c r="J1588" s="354"/>
    </row>
    <row r="1589" spans="9:10">
      <c r="I1589" s="354"/>
      <c r="J1589" s="354"/>
    </row>
    <row r="1590" spans="9:10">
      <c r="I1590" s="354"/>
      <c r="J1590" s="354"/>
    </row>
    <row r="1591" spans="9:10">
      <c r="I1591" s="354"/>
      <c r="J1591" s="354"/>
    </row>
    <row r="1592" spans="9:10">
      <c r="I1592" s="354"/>
      <c r="J1592" s="354"/>
    </row>
    <row r="1593" spans="9:10">
      <c r="I1593" s="354"/>
      <c r="J1593" s="354"/>
    </row>
    <row r="1594" spans="9:10">
      <c r="I1594" s="354"/>
      <c r="J1594" s="354"/>
    </row>
    <row r="1595" spans="9:10">
      <c r="I1595" s="354"/>
      <c r="J1595" s="354"/>
    </row>
    <row r="1596" spans="9:10">
      <c r="I1596" s="354"/>
      <c r="J1596" s="354"/>
    </row>
    <row r="1597" spans="9:10">
      <c r="I1597" s="354"/>
      <c r="J1597" s="354"/>
    </row>
    <row r="1598" spans="9:10">
      <c r="I1598" s="354"/>
      <c r="J1598" s="354"/>
    </row>
    <row r="1599" spans="9:10">
      <c r="I1599" s="354"/>
      <c r="J1599" s="354"/>
    </row>
    <row r="1600" spans="9:10">
      <c r="I1600" s="354"/>
      <c r="J1600" s="354"/>
    </row>
    <row r="1601" spans="9:10">
      <c r="I1601" s="354"/>
      <c r="J1601" s="354"/>
    </row>
    <row r="1602" spans="9:10">
      <c r="I1602" s="354"/>
      <c r="J1602" s="354"/>
    </row>
    <row r="1603" spans="9:10">
      <c r="I1603" s="354"/>
      <c r="J1603" s="354"/>
    </row>
    <row r="1604" spans="9:10">
      <c r="I1604" s="354"/>
      <c r="J1604" s="354"/>
    </row>
    <row r="1605" spans="9:10">
      <c r="I1605" s="354"/>
      <c r="J1605" s="354"/>
    </row>
    <row r="1606" spans="9:10">
      <c r="I1606" s="354"/>
      <c r="J1606" s="354"/>
    </row>
    <row r="1607" spans="9:10">
      <c r="I1607" s="354"/>
      <c r="J1607" s="354"/>
    </row>
    <row r="1608" spans="9:10">
      <c r="I1608" s="354"/>
      <c r="J1608" s="354"/>
    </row>
    <row r="1609" spans="9:10">
      <c r="I1609" s="354"/>
      <c r="J1609" s="354"/>
    </row>
    <row r="1610" spans="9:10">
      <c r="I1610" s="354"/>
      <c r="J1610" s="354"/>
    </row>
    <row r="1611" spans="9:10">
      <c r="I1611" s="354"/>
      <c r="J1611" s="354"/>
    </row>
    <row r="1612" spans="9:10">
      <c r="I1612" s="354"/>
      <c r="J1612" s="354"/>
    </row>
    <row r="1613" spans="9:10">
      <c r="I1613" s="354"/>
      <c r="J1613" s="354"/>
    </row>
    <row r="1614" spans="9:10">
      <c r="I1614" s="354"/>
      <c r="J1614" s="354"/>
    </row>
    <row r="1615" spans="9:10">
      <c r="I1615" s="354"/>
      <c r="J1615" s="354"/>
    </row>
    <row r="1616" spans="9:10">
      <c r="I1616" s="354"/>
      <c r="J1616" s="354"/>
    </row>
    <row r="1617" spans="9:10">
      <c r="I1617" s="354"/>
      <c r="J1617" s="354"/>
    </row>
    <row r="1618" spans="9:10">
      <c r="I1618" s="354"/>
      <c r="J1618" s="354"/>
    </row>
    <row r="1619" spans="9:10">
      <c r="I1619" s="354"/>
      <c r="J1619" s="354"/>
    </row>
    <row r="1620" spans="9:10">
      <c r="I1620" s="354"/>
      <c r="J1620" s="354"/>
    </row>
    <row r="1621" spans="9:10">
      <c r="I1621" s="354"/>
      <c r="J1621" s="354"/>
    </row>
    <row r="1622" spans="9:10">
      <c r="I1622" s="354"/>
      <c r="J1622" s="354"/>
    </row>
    <row r="1623" spans="9:10">
      <c r="I1623" s="354"/>
      <c r="J1623" s="354"/>
    </row>
    <row r="1624" spans="9:10">
      <c r="I1624" s="354"/>
      <c r="J1624" s="354"/>
    </row>
    <row r="1625" spans="9:10">
      <c r="I1625" s="354"/>
      <c r="J1625" s="354"/>
    </row>
    <row r="1626" spans="9:10">
      <c r="I1626" s="354"/>
      <c r="J1626" s="354"/>
    </row>
    <row r="1627" spans="9:10">
      <c r="I1627" s="354"/>
      <c r="J1627" s="354"/>
    </row>
    <row r="1628" spans="9:10">
      <c r="I1628" s="354"/>
      <c r="J1628" s="354"/>
    </row>
    <row r="1629" spans="9:10">
      <c r="I1629" s="354"/>
      <c r="J1629" s="354"/>
    </row>
    <row r="1630" spans="9:10">
      <c r="I1630" s="354"/>
      <c r="J1630" s="354"/>
    </row>
    <row r="1631" spans="9:10">
      <c r="I1631" s="354"/>
      <c r="J1631" s="354"/>
    </row>
    <row r="1632" spans="9:10">
      <c r="I1632" s="354"/>
      <c r="J1632" s="354"/>
    </row>
    <row r="1633" spans="9:10">
      <c r="I1633" s="354"/>
      <c r="J1633" s="354"/>
    </row>
    <row r="1634" spans="9:10">
      <c r="I1634" s="354"/>
      <c r="J1634" s="354"/>
    </row>
    <row r="1635" spans="9:10">
      <c r="I1635" s="354"/>
      <c r="J1635" s="354"/>
    </row>
    <row r="1636" spans="9:10">
      <c r="I1636" s="354"/>
      <c r="J1636" s="354"/>
    </row>
    <row r="1637" spans="9:10">
      <c r="I1637" s="354"/>
      <c r="J1637" s="354"/>
    </row>
    <row r="1638" spans="9:10">
      <c r="I1638" s="354"/>
      <c r="J1638" s="354"/>
    </row>
    <row r="1639" spans="9:10">
      <c r="I1639" s="354"/>
      <c r="J1639" s="354"/>
    </row>
    <row r="1640" spans="9:10">
      <c r="I1640" s="354"/>
      <c r="J1640" s="354"/>
    </row>
    <row r="1641" spans="9:10">
      <c r="I1641" s="354"/>
      <c r="J1641" s="354"/>
    </row>
    <row r="1642" spans="9:10">
      <c r="I1642" s="354"/>
      <c r="J1642" s="354"/>
    </row>
    <row r="1643" spans="9:10">
      <c r="I1643" s="354"/>
      <c r="J1643" s="354"/>
    </row>
    <row r="1644" spans="9:10">
      <c r="I1644" s="354"/>
      <c r="J1644" s="354"/>
    </row>
    <row r="1645" spans="9:10">
      <c r="I1645" s="354"/>
      <c r="J1645" s="354"/>
    </row>
    <row r="1646" spans="9:10">
      <c r="I1646" s="354"/>
      <c r="J1646" s="354"/>
    </row>
    <row r="1647" spans="9:10">
      <c r="I1647" s="354"/>
      <c r="J1647" s="354"/>
    </row>
    <row r="1648" spans="9:10">
      <c r="I1648" s="354"/>
      <c r="J1648" s="354"/>
    </row>
    <row r="1649" spans="9:10">
      <c r="I1649" s="354"/>
      <c r="J1649" s="354"/>
    </row>
    <row r="1650" spans="9:10">
      <c r="I1650" s="354"/>
      <c r="J1650" s="354"/>
    </row>
    <row r="1651" spans="9:10">
      <c r="I1651" s="354"/>
      <c r="J1651" s="354"/>
    </row>
    <row r="1652" spans="9:10">
      <c r="I1652" s="354"/>
      <c r="J1652" s="354"/>
    </row>
    <row r="1653" spans="9:10">
      <c r="I1653" s="354"/>
      <c r="J1653" s="354"/>
    </row>
    <row r="1654" spans="9:10">
      <c r="I1654" s="354"/>
      <c r="J1654" s="354"/>
    </row>
    <row r="1655" spans="9:10">
      <c r="I1655" s="354"/>
      <c r="J1655" s="354"/>
    </row>
    <row r="1656" spans="9:10">
      <c r="I1656" s="354"/>
      <c r="J1656" s="354"/>
    </row>
    <row r="1657" spans="9:10">
      <c r="I1657" s="354"/>
      <c r="J1657" s="354"/>
    </row>
    <row r="1658" spans="9:10">
      <c r="I1658" s="354"/>
      <c r="J1658" s="354"/>
    </row>
    <row r="1659" spans="9:10">
      <c r="I1659" s="354"/>
      <c r="J1659" s="354"/>
    </row>
    <row r="1660" spans="9:10">
      <c r="I1660" s="354"/>
      <c r="J1660" s="354"/>
    </row>
    <row r="1661" spans="9:10">
      <c r="I1661" s="354"/>
      <c r="J1661" s="354"/>
    </row>
    <row r="1662" spans="9:10">
      <c r="I1662" s="354"/>
      <c r="J1662" s="354"/>
    </row>
    <row r="1663" spans="9:10">
      <c r="I1663" s="354"/>
      <c r="J1663" s="354"/>
    </row>
    <row r="1664" spans="9:10">
      <c r="I1664" s="354"/>
      <c r="J1664" s="354"/>
    </row>
    <row r="1665" spans="9:10">
      <c r="I1665" s="354"/>
      <c r="J1665" s="354"/>
    </row>
    <row r="1666" spans="9:10">
      <c r="I1666" s="354"/>
      <c r="J1666" s="354"/>
    </row>
    <row r="1667" spans="9:10">
      <c r="I1667" s="354"/>
      <c r="J1667" s="354"/>
    </row>
    <row r="1668" spans="9:10">
      <c r="I1668" s="354"/>
      <c r="J1668" s="354"/>
    </row>
    <row r="1669" spans="9:10">
      <c r="I1669" s="354"/>
      <c r="J1669" s="354"/>
    </row>
    <row r="1670" spans="9:10">
      <c r="I1670" s="354"/>
      <c r="J1670" s="354"/>
    </row>
    <row r="1671" spans="9:10">
      <c r="I1671" s="354"/>
      <c r="J1671" s="354"/>
    </row>
    <row r="1672" spans="9:10">
      <c r="I1672" s="354"/>
      <c r="J1672" s="354"/>
    </row>
    <row r="1673" spans="9:10">
      <c r="I1673" s="354"/>
      <c r="J1673" s="354"/>
    </row>
    <row r="1674" spans="9:10">
      <c r="I1674" s="354"/>
      <c r="J1674" s="354"/>
    </row>
    <row r="1675" spans="9:10">
      <c r="I1675" s="354"/>
      <c r="J1675" s="354"/>
    </row>
    <row r="1676" spans="9:10">
      <c r="I1676" s="354"/>
      <c r="J1676" s="354"/>
    </row>
    <row r="1677" spans="9:10">
      <c r="I1677" s="354"/>
      <c r="J1677" s="354"/>
    </row>
    <row r="1678" spans="9:10">
      <c r="I1678" s="354"/>
      <c r="J1678" s="354"/>
    </row>
    <row r="1679" spans="9:10">
      <c r="I1679" s="354"/>
      <c r="J1679" s="354"/>
    </row>
    <row r="1680" spans="9:10">
      <c r="I1680" s="354"/>
      <c r="J1680" s="354"/>
    </row>
    <row r="1681" spans="9:10">
      <c r="I1681" s="354"/>
      <c r="J1681" s="354"/>
    </row>
    <row r="1682" spans="9:10">
      <c r="I1682" s="354"/>
      <c r="J1682" s="354"/>
    </row>
    <row r="1683" spans="9:10">
      <c r="I1683" s="354"/>
      <c r="J1683" s="354"/>
    </row>
    <row r="1684" spans="9:10">
      <c r="I1684" s="354"/>
      <c r="J1684" s="354"/>
    </row>
    <row r="1685" spans="9:10">
      <c r="I1685" s="354"/>
      <c r="J1685" s="354"/>
    </row>
    <row r="1686" spans="9:10">
      <c r="I1686" s="354"/>
      <c r="J1686" s="354"/>
    </row>
    <row r="1687" spans="9:10">
      <c r="I1687" s="354"/>
      <c r="J1687" s="354"/>
    </row>
    <row r="1688" spans="9:10">
      <c r="I1688" s="354"/>
      <c r="J1688" s="354"/>
    </row>
    <row r="1689" spans="9:10">
      <c r="I1689" s="354"/>
      <c r="J1689" s="354"/>
    </row>
    <row r="1690" spans="9:10">
      <c r="I1690" s="354"/>
      <c r="J1690" s="354"/>
    </row>
    <row r="1691" spans="9:10">
      <c r="I1691" s="354"/>
      <c r="J1691" s="354"/>
    </row>
    <row r="1692" spans="9:10">
      <c r="I1692" s="354"/>
      <c r="J1692" s="354"/>
    </row>
    <row r="1693" spans="9:10">
      <c r="I1693" s="354"/>
      <c r="J1693" s="354"/>
    </row>
    <row r="1694" spans="9:10">
      <c r="I1694" s="354"/>
      <c r="J1694" s="354"/>
    </row>
    <row r="1695" spans="9:10">
      <c r="I1695" s="354"/>
      <c r="J1695" s="354"/>
    </row>
    <row r="1696" spans="9:10">
      <c r="I1696" s="354"/>
      <c r="J1696" s="354"/>
    </row>
    <row r="1697" spans="9:10">
      <c r="I1697" s="354"/>
      <c r="J1697" s="354"/>
    </row>
    <row r="1698" spans="9:10">
      <c r="I1698" s="354"/>
      <c r="J1698" s="354"/>
    </row>
    <row r="1699" spans="9:10">
      <c r="I1699" s="354"/>
      <c r="J1699" s="354"/>
    </row>
    <row r="1700" spans="9:10">
      <c r="I1700" s="354"/>
      <c r="J1700" s="354"/>
    </row>
    <row r="1701" spans="9:10">
      <c r="I1701" s="354"/>
      <c r="J1701" s="354"/>
    </row>
    <row r="1702" spans="9:10">
      <c r="I1702" s="354"/>
      <c r="J1702" s="354"/>
    </row>
    <row r="1703" spans="9:10">
      <c r="I1703" s="354"/>
      <c r="J1703" s="354"/>
    </row>
    <row r="1704" spans="9:10">
      <c r="I1704" s="354"/>
      <c r="J1704" s="354"/>
    </row>
    <row r="1705" spans="9:10">
      <c r="I1705" s="354"/>
      <c r="J1705" s="354"/>
    </row>
    <row r="1706" spans="9:10">
      <c r="I1706" s="354"/>
      <c r="J1706" s="354"/>
    </row>
    <row r="1707" spans="9:10">
      <c r="I1707" s="354"/>
      <c r="J1707" s="354"/>
    </row>
    <row r="1708" spans="9:10">
      <c r="I1708" s="354"/>
      <c r="J1708" s="354"/>
    </row>
    <row r="1709" spans="9:10">
      <c r="I1709" s="354"/>
      <c r="J1709" s="354"/>
    </row>
    <row r="1710" spans="9:10">
      <c r="I1710" s="354"/>
      <c r="J1710" s="354"/>
    </row>
    <row r="1711" spans="9:10">
      <c r="I1711" s="354"/>
      <c r="J1711" s="354"/>
    </row>
    <row r="1712" spans="9:10">
      <c r="I1712" s="354"/>
      <c r="J1712" s="354"/>
    </row>
    <row r="1713" spans="9:10">
      <c r="I1713" s="354"/>
      <c r="J1713" s="354"/>
    </row>
    <row r="1714" spans="9:10">
      <c r="I1714" s="354"/>
      <c r="J1714" s="354"/>
    </row>
    <row r="1715" spans="9:10">
      <c r="I1715" s="354"/>
      <c r="J1715" s="354"/>
    </row>
    <row r="1716" spans="9:10">
      <c r="I1716" s="354"/>
      <c r="J1716" s="354"/>
    </row>
    <row r="1717" spans="9:10">
      <c r="I1717" s="354"/>
      <c r="J1717" s="354"/>
    </row>
    <row r="1718" spans="9:10">
      <c r="I1718" s="354"/>
      <c r="J1718" s="354"/>
    </row>
    <row r="1719" spans="9:10">
      <c r="I1719" s="354"/>
      <c r="J1719" s="354"/>
    </row>
    <row r="1720" spans="9:10">
      <c r="I1720" s="354"/>
      <c r="J1720" s="354"/>
    </row>
    <row r="1721" spans="9:10">
      <c r="I1721" s="354"/>
      <c r="J1721" s="354"/>
    </row>
    <row r="1722" spans="9:10">
      <c r="I1722" s="354"/>
      <c r="J1722" s="354"/>
    </row>
    <row r="1723" spans="9:10">
      <c r="I1723" s="354"/>
      <c r="J1723" s="354"/>
    </row>
    <row r="1724" spans="9:10">
      <c r="I1724" s="354"/>
      <c r="J1724" s="354"/>
    </row>
    <row r="1725" spans="9:10">
      <c r="I1725" s="354"/>
      <c r="J1725" s="354"/>
    </row>
    <row r="1726" spans="9:10">
      <c r="I1726" s="354"/>
      <c r="J1726" s="354"/>
    </row>
    <row r="1727" spans="9:10">
      <c r="I1727" s="354"/>
      <c r="J1727" s="354"/>
    </row>
    <row r="1728" spans="9:10">
      <c r="I1728" s="354"/>
      <c r="J1728" s="354"/>
    </row>
    <row r="1729" spans="9:10">
      <c r="I1729" s="354"/>
      <c r="J1729" s="354"/>
    </row>
    <row r="1730" spans="9:10">
      <c r="I1730" s="354"/>
      <c r="J1730" s="354"/>
    </row>
    <row r="1731" spans="9:10">
      <c r="I1731" s="354"/>
      <c r="J1731" s="354"/>
    </row>
    <row r="1732" spans="9:10">
      <c r="I1732" s="354"/>
      <c r="J1732" s="354"/>
    </row>
    <row r="1733" spans="9:10">
      <c r="I1733" s="354"/>
      <c r="J1733" s="354"/>
    </row>
    <row r="1734" spans="9:10">
      <c r="I1734" s="354"/>
      <c r="J1734" s="354"/>
    </row>
    <row r="1735" spans="9:10">
      <c r="I1735" s="354"/>
      <c r="J1735" s="354"/>
    </row>
    <row r="1736" spans="9:10">
      <c r="I1736" s="354"/>
      <c r="J1736" s="354"/>
    </row>
    <row r="1737" spans="9:10">
      <c r="I1737" s="354"/>
      <c r="J1737" s="354"/>
    </row>
    <row r="1738" spans="9:10">
      <c r="I1738" s="354"/>
      <c r="J1738" s="354"/>
    </row>
    <row r="1739" spans="9:10">
      <c r="I1739" s="354"/>
      <c r="J1739" s="354"/>
    </row>
    <row r="1740" spans="9:10">
      <c r="I1740" s="354"/>
      <c r="J1740" s="354"/>
    </row>
    <row r="1741" spans="9:10">
      <c r="I1741" s="354"/>
      <c r="J1741" s="354"/>
    </row>
    <row r="1742" spans="9:10">
      <c r="I1742" s="354"/>
      <c r="J1742" s="354"/>
    </row>
    <row r="1743" spans="9:10">
      <c r="I1743" s="354"/>
      <c r="J1743" s="354"/>
    </row>
    <row r="1744" spans="9:10">
      <c r="I1744" s="354"/>
      <c r="J1744" s="354"/>
    </row>
    <row r="1745" spans="9:10">
      <c r="I1745" s="354"/>
      <c r="J1745" s="354"/>
    </row>
    <row r="1746" spans="9:10">
      <c r="I1746" s="354"/>
      <c r="J1746" s="354"/>
    </row>
    <row r="1747" spans="9:10">
      <c r="I1747" s="354"/>
      <c r="J1747" s="354"/>
    </row>
    <row r="1748" spans="9:10">
      <c r="I1748" s="354"/>
      <c r="J1748" s="354"/>
    </row>
    <row r="1749" spans="9:10">
      <c r="I1749" s="354"/>
      <c r="J1749" s="354"/>
    </row>
    <row r="1750" spans="9:10">
      <c r="I1750" s="354"/>
      <c r="J1750" s="354"/>
    </row>
    <row r="1751" spans="9:10">
      <c r="I1751" s="354"/>
      <c r="J1751" s="354"/>
    </row>
    <row r="1752" spans="9:10">
      <c r="I1752" s="354"/>
      <c r="J1752" s="354"/>
    </row>
    <row r="1753" spans="9:10">
      <c r="I1753" s="354"/>
      <c r="J1753" s="354"/>
    </row>
    <row r="1754" spans="9:10">
      <c r="I1754" s="354"/>
      <c r="J1754" s="354"/>
    </row>
    <row r="1755" spans="9:10">
      <c r="I1755" s="354"/>
      <c r="J1755" s="354"/>
    </row>
    <row r="1756" spans="9:10">
      <c r="I1756" s="354"/>
      <c r="J1756" s="354"/>
    </row>
    <row r="1757" spans="9:10">
      <c r="I1757" s="354"/>
      <c r="J1757" s="354"/>
    </row>
    <row r="1758" spans="9:10">
      <c r="I1758" s="354"/>
      <c r="J1758" s="354"/>
    </row>
    <row r="1759" spans="9:10">
      <c r="I1759" s="354"/>
      <c r="J1759" s="354"/>
    </row>
    <row r="1760" spans="9:10">
      <c r="I1760" s="354"/>
      <c r="J1760" s="354"/>
    </row>
    <row r="1761" spans="9:10">
      <c r="I1761" s="354"/>
      <c r="J1761" s="354"/>
    </row>
    <row r="1762" spans="9:10">
      <c r="I1762" s="354"/>
      <c r="J1762" s="354"/>
    </row>
    <row r="1763" spans="9:10">
      <c r="I1763" s="354"/>
      <c r="J1763" s="354"/>
    </row>
    <row r="1764" spans="9:10">
      <c r="I1764" s="354"/>
      <c r="J1764" s="354"/>
    </row>
    <row r="1765" spans="9:10">
      <c r="I1765" s="354"/>
      <c r="J1765" s="354"/>
    </row>
    <row r="1766" spans="9:10">
      <c r="I1766" s="354"/>
      <c r="J1766" s="354"/>
    </row>
    <row r="1767" spans="9:10">
      <c r="I1767" s="354"/>
      <c r="J1767" s="354"/>
    </row>
    <row r="1768" spans="9:10">
      <c r="I1768" s="354"/>
      <c r="J1768" s="354"/>
    </row>
    <row r="1769" spans="9:10">
      <c r="I1769" s="354"/>
      <c r="J1769" s="354"/>
    </row>
    <row r="1770" spans="9:10">
      <c r="I1770" s="354"/>
      <c r="J1770" s="354"/>
    </row>
    <row r="1771" spans="9:10">
      <c r="I1771" s="354"/>
      <c r="J1771" s="354"/>
    </row>
    <row r="1772" spans="9:10">
      <c r="I1772" s="354"/>
      <c r="J1772" s="354"/>
    </row>
    <row r="1773" spans="9:10">
      <c r="I1773" s="354"/>
      <c r="J1773" s="354"/>
    </row>
    <row r="1774" spans="9:10">
      <c r="I1774" s="354"/>
      <c r="J1774" s="354"/>
    </row>
    <row r="1775" spans="9:10">
      <c r="I1775" s="354"/>
      <c r="J1775" s="354"/>
    </row>
    <row r="1776" spans="9:10">
      <c r="I1776" s="354"/>
      <c r="J1776" s="354"/>
    </row>
    <row r="1777" spans="9:10">
      <c r="I1777" s="354"/>
      <c r="J1777" s="354"/>
    </row>
    <row r="1778" spans="9:10">
      <c r="I1778" s="354"/>
      <c r="J1778" s="354"/>
    </row>
    <row r="1779" spans="9:10">
      <c r="I1779" s="354"/>
      <c r="J1779" s="354"/>
    </row>
    <row r="1780" spans="9:10">
      <c r="I1780" s="354"/>
      <c r="J1780" s="354"/>
    </row>
    <row r="1781" spans="9:10">
      <c r="I1781" s="354"/>
      <c r="J1781" s="354"/>
    </row>
    <row r="1782" spans="9:10">
      <c r="I1782" s="354"/>
      <c r="J1782" s="354"/>
    </row>
    <row r="1783" spans="9:10">
      <c r="I1783" s="354"/>
      <c r="J1783" s="354"/>
    </row>
    <row r="1784" spans="9:10">
      <c r="I1784" s="354"/>
      <c r="J1784" s="354"/>
    </row>
    <row r="1785" spans="9:10">
      <c r="I1785" s="354"/>
      <c r="J1785" s="354"/>
    </row>
    <row r="1786" spans="9:10">
      <c r="I1786" s="354"/>
      <c r="J1786" s="354"/>
    </row>
    <row r="1787" spans="9:10">
      <c r="I1787" s="354"/>
      <c r="J1787" s="354"/>
    </row>
    <row r="1788" spans="9:10">
      <c r="I1788" s="354"/>
      <c r="J1788" s="354"/>
    </row>
    <row r="1789" spans="9:10">
      <c r="I1789" s="354"/>
      <c r="J1789" s="354"/>
    </row>
    <row r="1790" spans="9:10">
      <c r="I1790" s="354"/>
      <c r="J1790" s="354"/>
    </row>
    <row r="1791" spans="9:10">
      <c r="I1791" s="354"/>
      <c r="J1791" s="354"/>
    </row>
    <row r="1792" spans="9:10">
      <c r="I1792" s="354"/>
      <c r="J1792" s="354"/>
    </row>
    <row r="1793" spans="9:10">
      <c r="I1793" s="354"/>
      <c r="J1793" s="354"/>
    </row>
    <row r="1794" spans="9:10">
      <c r="I1794" s="354"/>
      <c r="J1794" s="354"/>
    </row>
    <row r="1795" spans="9:10">
      <c r="I1795" s="354"/>
      <c r="J1795" s="354"/>
    </row>
    <row r="1796" spans="9:10">
      <c r="I1796" s="354"/>
      <c r="J1796" s="354"/>
    </row>
    <row r="1797" spans="9:10">
      <c r="I1797" s="354"/>
      <c r="J1797" s="354"/>
    </row>
    <row r="1798" spans="9:10">
      <c r="I1798" s="354"/>
      <c r="J1798" s="354"/>
    </row>
    <row r="1799" spans="9:10">
      <c r="I1799" s="354"/>
      <c r="J1799" s="354"/>
    </row>
    <row r="1800" spans="9:10">
      <c r="I1800" s="354"/>
      <c r="J1800" s="354"/>
    </row>
    <row r="1801" spans="9:10">
      <c r="I1801" s="354"/>
      <c r="J1801" s="354"/>
    </row>
    <row r="1802" spans="9:10">
      <c r="I1802" s="354"/>
      <c r="J1802" s="354"/>
    </row>
    <row r="1803" spans="9:10">
      <c r="I1803" s="354"/>
      <c r="J1803" s="354"/>
    </row>
    <row r="1804" spans="9:10">
      <c r="I1804" s="354"/>
      <c r="J1804" s="354"/>
    </row>
    <row r="1805" spans="9:10">
      <c r="I1805" s="354"/>
      <c r="J1805" s="354"/>
    </row>
    <row r="1806" spans="9:10">
      <c r="I1806" s="354"/>
      <c r="J1806" s="354"/>
    </row>
    <row r="1807" spans="9:10">
      <c r="I1807" s="354"/>
      <c r="J1807" s="354"/>
    </row>
    <row r="1808" spans="9:10">
      <c r="I1808" s="354"/>
      <c r="J1808" s="354"/>
    </row>
    <row r="1809" spans="9:10">
      <c r="I1809" s="354"/>
      <c r="J1809" s="354"/>
    </row>
    <row r="1810" spans="9:10">
      <c r="I1810" s="354"/>
      <c r="J1810" s="354"/>
    </row>
    <row r="1811" spans="9:10">
      <c r="I1811" s="354"/>
      <c r="J1811" s="354"/>
    </row>
    <row r="1812" spans="9:10">
      <c r="I1812" s="354"/>
      <c r="J1812" s="354"/>
    </row>
    <row r="1813" spans="9:10">
      <c r="I1813" s="354"/>
      <c r="J1813" s="354"/>
    </row>
    <row r="1814" spans="9:10">
      <c r="I1814" s="354"/>
      <c r="J1814" s="354"/>
    </row>
    <row r="1815" spans="9:10">
      <c r="I1815" s="354"/>
      <c r="J1815" s="354"/>
    </row>
    <row r="1816" spans="9:10">
      <c r="I1816" s="354"/>
      <c r="J1816" s="354"/>
    </row>
    <row r="1817" spans="9:10">
      <c r="I1817" s="354"/>
      <c r="J1817" s="354"/>
    </row>
    <row r="1818" spans="9:10">
      <c r="I1818" s="354"/>
      <c r="J1818" s="354"/>
    </row>
    <row r="1819" spans="9:10">
      <c r="I1819" s="354"/>
      <c r="J1819" s="354"/>
    </row>
    <row r="1820" spans="9:10">
      <c r="I1820" s="354"/>
      <c r="J1820" s="354"/>
    </row>
    <row r="1821" spans="9:10">
      <c r="I1821" s="354"/>
      <c r="J1821" s="354"/>
    </row>
    <row r="1822" spans="9:10">
      <c r="I1822" s="354"/>
      <c r="J1822" s="354"/>
    </row>
    <row r="1823" spans="9:10">
      <c r="I1823" s="354"/>
      <c r="J1823" s="354"/>
    </row>
    <row r="1824" spans="9:10">
      <c r="I1824" s="354"/>
      <c r="J1824" s="354"/>
    </row>
    <row r="1825" spans="9:10">
      <c r="I1825" s="354"/>
      <c r="J1825" s="354"/>
    </row>
    <row r="1826" spans="9:10">
      <c r="I1826" s="354"/>
      <c r="J1826" s="354"/>
    </row>
    <row r="1827" spans="9:10">
      <c r="I1827" s="354"/>
      <c r="J1827" s="354"/>
    </row>
    <row r="1828" spans="9:10">
      <c r="I1828" s="354"/>
      <c r="J1828" s="354"/>
    </row>
    <row r="1829" spans="9:10">
      <c r="I1829" s="354"/>
      <c r="J1829" s="354"/>
    </row>
    <row r="1830" spans="9:10">
      <c r="I1830" s="354"/>
      <c r="J1830" s="354"/>
    </row>
    <row r="1831" spans="9:10">
      <c r="I1831" s="354"/>
      <c r="J1831" s="354"/>
    </row>
    <row r="1832" spans="9:10">
      <c r="I1832" s="354"/>
      <c r="J1832" s="354"/>
    </row>
    <row r="1833" spans="9:10">
      <c r="I1833" s="354"/>
      <c r="J1833" s="354"/>
    </row>
    <row r="1834" spans="9:10">
      <c r="I1834" s="354"/>
      <c r="J1834" s="354"/>
    </row>
    <row r="1835" spans="9:10">
      <c r="I1835" s="354"/>
      <c r="J1835" s="354"/>
    </row>
    <row r="1836" spans="9:10">
      <c r="I1836" s="354"/>
      <c r="J1836" s="354"/>
    </row>
    <row r="1837" spans="9:10">
      <c r="I1837" s="354"/>
      <c r="J1837" s="354"/>
    </row>
    <row r="1838" spans="9:10">
      <c r="I1838" s="354"/>
      <c r="J1838" s="354"/>
    </row>
    <row r="1839" spans="9:10">
      <c r="I1839" s="354"/>
      <c r="J1839" s="354"/>
    </row>
    <row r="1840" spans="9:10">
      <c r="I1840" s="354"/>
      <c r="J1840" s="354"/>
    </row>
    <row r="1841" spans="9:10">
      <c r="I1841" s="354"/>
      <c r="J1841" s="354"/>
    </row>
    <row r="1842" spans="9:10">
      <c r="I1842" s="354"/>
      <c r="J1842" s="354"/>
    </row>
    <row r="1843" spans="9:10">
      <c r="I1843" s="354"/>
      <c r="J1843" s="354"/>
    </row>
    <row r="1844" spans="9:10">
      <c r="I1844" s="354"/>
      <c r="J1844" s="354"/>
    </row>
    <row r="1845" spans="9:10">
      <c r="I1845" s="354"/>
      <c r="J1845" s="354"/>
    </row>
    <row r="1846" spans="9:10">
      <c r="I1846" s="354"/>
      <c r="J1846" s="354"/>
    </row>
    <row r="1847" spans="9:10">
      <c r="I1847" s="354"/>
      <c r="J1847" s="354"/>
    </row>
    <row r="1848" spans="9:10">
      <c r="I1848" s="354"/>
      <c r="J1848" s="354"/>
    </row>
    <row r="1849" spans="9:10">
      <c r="I1849" s="354"/>
      <c r="J1849" s="354"/>
    </row>
    <row r="1850" spans="9:10">
      <c r="I1850" s="354"/>
      <c r="J1850" s="354"/>
    </row>
    <row r="1851" spans="9:10">
      <c r="I1851" s="354"/>
      <c r="J1851" s="354"/>
    </row>
    <row r="1852" spans="9:10">
      <c r="I1852" s="354"/>
      <c r="J1852" s="354"/>
    </row>
    <row r="1853" spans="9:10">
      <c r="I1853" s="354"/>
      <c r="J1853" s="354"/>
    </row>
    <row r="1854" spans="9:10">
      <c r="I1854" s="354"/>
      <c r="J1854" s="354"/>
    </row>
    <row r="1855" spans="9:10">
      <c r="I1855" s="354"/>
      <c r="J1855" s="354"/>
    </row>
    <row r="1856" spans="9:10">
      <c r="I1856" s="354"/>
      <c r="J1856" s="354"/>
    </row>
    <row r="1857" spans="9:10">
      <c r="I1857" s="354"/>
      <c r="J1857" s="354"/>
    </row>
    <row r="1858" spans="9:10">
      <c r="I1858" s="354"/>
      <c r="J1858" s="354"/>
    </row>
    <row r="1859" spans="9:10">
      <c r="I1859" s="354"/>
      <c r="J1859" s="354"/>
    </row>
    <row r="1860" spans="9:10">
      <c r="I1860" s="354"/>
      <c r="J1860" s="354"/>
    </row>
    <row r="1861" spans="9:10">
      <c r="I1861" s="354"/>
      <c r="J1861" s="354"/>
    </row>
    <row r="1862" spans="9:10">
      <c r="I1862" s="354"/>
      <c r="J1862" s="354"/>
    </row>
    <row r="1863" spans="9:10">
      <c r="I1863" s="354"/>
      <c r="J1863" s="354"/>
    </row>
    <row r="1864" spans="9:10">
      <c r="I1864" s="354"/>
      <c r="J1864" s="354"/>
    </row>
    <row r="1865" spans="9:10">
      <c r="I1865" s="354"/>
      <c r="J1865" s="354"/>
    </row>
    <row r="1866" spans="9:10">
      <c r="I1866" s="354"/>
      <c r="J1866" s="354"/>
    </row>
    <row r="1867" spans="9:10">
      <c r="I1867" s="354"/>
      <c r="J1867" s="354"/>
    </row>
    <row r="1868" spans="9:10">
      <c r="I1868" s="354"/>
      <c r="J1868" s="354"/>
    </row>
    <row r="1869" spans="9:10">
      <c r="I1869" s="354"/>
      <c r="J1869" s="354"/>
    </row>
    <row r="1870" spans="9:10">
      <c r="I1870" s="354"/>
      <c r="J1870" s="354"/>
    </row>
    <row r="1871" spans="9:10">
      <c r="I1871" s="354"/>
      <c r="J1871" s="354"/>
    </row>
    <row r="1872" spans="9:10">
      <c r="I1872" s="354"/>
      <c r="J1872" s="354"/>
    </row>
    <row r="1873" spans="9:10">
      <c r="I1873" s="354"/>
      <c r="J1873" s="354"/>
    </row>
    <row r="1874" spans="9:10">
      <c r="I1874" s="354"/>
      <c r="J1874" s="354"/>
    </row>
    <row r="1875" spans="9:10">
      <c r="I1875" s="354"/>
      <c r="J1875" s="354"/>
    </row>
    <row r="1876" spans="9:10">
      <c r="I1876" s="354"/>
      <c r="J1876" s="354"/>
    </row>
    <row r="1877" spans="9:10">
      <c r="I1877" s="354"/>
      <c r="J1877" s="354"/>
    </row>
    <row r="1878" spans="9:10">
      <c r="I1878" s="354"/>
      <c r="J1878" s="354"/>
    </row>
    <row r="1879" spans="9:10">
      <c r="I1879" s="354"/>
      <c r="J1879" s="354"/>
    </row>
    <row r="1880" spans="9:10">
      <c r="I1880" s="354"/>
      <c r="J1880" s="354"/>
    </row>
    <row r="1881" spans="9:10">
      <c r="I1881" s="354"/>
      <c r="J1881" s="354"/>
    </row>
    <row r="1882" spans="9:10">
      <c r="I1882" s="354"/>
      <c r="J1882" s="354"/>
    </row>
    <row r="1883" spans="9:10">
      <c r="I1883" s="354"/>
      <c r="J1883" s="354"/>
    </row>
    <row r="1884" spans="9:10">
      <c r="I1884" s="354"/>
      <c r="J1884" s="354"/>
    </row>
    <row r="1885" spans="9:10">
      <c r="I1885" s="354"/>
      <c r="J1885" s="354"/>
    </row>
    <row r="1886" spans="9:10">
      <c r="I1886" s="354"/>
      <c r="J1886" s="354"/>
    </row>
    <row r="1887" spans="9:10">
      <c r="I1887" s="354"/>
      <c r="J1887" s="354"/>
    </row>
    <row r="1888" spans="9:10">
      <c r="I1888" s="354"/>
      <c r="J1888" s="354"/>
    </row>
    <row r="1889" spans="9:10">
      <c r="I1889" s="354"/>
      <c r="J1889" s="354"/>
    </row>
    <row r="1890" spans="9:10">
      <c r="I1890" s="354"/>
      <c r="J1890" s="354"/>
    </row>
    <row r="1891" spans="9:10">
      <c r="I1891" s="354"/>
      <c r="J1891" s="354"/>
    </row>
    <row r="1892" spans="9:10">
      <c r="I1892" s="354"/>
      <c r="J1892" s="354"/>
    </row>
    <row r="1893" spans="9:10">
      <c r="I1893" s="354"/>
      <c r="J1893" s="354"/>
    </row>
    <row r="1894" spans="9:10">
      <c r="I1894" s="354"/>
      <c r="J1894" s="354"/>
    </row>
    <row r="1895" spans="9:10">
      <c r="I1895" s="354"/>
      <c r="J1895" s="354"/>
    </row>
    <row r="1896" spans="9:10">
      <c r="I1896" s="354"/>
      <c r="J1896" s="354"/>
    </row>
    <row r="1897" spans="9:10">
      <c r="I1897" s="354"/>
      <c r="J1897" s="354"/>
    </row>
    <row r="1898" spans="9:10">
      <c r="I1898" s="354"/>
      <c r="J1898" s="354"/>
    </row>
    <row r="1899" spans="9:10">
      <c r="I1899" s="354"/>
      <c r="J1899" s="354"/>
    </row>
    <row r="1900" spans="9:10">
      <c r="I1900" s="354"/>
      <c r="J1900" s="354"/>
    </row>
    <row r="1901" spans="9:10">
      <c r="I1901" s="354"/>
      <c r="J1901" s="354"/>
    </row>
    <row r="1902" spans="9:10">
      <c r="I1902" s="354"/>
      <c r="J1902" s="354"/>
    </row>
    <row r="1903" spans="9:10">
      <c r="I1903" s="354"/>
      <c r="J1903" s="354"/>
    </row>
    <row r="1904" spans="9:10">
      <c r="I1904" s="354"/>
      <c r="J1904" s="354"/>
    </row>
    <row r="1905" spans="9:10">
      <c r="I1905" s="354"/>
      <c r="J1905" s="354"/>
    </row>
    <row r="1906" spans="9:10">
      <c r="I1906" s="354"/>
      <c r="J1906" s="354"/>
    </row>
    <row r="1907" spans="9:10">
      <c r="I1907" s="354"/>
      <c r="J1907" s="354"/>
    </row>
    <row r="1908" spans="9:10">
      <c r="I1908" s="354"/>
      <c r="J1908" s="354"/>
    </row>
    <row r="1909" spans="9:10">
      <c r="I1909" s="354"/>
      <c r="J1909" s="354"/>
    </row>
    <row r="1910" spans="9:10">
      <c r="I1910" s="354"/>
      <c r="J1910" s="354"/>
    </row>
    <row r="1911" spans="9:10">
      <c r="I1911" s="354"/>
      <c r="J1911" s="354"/>
    </row>
    <row r="1912" spans="9:10">
      <c r="I1912" s="354"/>
      <c r="J1912" s="354"/>
    </row>
    <row r="1913" spans="9:10">
      <c r="I1913" s="354"/>
      <c r="J1913" s="354"/>
    </row>
    <row r="1914" spans="9:10">
      <c r="I1914" s="354"/>
      <c r="J1914" s="354"/>
    </row>
    <row r="1915" spans="9:10">
      <c r="I1915" s="354"/>
      <c r="J1915" s="354"/>
    </row>
    <row r="1916" spans="9:10">
      <c r="I1916" s="354"/>
      <c r="J1916" s="354"/>
    </row>
    <row r="1917" spans="9:10">
      <c r="I1917" s="354"/>
      <c r="J1917" s="354"/>
    </row>
    <row r="1918" spans="9:10">
      <c r="I1918" s="354"/>
      <c r="J1918" s="354"/>
    </row>
    <row r="1919" spans="9:10">
      <c r="I1919" s="354"/>
      <c r="J1919" s="354"/>
    </row>
    <row r="1920" spans="9:10">
      <c r="I1920" s="354"/>
      <c r="J1920" s="354"/>
    </row>
    <row r="1921" spans="9:10">
      <c r="I1921" s="354"/>
      <c r="J1921" s="354"/>
    </row>
    <row r="1922" spans="9:10">
      <c r="I1922" s="354"/>
      <c r="J1922" s="354"/>
    </row>
    <row r="1923" spans="9:10">
      <c r="I1923" s="354"/>
      <c r="J1923" s="354"/>
    </row>
    <row r="1924" spans="9:10">
      <c r="I1924" s="354"/>
      <c r="J1924" s="354"/>
    </row>
    <row r="1925" spans="9:10">
      <c r="I1925" s="354"/>
      <c r="J1925" s="354"/>
    </row>
    <row r="1926" spans="9:10">
      <c r="I1926" s="354"/>
      <c r="J1926" s="354"/>
    </row>
    <row r="1927" spans="9:10">
      <c r="I1927" s="354"/>
      <c r="J1927" s="354"/>
    </row>
    <row r="1928" spans="9:10">
      <c r="I1928" s="354"/>
      <c r="J1928" s="354"/>
    </row>
    <row r="1929" spans="9:10">
      <c r="I1929" s="354"/>
      <c r="J1929" s="354"/>
    </row>
    <row r="1930" spans="9:10">
      <c r="I1930" s="354"/>
      <c r="J1930" s="354"/>
    </row>
    <row r="1931" spans="9:10">
      <c r="I1931" s="354"/>
      <c r="J1931" s="354"/>
    </row>
    <row r="1932" spans="9:10">
      <c r="I1932" s="354"/>
      <c r="J1932" s="354"/>
    </row>
    <row r="1933" spans="9:10">
      <c r="I1933" s="354"/>
      <c r="J1933" s="354"/>
    </row>
    <row r="1934" spans="9:10">
      <c r="I1934" s="354"/>
      <c r="J1934" s="354"/>
    </row>
    <row r="1935" spans="9:10">
      <c r="I1935" s="354"/>
      <c r="J1935" s="354"/>
    </row>
    <row r="1936" spans="9:10">
      <c r="I1936" s="354"/>
      <c r="J1936" s="354"/>
    </row>
    <row r="1937" spans="9:10">
      <c r="I1937" s="354"/>
      <c r="J1937" s="354"/>
    </row>
    <row r="1938" spans="9:10">
      <c r="I1938" s="354"/>
      <c r="J1938" s="354"/>
    </row>
    <row r="1939" spans="9:10">
      <c r="I1939" s="354"/>
      <c r="J1939" s="354"/>
    </row>
    <row r="1940" spans="9:10">
      <c r="I1940" s="354"/>
      <c r="J1940" s="354"/>
    </row>
    <row r="1941" spans="9:10">
      <c r="I1941" s="354"/>
      <c r="J1941" s="354"/>
    </row>
    <row r="1942" spans="9:10">
      <c r="I1942" s="354"/>
      <c r="J1942" s="354"/>
    </row>
    <row r="1943" spans="9:10">
      <c r="I1943" s="354"/>
      <c r="J1943" s="354"/>
    </row>
    <row r="1944" spans="9:10">
      <c r="I1944" s="354"/>
      <c r="J1944" s="354"/>
    </row>
    <row r="1945" spans="9:10">
      <c r="I1945" s="354"/>
      <c r="J1945" s="354"/>
    </row>
    <row r="1946" spans="9:10">
      <c r="I1946" s="354"/>
      <c r="J1946" s="354"/>
    </row>
    <row r="1947" spans="9:10">
      <c r="I1947" s="354"/>
      <c r="J1947" s="354"/>
    </row>
    <row r="1948" spans="9:10">
      <c r="I1948" s="354"/>
      <c r="J1948" s="354"/>
    </row>
    <row r="1949" spans="9:10">
      <c r="I1949" s="354"/>
      <c r="J1949" s="354"/>
    </row>
    <row r="1950" spans="9:10">
      <c r="I1950" s="354"/>
      <c r="J1950" s="354"/>
    </row>
    <row r="1951" spans="9:10">
      <c r="I1951" s="354"/>
      <c r="J1951" s="354"/>
    </row>
    <row r="1952" spans="9:10">
      <c r="I1952" s="354"/>
      <c r="J1952" s="354"/>
    </row>
    <row r="1953" spans="9:10">
      <c r="I1953" s="354"/>
      <c r="J1953" s="354"/>
    </row>
    <row r="1954" spans="9:10">
      <c r="I1954" s="354"/>
      <c r="J1954" s="354"/>
    </row>
    <row r="1955" spans="9:10">
      <c r="I1955" s="354"/>
      <c r="J1955" s="354"/>
    </row>
    <row r="1956" spans="9:10">
      <c r="I1956" s="354"/>
      <c r="J1956" s="354"/>
    </row>
    <row r="1957" spans="9:10">
      <c r="I1957" s="354"/>
      <c r="J1957" s="354"/>
    </row>
    <row r="1958" spans="9:10">
      <c r="I1958" s="354"/>
      <c r="J1958" s="354"/>
    </row>
    <row r="1959" spans="9:10">
      <c r="I1959" s="354"/>
      <c r="J1959" s="354"/>
    </row>
    <row r="1960" spans="9:10">
      <c r="I1960" s="354"/>
      <c r="J1960" s="354"/>
    </row>
    <row r="1961" spans="9:10">
      <c r="I1961" s="354"/>
      <c r="J1961" s="354"/>
    </row>
    <row r="1962" spans="9:10">
      <c r="I1962" s="354"/>
      <c r="J1962" s="354"/>
    </row>
    <row r="1963" spans="9:10">
      <c r="I1963" s="354"/>
      <c r="J1963" s="354"/>
    </row>
    <row r="1964" spans="9:10">
      <c r="I1964" s="354"/>
      <c r="J1964" s="354"/>
    </row>
    <row r="1965" spans="9:10">
      <c r="I1965" s="354"/>
      <c r="J1965" s="354"/>
    </row>
    <row r="1966" spans="9:10">
      <c r="I1966" s="354"/>
      <c r="J1966" s="354"/>
    </row>
    <row r="1967" spans="9:10">
      <c r="I1967" s="354"/>
      <c r="J1967" s="354"/>
    </row>
    <row r="1968" spans="9:10">
      <c r="I1968" s="354"/>
      <c r="J1968" s="354"/>
    </row>
    <row r="1969" spans="9:10">
      <c r="I1969" s="354"/>
      <c r="J1969" s="354"/>
    </row>
    <row r="1970" spans="9:10">
      <c r="I1970" s="354"/>
      <c r="J1970" s="354"/>
    </row>
    <row r="1971" spans="9:10">
      <c r="I1971" s="354"/>
      <c r="J1971" s="354"/>
    </row>
    <row r="1972" spans="9:10">
      <c r="I1972" s="354"/>
      <c r="J1972" s="354"/>
    </row>
    <row r="1973" spans="9:10">
      <c r="I1973" s="354"/>
      <c r="J1973" s="354"/>
    </row>
    <row r="1974" spans="9:10">
      <c r="I1974" s="354"/>
      <c r="J1974" s="354"/>
    </row>
    <row r="1975" spans="9:10">
      <c r="I1975" s="354"/>
      <c r="J1975" s="354"/>
    </row>
    <row r="1976" spans="9:10">
      <c r="I1976" s="354"/>
      <c r="J1976" s="354"/>
    </row>
    <row r="1977" spans="9:10">
      <c r="I1977" s="354"/>
      <c r="J1977" s="354"/>
    </row>
    <row r="1978" spans="9:10">
      <c r="I1978" s="354"/>
      <c r="J1978" s="354"/>
    </row>
    <row r="1979" spans="9:10">
      <c r="I1979" s="354"/>
      <c r="J1979" s="354"/>
    </row>
    <row r="1980" spans="9:10">
      <c r="I1980" s="354"/>
      <c r="J1980" s="354"/>
    </row>
    <row r="1981" spans="9:10">
      <c r="I1981" s="354"/>
      <c r="J1981" s="354"/>
    </row>
    <row r="1982" spans="9:10">
      <c r="I1982" s="354"/>
      <c r="J1982" s="354"/>
    </row>
    <row r="1983" spans="9:10">
      <c r="I1983" s="354"/>
      <c r="J1983" s="354"/>
    </row>
    <row r="1984" spans="9:10">
      <c r="I1984" s="354"/>
      <c r="J1984" s="354"/>
    </row>
    <row r="1985" spans="9:10">
      <c r="I1985" s="354"/>
      <c r="J1985" s="354"/>
    </row>
    <row r="1986" spans="9:10">
      <c r="I1986" s="354"/>
      <c r="J1986" s="354"/>
    </row>
    <row r="1987" spans="9:10">
      <c r="I1987" s="354"/>
      <c r="J1987" s="354"/>
    </row>
    <row r="1988" spans="9:10">
      <c r="I1988" s="354"/>
      <c r="J1988" s="354"/>
    </row>
    <row r="1989" spans="9:10">
      <c r="I1989" s="354"/>
      <c r="J1989" s="354"/>
    </row>
    <row r="1990" spans="9:10">
      <c r="I1990" s="354"/>
      <c r="J1990" s="354"/>
    </row>
    <row r="1991" spans="9:10">
      <c r="I1991" s="354"/>
      <c r="J1991" s="354"/>
    </row>
    <row r="1992" spans="9:10">
      <c r="I1992" s="354"/>
      <c r="J1992" s="354"/>
    </row>
    <row r="1993" spans="9:10">
      <c r="I1993" s="354"/>
      <c r="J1993" s="354"/>
    </row>
    <row r="1994" spans="9:10">
      <c r="I1994" s="354"/>
      <c r="J1994" s="354"/>
    </row>
    <row r="1995" spans="9:10">
      <c r="I1995" s="354"/>
      <c r="J1995" s="354"/>
    </row>
    <row r="1996" spans="9:10">
      <c r="I1996" s="354"/>
      <c r="J1996" s="354"/>
    </row>
    <row r="1997" spans="9:10">
      <c r="I1997" s="354"/>
      <c r="J1997" s="354"/>
    </row>
    <row r="1998" spans="9:10">
      <c r="I1998" s="354"/>
      <c r="J1998" s="354"/>
    </row>
    <row r="1999" spans="9:10">
      <c r="I1999" s="354"/>
      <c r="J1999" s="354"/>
    </row>
    <row r="2000" spans="9:10">
      <c r="I2000" s="354"/>
      <c r="J2000" s="354"/>
    </row>
    <row r="2001" spans="9:10">
      <c r="I2001" s="354"/>
      <c r="J2001" s="354"/>
    </row>
    <row r="2002" spans="9:10">
      <c r="I2002" s="354"/>
      <c r="J2002" s="354"/>
    </row>
    <row r="2003" spans="9:10">
      <c r="I2003" s="354"/>
      <c r="J2003" s="354"/>
    </row>
    <row r="2004" spans="9:10">
      <c r="I2004" s="354"/>
      <c r="J2004" s="354"/>
    </row>
    <row r="2005" spans="9:10">
      <c r="I2005" s="354"/>
      <c r="J2005" s="354"/>
    </row>
    <row r="2006" spans="9:10">
      <c r="I2006" s="354"/>
      <c r="J2006" s="354"/>
    </row>
    <row r="2007" spans="9:10">
      <c r="I2007" s="354"/>
      <c r="J2007" s="354"/>
    </row>
    <row r="2008" spans="9:10">
      <c r="I2008" s="354"/>
      <c r="J2008" s="354"/>
    </row>
    <row r="2009" spans="9:10">
      <c r="I2009" s="354"/>
      <c r="J2009" s="354"/>
    </row>
    <row r="2010" spans="9:10">
      <c r="I2010" s="354"/>
      <c r="J2010" s="354"/>
    </row>
    <row r="2011" spans="9:10">
      <c r="I2011" s="354"/>
      <c r="J2011" s="354"/>
    </row>
    <row r="2012" spans="9:10">
      <c r="I2012" s="354"/>
      <c r="J2012" s="354"/>
    </row>
    <row r="2013" spans="9:10">
      <c r="I2013" s="354"/>
      <c r="J2013" s="354"/>
    </row>
    <row r="2014" spans="9:10">
      <c r="I2014" s="354"/>
      <c r="J2014" s="354"/>
    </row>
    <row r="2015" spans="9:10">
      <c r="I2015" s="354"/>
      <c r="J2015" s="354"/>
    </row>
    <row r="2016" spans="9:10">
      <c r="I2016" s="354"/>
      <c r="J2016" s="354"/>
    </row>
    <row r="2017" spans="9:10">
      <c r="I2017" s="354"/>
      <c r="J2017" s="354"/>
    </row>
    <row r="2018" spans="9:10">
      <c r="I2018" s="354"/>
      <c r="J2018" s="354"/>
    </row>
    <row r="2019" spans="9:10">
      <c r="I2019" s="354"/>
      <c r="J2019" s="354"/>
    </row>
    <row r="2020" spans="9:10">
      <c r="I2020" s="354"/>
      <c r="J2020" s="354"/>
    </row>
    <row r="2021" spans="9:10">
      <c r="I2021" s="354"/>
      <c r="J2021" s="354"/>
    </row>
    <row r="2022" spans="9:10">
      <c r="I2022" s="354"/>
      <c r="J2022" s="354"/>
    </row>
    <row r="2023" spans="9:10">
      <c r="I2023" s="354"/>
      <c r="J2023" s="354"/>
    </row>
    <row r="2024" spans="9:10">
      <c r="I2024" s="354"/>
      <c r="J2024" s="354"/>
    </row>
    <row r="2025" spans="9:10">
      <c r="I2025" s="354"/>
      <c r="J2025" s="354"/>
    </row>
    <row r="2026" spans="9:10">
      <c r="I2026" s="354"/>
      <c r="J2026" s="354"/>
    </row>
    <row r="2027" spans="9:10">
      <c r="I2027" s="354"/>
      <c r="J2027" s="354"/>
    </row>
    <row r="2028" spans="9:10">
      <c r="I2028" s="354"/>
      <c r="J2028" s="354"/>
    </row>
    <row r="2029" spans="9:10">
      <c r="I2029" s="354"/>
      <c r="J2029" s="354"/>
    </row>
    <row r="2030" spans="9:10">
      <c r="I2030" s="354"/>
      <c r="J2030" s="354"/>
    </row>
    <row r="2031" spans="9:10">
      <c r="I2031" s="354"/>
      <c r="J2031" s="354"/>
    </row>
    <row r="2032" spans="9:10">
      <c r="I2032" s="354"/>
      <c r="J2032" s="354"/>
    </row>
    <row r="2033" spans="9:10">
      <c r="I2033" s="354"/>
      <c r="J2033" s="354"/>
    </row>
    <row r="2034" spans="9:10">
      <c r="I2034" s="354"/>
      <c r="J2034" s="354"/>
    </row>
    <row r="2035" spans="9:10">
      <c r="I2035" s="354"/>
      <c r="J2035" s="354"/>
    </row>
    <row r="2036" spans="9:10">
      <c r="I2036" s="354"/>
      <c r="J2036" s="354"/>
    </row>
    <row r="2037" spans="9:10">
      <c r="I2037" s="354"/>
      <c r="J2037" s="354"/>
    </row>
    <row r="2038" spans="9:10">
      <c r="I2038" s="354"/>
      <c r="J2038" s="354"/>
    </row>
    <row r="2039" spans="9:10">
      <c r="I2039" s="354"/>
      <c r="J2039" s="354"/>
    </row>
    <row r="2040" spans="9:10">
      <c r="I2040" s="354"/>
      <c r="J2040" s="354"/>
    </row>
    <row r="2041" spans="9:10">
      <c r="I2041" s="354"/>
      <c r="J2041" s="354"/>
    </row>
    <row r="2042" spans="9:10">
      <c r="I2042" s="354"/>
      <c r="J2042" s="354"/>
    </row>
    <row r="2043" spans="9:10">
      <c r="I2043" s="354"/>
      <c r="J2043" s="354"/>
    </row>
    <row r="2044" spans="9:10">
      <c r="I2044" s="354"/>
      <c r="J2044" s="354"/>
    </row>
    <row r="2045" spans="9:10">
      <c r="I2045" s="354"/>
      <c r="J2045" s="354"/>
    </row>
    <row r="2046" spans="9:10">
      <c r="I2046" s="354"/>
      <c r="J2046" s="354"/>
    </row>
    <row r="2047" spans="9:10">
      <c r="I2047" s="354"/>
      <c r="J2047" s="354"/>
    </row>
    <row r="2048" spans="9:10">
      <c r="I2048" s="354"/>
      <c r="J2048" s="354"/>
    </row>
    <row r="2049" spans="9:10">
      <c r="I2049" s="354"/>
      <c r="J2049" s="354"/>
    </row>
    <row r="2050" spans="9:10">
      <c r="I2050" s="354"/>
      <c r="J2050" s="354"/>
    </row>
    <row r="2051" spans="9:10">
      <c r="I2051" s="354"/>
      <c r="J2051" s="354"/>
    </row>
    <row r="2052" spans="9:10">
      <c r="I2052" s="354"/>
      <c r="J2052" s="354"/>
    </row>
    <row r="2053" spans="9:10">
      <c r="I2053" s="354"/>
      <c r="J2053" s="354"/>
    </row>
    <row r="2054" spans="9:10">
      <c r="I2054" s="354"/>
      <c r="J2054" s="354"/>
    </row>
    <row r="2055" spans="9:10">
      <c r="I2055" s="354"/>
      <c r="J2055" s="354"/>
    </row>
    <row r="2056" spans="9:10">
      <c r="I2056" s="354"/>
      <c r="J2056" s="354"/>
    </row>
    <row r="2057" spans="9:10">
      <c r="I2057" s="354"/>
      <c r="J2057" s="354"/>
    </row>
    <row r="2058" spans="9:10">
      <c r="I2058" s="354"/>
      <c r="J2058" s="354"/>
    </row>
    <row r="2059" spans="9:10">
      <c r="I2059" s="354"/>
      <c r="J2059" s="354"/>
    </row>
    <row r="2060" spans="9:10">
      <c r="I2060" s="354"/>
      <c r="J2060" s="354"/>
    </row>
    <row r="2061" spans="9:10">
      <c r="I2061" s="354"/>
      <c r="J2061" s="354"/>
    </row>
    <row r="2062" spans="9:10">
      <c r="I2062" s="354"/>
      <c r="J2062" s="354"/>
    </row>
    <row r="2063" spans="9:10">
      <c r="I2063" s="354"/>
      <c r="J2063" s="354"/>
    </row>
    <row r="2064" spans="9:10">
      <c r="I2064" s="354"/>
      <c r="J2064" s="354"/>
    </row>
    <row r="2065" spans="9:10">
      <c r="I2065" s="354"/>
      <c r="J2065" s="354"/>
    </row>
    <row r="2066" spans="9:10">
      <c r="I2066" s="354"/>
      <c r="J2066" s="354"/>
    </row>
    <row r="2067" spans="9:10">
      <c r="I2067" s="354"/>
      <c r="J2067" s="354"/>
    </row>
    <row r="2068" spans="9:10">
      <c r="I2068" s="354"/>
      <c r="J2068" s="354"/>
    </row>
    <row r="2069" spans="9:10">
      <c r="I2069" s="354"/>
      <c r="J2069" s="354"/>
    </row>
    <row r="2070" spans="9:10">
      <c r="I2070" s="354"/>
      <c r="J2070" s="354"/>
    </row>
    <row r="2071" spans="9:10">
      <c r="I2071" s="354"/>
      <c r="J2071" s="354"/>
    </row>
    <row r="2072" spans="9:10">
      <c r="I2072" s="354"/>
      <c r="J2072" s="354"/>
    </row>
    <row r="2073" spans="9:10">
      <c r="I2073" s="354"/>
      <c r="J2073" s="354"/>
    </row>
    <row r="2074" spans="9:10">
      <c r="I2074" s="354"/>
      <c r="J2074" s="354"/>
    </row>
    <row r="2075" spans="9:10">
      <c r="I2075" s="354"/>
      <c r="J2075" s="354"/>
    </row>
    <row r="2076" spans="9:10">
      <c r="I2076" s="354"/>
      <c r="J2076" s="354"/>
    </row>
    <row r="2077" spans="9:10">
      <c r="I2077" s="354"/>
      <c r="J2077" s="354"/>
    </row>
    <row r="2078" spans="9:10">
      <c r="I2078" s="354"/>
      <c r="J2078" s="354"/>
    </row>
    <row r="2079" spans="9:10">
      <c r="I2079" s="354"/>
      <c r="J2079" s="354"/>
    </row>
    <row r="2080" spans="9:10">
      <c r="I2080" s="354"/>
      <c r="J2080" s="354"/>
    </row>
    <row r="2081" spans="9:10">
      <c r="I2081" s="354"/>
      <c r="J2081" s="354"/>
    </row>
    <row r="2082" spans="9:10">
      <c r="I2082" s="354"/>
      <c r="J2082" s="354"/>
    </row>
    <row r="2083" spans="9:10">
      <c r="I2083" s="354"/>
      <c r="J2083" s="354"/>
    </row>
    <row r="2084" spans="9:10">
      <c r="I2084" s="354"/>
      <c r="J2084" s="354"/>
    </row>
    <row r="2085" spans="9:10">
      <c r="I2085" s="354"/>
      <c r="J2085" s="354"/>
    </row>
    <row r="2086" spans="9:10">
      <c r="I2086" s="354"/>
      <c r="J2086" s="354"/>
    </row>
    <row r="2087" spans="9:10">
      <c r="I2087" s="354"/>
      <c r="J2087" s="354"/>
    </row>
    <row r="2088" spans="9:10">
      <c r="I2088" s="354"/>
      <c r="J2088" s="354"/>
    </row>
    <row r="2089" spans="9:10">
      <c r="I2089" s="354"/>
      <c r="J2089" s="354"/>
    </row>
    <row r="2090" spans="9:10">
      <c r="I2090" s="354"/>
      <c r="J2090" s="354"/>
    </row>
    <row r="2091" spans="9:10">
      <c r="I2091" s="354"/>
      <c r="J2091" s="354"/>
    </row>
    <row r="2092" spans="9:10">
      <c r="I2092" s="354"/>
      <c r="J2092" s="354"/>
    </row>
    <row r="2093" spans="9:10">
      <c r="I2093" s="354"/>
      <c r="J2093" s="354"/>
    </row>
    <row r="2094" spans="9:10">
      <c r="I2094" s="354"/>
      <c r="J2094" s="354"/>
    </row>
    <row r="2095" spans="9:10">
      <c r="I2095" s="354"/>
      <c r="J2095" s="354"/>
    </row>
    <row r="2096" spans="9:10">
      <c r="I2096" s="354"/>
      <c r="J2096" s="354"/>
    </row>
    <row r="2097" spans="9:10">
      <c r="I2097" s="354"/>
      <c r="J2097" s="354"/>
    </row>
    <row r="2098" spans="9:10">
      <c r="I2098" s="354"/>
      <c r="J2098" s="354"/>
    </row>
    <row r="2099" spans="9:10">
      <c r="I2099" s="354"/>
      <c r="J2099" s="354"/>
    </row>
    <row r="2100" spans="9:10">
      <c r="I2100" s="354"/>
      <c r="J2100" s="354"/>
    </row>
    <row r="2101" spans="9:10">
      <c r="I2101" s="354"/>
      <c r="J2101" s="354"/>
    </row>
    <row r="2102" spans="9:10">
      <c r="I2102" s="354"/>
      <c r="J2102" s="354"/>
    </row>
    <row r="2103" spans="9:10">
      <c r="I2103" s="354"/>
      <c r="J2103" s="354"/>
    </row>
    <row r="2104" spans="9:10">
      <c r="I2104" s="354"/>
      <c r="J2104" s="354"/>
    </row>
    <row r="2105" spans="9:10">
      <c r="I2105" s="354"/>
      <c r="J2105" s="354"/>
    </row>
    <row r="2106" spans="9:10">
      <c r="I2106" s="354"/>
      <c r="J2106" s="354"/>
    </row>
    <row r="2107" spans="9:10">
      <c r="I2107" s="354"/>
      <c r="J2107" s="354"/>
    </row>
    <row r="2108" spans="9:10">
      <c r="I2108" s="354"/>
      <c r="J2108" s="354"/>
    </row>
    <row r="2109" spans="9:10">
      <c r="I2109" s="354"/>
      <c r="J2109" s="354"/>
    </row>
    <row r="2110" spans="9:10">
      <c r="I2110" s="354"/>
      <c r="J2110" s="354"/>
    </row>
    <row r="2111" spans="9:10">
      <c r="I2111" s="354"/>
      <c r="J2111" s="354"/>
    </row>
    <row r="2112" spans="9:10">
      <c r="I2112" s="354"/>
      <c r="J2112" s="354"/>
    </row>
    <row r="2113" spans="9:10">
      <c r="I2113" s="354"/>
      <c r="J2113" s="354"/>
    </row>
    <row r="2114" spans="9:10">
      <c r="I2114" s="354"/>
      <c r="J2114" s="354"/>
    </row>
    <row r="2115" spans="9:10">
      <c r="I2115" s="354"/>
      <c r="J2115" s="354"/>
    </row>
    <row r="2116" spans="9:10">
      <c r="I2116" s="354"/>
      <c r="J2116" s="354"/>
    </row>
    <row r="2117" spans="9:10">
      <c r="I2117" s="354"/>
      <c r="J2117" s="354"/>
    </row>
    <row r="2118" spans="9:10">
      <c r="I2118" s="354"/>
      <c r="J2118" s="354"/>
    </row>
    <row r="2119" spans="9:10">
      <c r="I2119" s="354"/>
      <c r="J2119" s="354"/>
    </row>
    <row r="2120" spans="9:10">
      <c r="I2120" s="354"/>
      <c r="J2120" s="354"/>
    </row>
    <row r="2121" spans="9:10">
      <c r="I2121" s="354"/>
      <c r="J2121" s="354"/>
    </row>
    <row r="2122" spans="9:10">
      <c r="I2122" s="354"/>
      <c r="J2122" s="354"/>
    </row>
    <row r="2123" spans="9:10">
      <c r="I2123" s="354"/>
      <c r="J2123" s="354"/>
    </row>
    <row r="2124" spans="9:10">
      <c r="I2124" s="354"/>
      <c r="J2124" s="354"/>
    </row>
    <row r="2125" spans="9:10">
      <c r="I2125" s="354"/>
      <c r="J2125" s="354"/>
    </row>
    <row r="2126" spans="9:10">
      <c r="I2126" s="354"/>
      <c r="J2126" s="354"/>
    </row>
    <row r="2127" spans="9:10">
      <c r="I2127" s="354"/>
      <c r="J2127" s="354"/>
    </row>
    <row r="2128" spans="9:10">
      <c r="I2128" s="354"/>
      <c r="J2128" s="354"/>
    </row>
    <row r="2129" spans="9:10">
      <c r="I2129" s="354"/>
      <c r="J2129" s="354"/>
    </row>
    <row r="2130" spans="9:10">
      <c r="I2130" s="354"/>
      <c r="J2130" s="354"/>
    </row>
    <row r="2131" spans="9:10">
      <c r="I2131" s="354"/>
      <c r="J2131" s="354"/>
    </row>
    <row r="2132" spans="9:10">
      <c r="I2132" s="354"/>
      <c r="J2132" s="354"/>
    </row>
    <row r="2133" spans="9:10">
      <c r="I2133" s="354"/>
      <c r="J2133" s="354"/>
    </row>
    <row r="2134" spans="9:10">
      <c r="I2134" s="354"/>
      <c r="J2134" s="354"/>
    </row>
    <row r="2135" spans="9:10">
      <c r="I2135" s="354"/>
      <c r="J2135" s="354"/>
    </row>
    <row r="2136" spans="9:10">
      <c r="I2136" s="354"/>
      <c r="J2136" s="354"/>
    </row>
    <row r="2137" spans="9:10">
      <c r="I2137" s="354"/>
      <c r="J2137" s="354"/>
    </row>
    <row r="2138" spans="9:10">
      <c r="I2138" s="354"/>
      <c r="J2138" s="354"/>
    </row>
    <row r="2139" spans="9:10">
      <c r="I2139" s="354"/>
      <c r="J2139" s="354"/>
    </row>
    <row r="2140" spans="9:10">
      <c r="I2140" s="354"/>
      <c r="J2140" s="354"/>
    </row>
    <row r="2141" spans="9:10">
      <c r="I2141" s="354"/>
      <c r="J2141" s="354"/>
    </row>
    <row r="2142" spans="9:10">
      <c r="I2142" s="354"/>
      <c r="J2142" s="354"/>
    </row>
    <row r="2143" spans="9:10">
      <c r="I2143" s="354"/>
      <c r="J2143" s="354"/>
    </row>
    <row r="2144" spans="9:10">
      <c r="I2144" s="354"/>
      <c r="J2144" s="354"/>
    </row>
    <row r="2145" spans="9:10">
      <c r="I2145" s="354"/>
      <c r="J2145" s="354"/>
    </row>
    <row r="2146" spans="9:10">
      <c r="I2146" s="354"/>
      <c r="J2146" s="354"/>
    </row>
    <row r="2147" spans="9:10">
      <c r="I2147" s="354"/>
      <c r="J2147" s="354"/>
    </row>
    <row r="2148" spans="9:10">
      <c r="I2148" s="354"/>
      <c r="J2148" s="354"/>
    </row>
    <row r="2149" spans="9:10">
      <c r="I2149" s="354"/>
      <c r="J2149" s="354"/>
    </row>
    <row r="2150" spans="9:10">
      <c r="I2150" s="354"/>
      <c r="J2150" s="354"/>
    </row>
    <row r="2151" spans="9:10">
      <c r="I2151" s="354"/>
      <c r="J2151" s="354"/>
    </row>
    <row r="2152" spans="9:10">
      <c r="I2152" s="354"/>
      <c r="J2152" s="354"/>
    </row>
    <row r="2153" spans="9:10">
      <c r="I2153" s="354"/>
      <c r="J2153" s="354"/>
    </row>
    <row r="2154" spans="9:10">
      <c r="I2154" s="354"/>
      <c r="J2154" s="354"/>
    </row>
    <row r="2155" spans="9:10">
      <c r="I2155" s="354"/>
      <c r="J2155" s="354"/>
    </row>
    <row r="2156" spans="9:10">
      <c r="I2156" s="354"/>
      <c r="J2156" s="354"/>
    </row>
    <row r="2157" spans="9:10">
      <c r="I2157" s="354"/>
      <c r="J2157" s="354"/>
    </row>
    <row r="2158" spans="9:10">
      <c r="I2158" s="354"/>
      <c r="J2158" s="354"/>
    </row>
    <row r="2159" spans="9:10">
      <c r="I2159" s="354"/>
      <c r="J2159" s="354"/>
    </row>
    <row r="2160" spans="9:10">
      <c r="I2160" s="354"/>
      <c r="J2160" s="354"/>
    </row>
    <row r="2161" spans="9:10">
      <c r="I2161" s="354"/>
      <c r="J2161" s="354"/>
    </row>
    <row r="2162" spans="9:10">
      <c r="I2162" s="354"/>
      <c r="J2162" s="354"/>
    </row>
    <row r="2163" spans="9:10">
      <c r="I2163" s="354"/>
      <c r="J2163" s="354"/>
    </row>
    <row r="2164" spans="9:10">
      <c r="I2164" s="354"/>
      <c r="J2164" s="354"/>
    </row>
    <row r="2165" spans="9:10">
      <c r="I2165" s="354"/>
      <c r="J2165" s="354"/>
    </row>
    <row r="2166" spans="9:10">
      <c r="I2166" s="354"/>
      <c r="J2166" s="354"/>
    </row>
    <row r="2167" spans="9:10">
      <c r="I2167" s="354"/>
      <c r="J2167" s="354"/>
    </row>
    <row r="2168" spans="9:10">
      <c r="I2168" s="354"/>
      <c r="J2168" s="354"/>
    </row>
    <row r="2169" spans="9:10">
      <c r="I2169" s="354"/>
      <c r="J2169" s="354"/>
    </row>
    <row r="2170" spans="9:10">
      <c r="I2170" s="354"/>
      <c r="J2170" s="354"/>
    </row>
    <row r="2171" spans="9:10">
      <c r="I2171" s="354"/>
      <c r="J2171" s="354"/>
    </row>
    <row r="2172" spans="9:10">
      <c r="I2172" s="354"/>
      <c r="J2172" s="354"/>
    </row>
    <row r="2173" spans="9:10">
      <c r="I2173" s="354"/>
      <c r="J2173" s="354"/>
    </row>
    <row r="2174" spans="9:10">
      <c r="I2174" s="354"/>
      <c r="J2174" s="354"/>
    </row>
    <row r="2175" spans="9:10">
      <c r="I2175" s="354"/>
      <c r="J2175" s="354"/>
    </row>
    <row r="2176" spans="9:10">
      <c r="I2176" s="354"/>
      <c r="J2176" s="354"/>
    </row>
    <row r="2177" spans="9:10">
      <c r="I2177" s="354"/>
      <c r="J2177" s="354"/>
    </row>
    <row r="2178" spans="9:10">
      <c r="I2178" s="354"/>
      <c r="J2178" s="354"/>
    </row>
    <row r="2179" spans="9:10">
      <c r="I2179" s="354"/>
      <c r="J2179" s="354"/>
    </row>
    <row r="2180" spans="9:10">
      <c r="I2180" s="354"/>
      <c r="J2180" s="354"/>
    </row>
    <row r="2181" spans="9:10">
      <c r="I2181" s="354"/>
      <c r="J2181" s="354"/>
    </row>
    <row r="2182" spans="9:10">
      <c r="I2182" s="354"/>
      <c r="J2182" s="354"/>
    </row>
    <row r="2183" spans="9:10">
      <c r="I2183" s="354"/>
      <c r="J2183" s="354"/>
    </row>
    <row r="2184" spans="9:10">
      <c r="I2184" s="354"/>
      <c r="J2184" s="354"/>
    </row>
    <row r="2185" spans="9:10">
      <c r="I2185" s="354"/>
      <c r="J2185" s="354"/>
    </row>
    <row r="2186" spans="9:10">
      <c r="I2186" s="354"/>
      <c r="J2186" s="354"/>
    </row>
    <row r="2187" spans="9:10">
      <c r="I2187" s="354"/>
      <c r="J2187" s="354"/>
    </row>
    <row r="2188" spans="9:10">
      <c r="I2188" s="354"/>
      <c r="J2188" s="354"/>
    </row>
    <row r="2189" spans="9:10">
      <c r="I2189" s="354"/>
      <c r="J2189" s="354"/>
    </row>
    <row r="2190" spans="9:10">
      <c r="I2190" s="354"/>
      <c r="J2190" s="354"/>
    </row>
    <row r="2191" spans="9:10">
      <c r="I2191" s="354"/>
      <c r="J2191" s="354"/>
    </row>
    <row r="2192" spans="9:10">
      <c r="I2192" s="354"/>
      <c r="J2192" s="354"/>
    </row>
    <row r="2193" spans="9:10">
      <c r="I2193" s="354"/>
      <c r="J2193" s="354"/>
    </row>
    <row r="2194" spans="9:10">
      <c r="I2194" s="354"/>
      <c r="J2194" s="354"/>
    </row>
    <row r="2195" spans="9:10">
      <c r="I2195" s="354"/>
      <c r="J2195" s="354"/>
    </row>
    <row r="2196" spans="9:10">
      <c r="I2196" s="354"/>
      <c r="J2196" s="354"/>
    </row>
    <row r="2197" spans="9:10">
      <c r="I2197" s="354"/>
      <c r="J2197" s="354"/>
    </row>
    <row r="2198" spans="9:10">
      <c r="I2198" s="354"/>
      <c r="J2198" s="354"/>
    </row>
    <row r="2199" spans="9:10">
      <c r="I2199" s="354"/>
      <c r="J2199" s="354"/>
    </row>
    <row r="2200" spans="9:10">
      <c r="I2200" s="354"/>
      <c r="J2200" s="354"/>
    </row>
    <row r="2201" spans="9:10">
      <c r="I2201" s="354"/>
      <c r="J2201" s="354"/>
    </row>
    <row r="2202" spans="9:10">
      <c r="I2202" s="354"/>
      <c r="J2202" s="354"/>
    </row>
    <row r="2203" spans="9:10">
      <c r="I2203" s="354"/>
      <c r="J2203" s="354"/>
    </row>
    <row r="2204" spans="9:10">
      <c r="I2204" s="354"/>
      <c r="J2204" s="354"/>
    </row>
    <row r="2205" spans="9:10">
      <c r="I2205" s="354"/>
      <c r="J2205" s="354"/>
    </row>
    <row r="2206" spans="9:10">
      <c r="I2206" s="354"/>
      <c r="J2206" s="354"/>
    </row>
    <row r="2207" spans="9:10">
      <c r="I2207" s="354"/>
      <c r="J2207" s="354"/>
    </row>
    <row r="2208" spans="9:10">
      <c r="I2208" s="354"/>
      <c r="J2208" s="354"/>
    </row>
    <row r="2209" spans="9:10">
      <c r="I2209" s="354"/>
      <c r="J2209" s="354"/>
    </row>
    <row r="2210" spans="9:10">
      <c r="I2210" s="354"/>
      <c r="J2210" s="354"/>
    </row>
    <row r="2211" spans="9:10">
      <c r="I2211" s="354"/>
      <c r="J2211" s="354"/>
    </row>
    <row r="2212" spans="9:10">
      <c r="I2212" s="354"/>
      <c r="J2212" s="354"/>
    </row>
    <row r="2213" spans="9:10">
      <c r="I2213" s="354"/>
      <c r="J2213" s="354"/>
    </row>
    <row r="2214" spans="9:10">
      <c r="I2214" s="354"/>
      <c r="J2214" s="354"/>
    </row>
    <row r="2215" spans="9:10">
      <c r="I2215" s="354"/>
      <c r="J2215" s="354"/>
    </row>
    <row r="2216" spans="9:10">
      <c r="I2216" s="354"/>
      <c r="J2216" s="354"/>
    </row>
    <row r="2217" spans="9:10">
      <c r="I2217" s="354"/>
      <c r="J2217" s="354"/>
    </row>
    <row r="2218" spans="9:10">
      <c r="I2218" s="354"/>
      <c r="J2218" s="354"/>
    </row>
    <row r="2219" spans="9:10">
      <c r="I2219" s="354"/>
      <c r="J2219" s="354"/>
    </row>
    <row r="2220" spans="9:10">
      <c r="I2220" s="354"/>
      <c r="J2220" s="354"/>
    </row>
    <row r="2221" spans="9:10">
      <c r="I2221" s="354"/>
      <c r="J2221" s="354"/>
    </row>
    <row r="2222" spans="9:10">
      <c r="I2222" s="354"/>
      <c r="J2222" s="354"/>
    </row>
    <row r="2223" spans="9:10">
      <c r="I2223" s="354"/>
      <c r="J2223" s="354"/>
    </row>
    <row r="2224" spans="9:10">
      <c r="I2224" s="354"/>
      <c r="J2224" s="354"/>
    </row>
    <row r="2225" spans="9:10">
      <c r="I2225" s="354"/>
      <c r="J2225" s="354"/>
    </row>
    <row r="2226" spans="9:10">
      <c r="I2226" s="354"/>
      <c r="J2226" s="354"/>
    </row>
    <row r="2227" spans="9:10">
      <c r="I2227" s="354"/>
      <c r="J2227" s="354"/>
    </row>
    <row r="2228" spans="9:10">
      <c r="I2228" s="354"/>
      <c r="J2228" s="354"/>
    </row>
    <row r="2229" spans="9:10">
      <c r="I2229" s="354"/>
      <c r="J2229" s="354"/>
    </row>
    <row r="2230" spans="9:10">
      <c r="I2230" s="354"/>
      <c r="J2230" s="354"/>
    </row>
    <row r="2231" spans="9:10">
      <c r="I2231" s="354"/>
      <c r="J2231" s="354"/>
    </row>
    <row r="2232" spans="9:10">
      <c r="I2232" s="354"/>
      <c r="J2232" s="354"/>
    </row>
    <row r="2233" spans="9:10">
      <c r="I2233" s="354"/>
      <c r="J2233" s="354"/>
    </row>
    <row r="2234" spans="9:10">
      <c r="I2234" s="354"/>
      <c r="J2234" s="354"/>
    </row>
    <row r="2235" spans="9:10">
      <c r="I2235" s="354"/>
      <c r="J2235" s="354"/>
    </row>
    <row r="2236" spans="9:10">
      <c r="I2236" s="354"/>
      <c r="J2236" s="354"/>
    </row>
    <row r="2237" spans="9:10">
      <c r="I2237" s="354"/>
      <c r="J2237" s="354"/>
    </row>
    <row r="2238" spans="9:10">
      <c r="I2238" s="354"/>
      <c r="J2238" s="354"/>
    </row>
    <row r="2239" spans="9:10">
      <c r="I2239" s="354"/>
      <c r="J2239" s="354"/>
    </row>
    <row r="2240" spans="9:10">
      <c r="I2240" s="354"/>
      <c r="J2240" s="354"/>
    </row>
    <row r="2241" spans="9:10">
      <c r="I2241" s="354"/>
      <c r="J2241" s="354"/>
    </row>
    <row r="2242" spans="9:10">
      <c r="I2242" s="354"/>
      <c r="J2242" s="354"/>
    </row>
    <row r="2243" spans="9:10">
      <c r="I2243" s="354"/>
      <c r="J2243" s="354"/>
    </row>
    <row r="2244" spans="9:10">
      <c r="I2244" s="354"/>
      <c r="J2244" s="354"/>
    </row>
    <row r="2245" spans="9:10">
      <c r="I2245" s="354"/>
      <c r="J2245" s="354"/>
    </row>
    <row r="2246" spans="9:10">
      <c r="I2246" s="354"/>
      <c r="J2246" s="354"/>
    </row>
    <row r="2247" spans="9:10">
      <c r="I2247" s="354"/>
      <c r="J2247" s="354"/>
    </row>
    <row r="2248" spans="9:10">
      <c r="I2248" s="354"/>
      <c r="J2248" s="354"/>
    </row>
    <row r="2249" spans="9:10">
      <c r="I2249" s="354"/>
      <c r="J2249" s="354"/>
    </row>
    <row r="2250" spans="9:10">
      <c r="I2250" s="354"/>
      <c r="J2250" s="354"/>
    </row>
    <row r="2251" spans="9:10">
      <c r="I2251" s="354"/>
      <c r="J2251" s="354"/>
    </row>
    <row r="2252" spans="9:10">
      <c r="I2252" s="354"/>
      <c r="J2252" s="354"/>
    </row>
    <row r="2253" spans="9:10">
      <c r="I2253" s="354"/>
      <c r="J2253" s="354"/>
    </row>
    <row r="2254" spans="9:10">
      <c r="I2254" s="354"/>
      <c r="J2254" s="354"/>
    </row>
    <row r="2255" spans="9:10">
      <c r="I2255" s="354"/>
      <c r="J2255" s="354"/>
    </row>
    <row r="2256" spans="9:10">
      <c r="I2256" s="354"/>
      <c r="J2256" s="354"/>
    </row>
    <row r="2257" spans="9:10">
      <c r="I2257" s="354"/>
      <c r="J2257" s="354"/>
    </row>
    <row r="2258" spans="9:10">
      <c r="I2258" s="354"/>
      <c r="J2258" s="354"/>
    </row>
    <row r="2259" spans="9:10">
      <c r="I2259" s="354"/>
      <c r="J2259" s="354"/>
    </row>
    <row r="2260" spans="9:10">
      <c r="I2260" s="354"/>
      <c r="J2260" s="354"/>
    </row>
    <row r="2261" spans="9:10">
      <c r="I2261" s="354"/>
      <c r="J2261" s="354"/>
    </row>
    <row r="2262" spans="9:10">
      <c r="I2262" s="354"/>
      <c r="J2262" s="354"/>
    </row>
    <row r="2263" spans="9:10">
      <c r="I2263" s="354"/>
      <c r="J2263" s="354"/>
    </row>
    <row r="2264" spans="9:10">
      <c r="I2264" s="354"/>
      <c r="J2264" s="354"/>
    </row>
    <row r="2265" spans="9:10">
      <c r="I2265" s="354"/>
      <c r="J2265" s="354"/>
    </row>
    <row r="2266" spans="9:10">
      <c r="I2266" s="354"/>
      <c r="J2266" s="354"/>
    </row>
    <row r="2267" spans="9:10">
      <c r="I2267" s="354"/>
      <c r="J2267" s="354"/>
    </row>
    <row r="2268" spans="9:10">
      <c r="I2268" s="354"/>
      <c r="J2268" s="354"/>
    </row>
    <row r="2269" spans="9:10">
      <c r="I2269" s="354"/>
      <c r="J2269" s="354"/>
    </row>
    <row r="2270" spans="9:10">
      <c r="I2270" s="354"/>
      <c r="J2270" s="354"/>
    </row>
    <row r="2271" spans="9:10">
      <c r="I2271" s="354"/>
      <c r="J2271" s="354"/>
    </row>
    <row r="2272" spans="9:10">
      <c r="I2272" s="354"/>
      <c r="J2272" s="354"/>
    </row>
    <row r="2273" spans="9:10">
      <c r="I2273" s="354"/>
      <c r="J2273" s="354"/>
    </row>
    <row r="2274" spans="9:10">
      <c r="I2274" s="354"/>
      <c r="J2274" s="354"/>
    </row>
    <row r="2275" spans="9:10">
      <c r="I2275" s="354"/>
      <c r="J2275" s="354"/>
    </row>
    <row r="2276" spans="9:10">
      <c r="I2276" s="354"/>
      <c r="J2276" s="354"/>
    </row>
    <row r="2277" spans="9:10">
      <c r="I2277" s="354"/>
      <c r="J2277" s="354"/>
    </row>
    <row r="2278" spans="9:10">
      <c r="I2278" s="354"/>
      <c r="J2278" s="354"/>
    </row>
    <row r="2279" spans="9:10">
      <c r="I2279" s="354"/>
      <c r="J2279" s="354"/>
    </row>
    <row r="2280" spans="9:10">
      <c r="I2280" s="354"/>
      <c r="J2280" s="354"/>
    </row>
    <row r="2281" spans="9:10">
      <c r="I2281" s="354"/>
      <c r="J2281" s="354"/>
    </row>
    <row r="2282" spans="9:10">
      <c r="I2282" s="354"/>
      <c r="J2282" s="354"/>
    </row>
    <row r="2283" spans="9:10">
      <c r="I2283" s="354"/>
      <c r="J2283" s="354"/>
    </row>
    <row r="2284" spans="9:10">
      <c r="I2284" s="354"/>
      <c r="J2284" s="354"/>
    </row>
    <row r="2285" spans="9:10">
      <c r="I2285" s="354"/>
      <c r="J2285" s="354"/>
    </row>
    <row r="2286" spans="9:10">
      <c r="I2286" s="354"/>
      <c r="J2286" s="354"/>
    </row>
    <row r="2287" spans="9:10">
      <c r="I2287" s="354"/>
      <c r="J2287" s="354"/>
    </row>
    <row r="2288" spans="9:10">
      <c r="I2288" s="354"/>
      <c r="J2288" s="354"/>
    </row>
    <row r="2289" spans="9:10">
      <c r="I2289" s="354"/>
      <c r="J2289" s="354"/>
    </row>
    <row r="2290" spans="9:10">
      <c r="I2290" s="354"/>
      <c r="J2290" s="354"/>
    </row>
    <row r="2291" spans="9:10">
      <c r="I2291" s="354"/>
      <c r="J2291" s="354"/>
    </row>
    <row r="2292" spans="9:10">
      <c r="I2292" s="354"/>
      <c r="J2292" s="354"/>
    </row>
    <row r="2293" spans="9:10">
      <c r="I2293" s="354"/>
      <c r="J2293" s="354"/>
    </row>
    <row r="2294" spans="9:10">
      <c r="I2294" s="354"/>
      <c r="J2294" s="354"/>
    </row>
    <row r="2295" spans="9:10">
      <c r="I2295" s="354"/>
      <c r="J2295" s="354"/>
    </row>
    <row r="2296" spans="9:10">
      <c r="I2296" s="354"/>
      <c r="J2296" s="354"/>
    </row>
    <row r="2297" spans="9:10">
      <c r="I2297" s="354"/>
      <c r="J2297" s="354"/>
    </row>
    <row r="2298" spans="9:10">
      <c r="I2298" s="354"/>
      <c r="J2298" s="354"/>
    </row>
    <row r="2299" spans="9:10">
      <c r="I2299" s="354"/>
      <c r="J2299" s="354"/>
    </row>
    <row r="2300" spans="9:10">
      <c r="I2300" s="354"/>
      <c r="J2300" s="354"/>
    </row>
    <row r="2301" spans="9:10">
      <c r="I2301" s="354"/>
      <c r="J2301" s="354"/>
    </row>
    <row r="2302" spans="9:10">
      <c r="I2302" s="354"/>
      <c r="J2302" s="354"/>
    </row>
    <row r="2303" spans="9:10">
      <c r="I2303" s="354"/>
      <c r="J2303" s="354"/>
    </row>
    <row r="2304" spans="9:10">
      <c r="I2304" s="354"/>
      <c r="J2304" s="354"/>
    </row>
    <row r="2305" spans="9:10">
      <c r="I2305" s="354"/>
      <c r="J2305" s="354"/>
    </row>
    <row r="2306" spans="9:10">
      <c r="I2306" s="354"/>
      <c r="J2306" s="354"/>
    </row>
    <row r="2307" spans="9:10">
      <c r="I2307" s="354"/>
      <c r="J2307" s="354"/>
    </row>
    <row r="2308" spans="9:10">
      <c r="I2308" s="354"/>
      <c r="J2308" s="354"/>
    </row>
    <row r="2309" spans="9:10">
      <c r="I2309" s="354"/>
      <c r="J2309" s="354"/>
    </row>
    <row r="2310" spans="9:10">
      <c r="I2310" s="354"/>
      <c r="J2310" s="354"/>
    </row>
    <row r="2311" spans="9:10">
      <c r="I2311" s="354"/>
      <c r="J2311" s="354"/>
    </row>
    <row r="2312" spans="9:10">
      <c r="I2312" s="354"/>
      <c r="J2312" s="354"/>
    </row>
    <row r="2313" spans="9:10">
      <c r="I2313" s="354"/>
      <c r="J2313" s="354"/>
    </row>
    <row r="2314" spans="9:10">
      <c r="I2314" s="354"/>
      <c r="J2314" s="354"/>
    </row>
    <row r="2315" spans="9:10">
      <c r="I2315" s="354"/>
      <c r="J2315" s="354"/>
    </row>
    <row r="2316" spans="9:10">
      <c r="I2316" s="354"/>
      <c r="J2316" s="354"/>
    </row>
    <row r="2317" spans="9:10">
      <c r="I2317" s="354"/>
      <c r="J2317" s="354"/>
    </row>
    <row r="2318" spans="9:10">
      <c r="I2318" s="354"/>
      <c r="J2318" s="354"/>
    </row>
    <row r="2319" spans="9:10">
      <c r="I2319" s="354"/>
      <c r="J2319" s="354"/>
    </row>
    <row r="2320" spans="9:10">
      <c r="I2320" s="354"/>
      <c r="J2320" s="354"/>
    </row>
    <row r="2321" spans="9:10">
      <c r="I2321" s="354"/>
      <c r="J2321" s="354"/>
    </row>
    <row r="2322" spans="9:10">
      <c r="I2322" s="354"/>
      <c r="J2322" s="354"/>
    </row>
    <row r="2323" spans="9:10">
      <c r="I2323" s="354"/>
      <c r="J2323" s="354"/>
    </row>
    <row r="2324" spans="9:10">
      <c r="I2324" s="354"/>
      <c r="J2324" s="354"/>
    </row>
    <row r="2325" spans="9:10">
      <c r="I2325" s="354"/>
      <c r="J2325" s="354"/>
    </row>
    <row r="2326" spans="9:10">
      <c r="I2326" s="354"/>
      <c r="J2326" s="354"/>
    </row>
    <row r="2327" spans="9:10">
      <c r="I2327" s="354"/>
      <c r="J2327" s="354"/>
    </row>
    <row r="2328" spans="9:10">
      <c r="I2328" s="354"/>
      <c r="J2328" s="354"/>
    </row>
    <row r="2329" spans="9:10">
      <c r="I2329" s="354"/>
      <c r="J2329" s="354"/>
    </row>
    <row r="2330" spans="9:10">
      <c r="I2330" s="354"/>
      <c r="J2330" s="354"/>
    </row>
    <row r="2331" spans="9:10">
      <c r="I2331" s="354"/>
      <c r="J2331" s="354"/>
    </row>
    <row r="2332" spans="9:10">
      <c r="I2332" s="354"/>
      <c r="J2332" s="354"/>
    </row>
    <row r="2333" spans="9:10">
      <c r="I2333" s="354"/>
      <c r="J2333" s="354"/>
    </row>
    <row r="2334" spans="9:10">
      <c r="I2334" s="354"/>
      <c r="J2334" s="354"/>
    </row>
    <row r="2335" spans="9:10">
      <c r="I2335" s="354"/>
      <c r="J2335" s="354"/>
    </row>
    <row r="2336" spans="9:10">
      <c r="I2336" s="354"/>
      <c r="J2336" s="354"/>
    </row>
    <row r="2337" spans="9:10">
      <c r="I2337" s="354"/>
      <c r="J2337" s="354"/>
    </row>
    <row r="2338" spans="9:10">
      <c r="I2338" s="354"/>
      <c r="J2338" s="354"/>
    </row>
    <row r="2339" spans="9:10">
      <c r="I2339" s="354"/>
      <c r="J2339" s="354"/>
    </row>
    <row r="2340" spans="9:10">
      <c r="I2340" s="354"/>
      <c r="J2340" s="354"/>
    </row>
    <row r="2341" spans="9:10">
      <c r="I2341" s="354"/>
      <c r="J2341" s="354"/>
    </row>
    <row r="2342" spans="9:10">
      <c r="I2342" s="354"/>
      <c r="J2342" s="354"/>
    </row>
    <row r="2343" spans="9:10">
      <c r="I2343" s="354"/>
      <c r="J2343" s="354"/>
    </row>
    <row r="2344" spans="9:10">
      <c r="I2344" s="354"/>
      <c r="J2344" s="354"/>
    </row>
    <row r="2345" spans="9:10">
      <c r="I2345" s="354"/>
      <c r="J2345" s="354"/>
    </row>
    <row r="2346" spans="9:10">
      <c r="I2346" s="354"/>
      <c r="J2346" s="354"/>
    </row>
    <row r="2347" spans="9:10">
      <c r="I2347" s="354"/>
      <c r="J2347" s="354"/>
    </row>
    <row r="2348" spans="9:10">
      <c r="I2348" s="354"/>
      <c r="J2348" s="354"/>
    </row>
    <row r="2349" spans="9:10">
      <c r="I2349" s="354"/>
      <c r="J2349" s="354"/>
    </row>
    <row r="2350" spans="9:10">
      <c r="I2350" s="354"/>
      <c r="J2350" s="354"/>
    </row>
    <row r="2351" spans="9:10">
      <c r="I2351" s="354"/>
      <c r="J2351" s="354"/>
    </row>
    <row r="2352" spans="9:10">
      <c r="I2352" s="354"/>
      <c r="J2352" s="354"/>
    </row>
    <row r="2353" spans="9:10">
      <c r="I2353" s="354"/>
      <c r="J2353" s="354"/>
    </row>
    <row r="2354" spans="9:10">
      <c r="I2354" s="354"/>
      <c r="J2354" s="354"/>
    </row>
    <row r="2355" spans="9:10">
      <c r="I2355" s="354"/>
      <c r="J2355" s="354"/>
    </row>
    <row r="2356" spans="9:10">
      <c r="I2356" s="354"/>
      <c r="J2356" s="354"/>
    </row>
    <row r="2357" spans="9:10">
      <c r="I2357" s="354"/>
      <c r="J2357" s="354"/>
    </row>
    <row r="2358" spans="9:10">
      <c r="I2358" s="354"/>
      <c r="J2358" s="354"/>
    </row>
    <row r="2359" spans="9:10">
      <c r="I2359" s="354"/>
      <c r="J2359" s="354"/>
    </row>
    <row r="2360" spans="9:10">
      <c r="I2360" s="354"/>
      <c r="J2360" s="354"/>
    </row>
    <row r="2361" spans="9:10">
      <c r="I2361" s="354"/>
      <c r="J2361" s="354"/>
    </row>
    <row r="2362" spans="9:10">
      <c r="I2362" s="354"/>
      <c r="J2362" s="354"/>
    </row>
    <row r="2363" spans="9:10">
      <c r="I2363" s="354"/>
      <c r="J2363" s="354"/>
    </row>
    <row r="2364" spans="9:10">
      <c r="I2364" s="354"/>
      <c r="J2364" s="354"/>
    </row>
    <row r="2365" spans="9:10">
      <c r="I2365" s="354"/>
      <c r="J2365" s="354"/>
    </row>
    <row r="2366" spans="9:10">
      <c r="I2366" s="354"/>
      <c r="J2366" s="354"/>
    </row>
    <row r="2367" spans="9:10">
      <c r="I2367" s="354"/>
      <c r="J2367" s="354"/>
    </row>
    <row r="2368" spans="9:10">
      <c r="I2368" s="354"/>
      <c r="J2368" s="354"/>
    </row>
    <row r="2369" spans="9:10">
      <c r="I2369" s="354"/>
      <c r="J2369" s="354"/>
    </row>
    <row r="2370" spans="9:10">
      <c r="I2370" s="354"/>
      <c r="J2370" s="354"/>
    </row>
    <row r="2371" spans="9:10">
      <c r="I2371" s="354"/>
      <c r="J2371" s="354"/>
    </row>
    <row r="2372" spans="9:10">
      <c r="I2372" s="354"/>
      <c r="J2372" s="354"/>
    </row>
    <row r="2373" spans="9:10">
      <c r="I2373" s="354"/>
      <c r="J2373" s="354"/>
    </row>
    <row r="2374" spans="9:10">
      <c r="I2374" s="354"/>
      <c r="J2374" s="354"/>
    </row>
    <row r="2375" spans="9:10">
      <c r="I2375" s="354"/>
      <c r="J2375" s="354"/>
    </row>
    <row r="2376" spans="9:10">
      <c r="I2376" s="354"/>
      <c r="J2376" s="354"/>
    </row>
    <row r="2377" spans="9:10">
      <c r="I2377" s="354"/>
      <c r="J2377" s="354"/>
    </row>
    <row r="2378" spans="9:10">
      <c r="I2378" s="354"/>
      <c r="J2378" s="354"/>
    </row>
    <row r="2379" spans="9:10">
      <c r="I2379" s="354"/>
      <c r="J2379" s="354"/>
    </row>
    <row r="2380" spans="9:10">
      <c r="I2380" s="354"/>
      <c r="J2380" s="354"/>
    </row>
    <row r="2381" spans="9:10">
      <c r="I2381" s="354"/>
      <c r="J2381" s="354"/>
    </row>
    <row r="2382" spans="9:10">
      <c r="I2382" s="354"/>
      <c r="J2382" s="354"/>
    </row>
    <row r="2383" spans="9:10">
      <c r="I2383" s="354"/>
      <c r="J2383" s="354"/>
    </row>
    <row r="2384" spans="9:10">
      <c r="I2384" s="354"/>
      <c r="J2384" s="354"/>
    </row>
    <row r="2385" spans="9:10">
      <c r="I2385" s="354"/>
      <c r="J2385" s="354"/>
    </row>
    <row r="2386" spans="9:10">
      <c r="I2386" s="354"/>
      <c r="J2386" s="354"/>
    </row>
    <row r="2387" spans="9:10">
      <c r="I2387" s="354"/>
      <c r="J2387" s="354"/>
    </row>
    <row r="2388" spans="9:10">
      <c r="I2388" s="354"/>
      <c r="J2388" s="354"/>
    </row>
    <row r="2389" spans="9:10">
      <c r="I2389" s="354"/>
      <c r="J2389" s="354"/>
    </row>
    <row r="2390" spans="9:10">
      <c r="I2390" s="354"/>
      <c r="J2390" s="354"/>
    </row>
    <row r="2391" spans="9:10">
      <c r="I2391" s="354"/>
      <c r="J2391" s="354"/>
    </row>
    <row r="2392" spans="9:10">
      <c r="I2392" s="354"/>
      <c r="J2392" s="354"/>
    </row>
    <row r="2393" spans="9:10">
      <c r="I2393" s="354"/>
      <c r="J2393" s="354"/>
    </row>
    <row r="2394" spans="9:10">
      <c r="I2394" s="354"/>
      <c r="J2394" s="354"/>
    </row>
    <row r="2395" spans="9:10">
      <c r="I2395" s="354"/>
      <c r="J2395" s="354"/>
    </row>
    <row r="2396" spans="9:10">
      <c r="I2396" s="354"/>
      <c r="J2396" s="354"/>
    </row>
    <row r="2397" spans="9:10">
      <c r="I2397" s="354"/>
      <c r="J2397" s="354"/>
    </row>
    <row r="2398" spans="9:10">
      <c r="I2398" s="354"/>
      <c r="J2398" s="354"/>
    </row>
    <row r="2399" spans="9:10">
      <c r="I2399" s="354"/>
      <c r="J2399" s="354"/>
    </row>
    <row r="2400" spans="9:10">
      <c r="I2400" s="354"/>
      <c r="J2400" s="354"/>
    </row>
    <row r="2401" spans="9:10">
      <c r="I2401" s="354"/>
      <c r="J2401" s="354"/>
    </row>
    <row r="2402" spans="9:10">
      <c r="I2402" s="354"/>
      <c r="J2402" s="354"/>
    </row>
    <row r="2403" spans="9:10">
      <c r="I2403" s="354"/>
      <c r="J2403" s="354"/>
    </row>
    <row r="2404" spans="9:10">
      <c r="I2404" s="354"/>
      <c r="J2404" s="354"/>
    </row>
    <row r="2405" spans="9:10">
      <c r="I2405" s="354"/>
      <c r="J2405" s="354"/>
    </row>
    <row r="2406" spans="9:10">
      <c r="I2406" s="354"/>
      <c r="J2406" s="354"/>
    </row>
    <row r="2407" spans="9:10">
      <c r="I2407" s="354"/>
      <c r="J2407" s="354"/>
    </row>
    <row r="2408" spans="9:10">
      <c r="I2408" s="354"/>
      <c r="J2408" s="354"/>
    </row>
    <row r="2409" spans="9:10">
      <c r="I2409" s="354"/>
      <c r="J2409" s="354"/>
    </row>
    <row r="2410" spans="9:10">
      <c r="I2410" s="354"/>
      <c r="J2410" s="354"/>
    </row>
    <row r="2411" spans="9:10">
      <c r="I2411" s="354"/>
      <c r="J2411" s="354"/>
    </row>
    <row r="2412" spans="9:10">
      <c r="I2412" s="354"/>
      <c r="J2412" s="354"/>
    </row>
    <row r="2413" spans="9:10">
      <c r="I2413" s="354"/>
      <c r="J2413" s="354"/>
    </row>
    <row r="2414" spans="9:10">
      <c r="I2414" s="354"/>
      <c r="J2414" s="354"/>
    </row>
    <row r="2415" spans="9:10">
      <c r="I2415" s="354"/>
      <c r="J2415" s="354"/>
    </row>
    <row r="2416" spans="9:10">
      <c r="I2416" s="354"/>
      <c r="J2416" s="354"/>
    </row>
    <row r="2417" spans="9:10">
      <c r="I2417" s="354"/>
      <c r="J2417" s="354"/>
    </row>
    <row r="2418" spans="9:10">
      <c r="I2418" s="354"/>
      <c r="J2418" s="354"/>
    </row>
    <row r="2419" spans="9:10">
      <c r="I2419" s="354"/>
      <c r="J2419" s="354"/>
    </row>
    <row r="2420" spans="9:10">
      <c r="I2420" s="354"/>
      <c r="J2420" s="354"/>
    </row>
    <row r="2421" spans="9:10">
      <c r="I2421" s="354"/>
      <c r="J2421" s="354"/>
    </row>
    <row r="2422" spans="9:10">
      <c r="I2422" s="354"/>
      <c r="J2422" s="354"/>
    </row>
    <row r="2423" spans="9:10">
      <c r="I2423" s="354"/>
      <c r="J2423" s="354"/>
    </row>
    <row r="2424" spans="9:10">
      <c r="I2424" s="354"/>
      <c r="J2424" s="354"/>
    </row>
    <row r="2425" spans="9:10">
      <c r="I2425" s="354"/>
      <c r="J2425" s="354"/>
    </row>
    <row r="2426" spans="9:10">
      <c r="I2426" s="354"/>
      <c r="J2426" s="354"/>
    </row>
    <row r="2427" spans="9:10">
      <c r="I2427" s="354"/>
      <c r="J2427" s="354"/>
    </row>
    <row r="2428" spans="9:10">
      <c r="I2428" s="354"/>
      <c r="J2428" s="354"/>
    </row>
    <row r="2429" spans="9:10">
      <c r="I2429" s="354"/>
      <c r="J2429" s="354"/>
    </row>
    <row r="2430" spans="9:10">
      <c r="I2430" s="354"/>
      <c r="J2430" s="354"/>
    </row>
    <row r="2431" spans="9:10">
      <c r="I2431" s="354"/>
      <c r="J2431" s="354"/>
    </row>
    <row r="2432" spans="9:10">
      <c r="I2432" s="354"/>
      <c r="J2432" s="354"/>
    </row>
    <row r="2433" spans="9:10">
      <c r="I2433" s="354"/>
      <c r="J2433" s="354"/>
    </row>
    <row r="2434" spans="9:10">
      <c r="I2434" s="354"/>
      <c r="J2434" s="354"/>
    </row>
    <row r="2435" spans="9:10">
      <c r="I2435" s="354"/>
      <c r="J2435" s="354"/>
    </row>
    <row r="2436" spans="9:10">
      <c r="I2436" s="354"/>
      <c r="J2436" s="354"/>
    </row>
    <row r="2437" spans="9:10">
      <c r="I2437" s="354"/>
      <c r="J2437" s="354"/>
    </row>
    <row r="2438" spans="9:10">
      <c r="I2438" s="354"/>
      <c r="J2438" s="354"/>
    </row>
    <row r="2439" spans="9:10">
      <c r="I2439" s="354"/>
      <c r="J2439" s="354"/>
    </row>
    <row r="2440" spans="9:10">
      <c r="I2440" s="354"/>
      <c r="J2440" s="354"/>
    </row>
    <row r="2441" spans="9:10">
      <c r="I2441" s="354"/>
      <c r="J2441" s="354"/>
    </row>
    <row r="2442" spans="9:10">
      <c r="I2442" s="354"/>
      <c r="J2442" s="354"/>
    </row>
    <row r="2443" spans="9:10">
      <c r="I2443" s="354"/>
      <c r="J2443" s="354"/>
    </row>
    <row r="2444" spans="9:10">
      <c r="I2444" s="354"/>
      <c r="J2444" s="354"/>
    </row>
    <row r="2445" spans="9:10">
      <c r="I2445" s="354"/>
      <c r="J2445" s="354"/>
    </row>
    <row r="2446" spans="9:10">
      <c r="I2446" s="354"/>
      <c r="J2446" s="354"/>
    </row>
    <row r="2447" spans="9:10">
      <c r="I2447" s="354"/>
      <c r="J2447" s="354"/>
    </row>
    <row r="2448" spans="9:10">
      <c r="I2448" s="354"/>
      <c r="J2448" s="354"/>
    </row>
    <row r="2449" spans="9:10">
      <c r="I2449" s="354"/>
      <c r="J2449" s="354"/>
    </row>
    <row r="2450" spans="9:10">
      <c r="I2450" s="354"/>
      <c r="J2450" s="354"/>
    </row>
    <row r="2451" spans="9:10">
      <c r="I2451" s="354"/>
      <c r="J2451" s="354"/>
    </row>
    <row r="2452" spans="9:10">
      <c r="I2452" s="354"/>
      <c r="J2452" s="354"/>
    </row>
    <row r="2453" spans="9:10">
      <c r="I2453" s="354"/>
      <c r="J2453" s="354"/>
    </row>
    <row r="2454" spans="9:10">
      <c r="I2454" s="354"/>
      <c r="J2454" s="354"/>
    </row>
    <row r="2455" spans="9:10">
      <c r="I2455" s="354"/>
      <c r="J2455" s="354"/>
    </row>
    <row r="2456" spans="9:10">
      <c r="I2456" s="354"/>
      <c r="J2456" s="354"/>
    </row>
    <row r="2457" spans="9:10">
      <c r="I2457" s="354"/>
      <c r="J2457" s="354"/>
    </row>
    <row r="2458" spans="9:10">
      <c r="I2458" s="354"/>
      <c r="J2458" s="354"/>
    </row>
    <row r="2459" spans="9:10">
      <c r="I2459" s="354"/>
      <c r="J2459" s="354"/>
    </row>
    <row r="2460" spans="9:10">
      <c r="I2460" s="354"/>
      <c r="J2460" s="354"/>
    </row>
    <row r="2461" spans="9:10">
      <c r="I2461" s="354"/>
      <c r="J2461" s="354"/>
    </row>
    <row r="2462" spans="9:10">
      <c r="I2462" s="354"/>
      <c r="J2462" s="354"/>
    </row>
    <row r="2463" spans="9:10">
      <c r="I2463" s="354"/>
      <c r="J2463" s="354"/>
    </row>
    <row r="2464" spans="9:10">
      <c r="I2464" s="354"/>
      <c r="J2464" s="354"/>
    </row>
    <row r="2465" spans="9:10">
      <c r="I2465" s="354"/>
      <c r="J2465" s="354"/>
    </row>
    <row r="2466" spans="9:10">
      <c r="I2466" s="354"/>
      <c r="J2466" s="354"/>
    </row>
    <row r="2467" spans="9:10">
      <c r="I2467" s="354"/>
      <c r="J2467" s="354"/>
    </row>
    <row r="2468" spans="9:10">
      <c r="I2468" s="354"/>
      <c r="J2468" s="354"/>
    </row>
    <row r="2469" spans="9:10">
      <c r="I2469" s="354"/>
      <c r="J2469" s="354"/>
    </row>
    <row r="2470" spans="9:10">
      <c r="I2470" s="354"/>
      <c r="J2470" s="354"/>
    </row>
    <row r="2471" spans="9:10">
      <c r="I2471" s="354"/>
      <c r="J2471" s="354"/>
    </row>
    <row r="2472" spans="9:10">
      <c r="I2472" s="354"/>
      <c r="J2472" s="354"/>
    </row>
    <row r="2473" spans="9:10">
      <c r="I2473" s="354"/>
      <c r="J2473" s="354"/>
    </row>
    <row r="2474" spans="9:10">
      <c r="I2474" s="354"/>
      <c r="J2474" s="354"/>
    </row>
    <row r="2475" spans="9:10">
      <c r="I2475" s="354"/>
      <c r="J2475" s="354"/>
    </row>
    <row r="2476" spans="9:10">
      <c r="I2476" s="354"/>
      <c r="J2476" s="354"/>
    </row>
    <row r="2477" spans="9:10">
      <c r="I2477" s="354"/>
      <c r="J2477" s="354"/>
    </row>
    <row r="2478" spans="9:10">
      <c r="I2478" s="354"/>
      <c r="J2478" s="354"/>
    </row>
    <row r="2479" spans="9:10">
      <c r="I2479" s="354"/>
      <c r="J2479" s="354"/>
    </row>
    <row r="2480" spans="9:10">
      <c r="I2480" s="354"/>
      <c r="J2480" s="354"/>
    </row>
    <row r="2481" spans="9:10">
      <c r="I2481" s="354"/>
      <c r="J2481" s="354"/>
    </row>
    <row r="2482" spans="9:10">
      <c r="I2482" s="354"/>
      <c r="J2482" s="354"/>
    </row>
    <row r="2483" spans="9:10">
      <c r="I2483" s="354"/>
      <c r="J2483" s="354"/>
    </row>
    <row r="2484" spans="9:10">
      <c r="I2484" s="354"/>
      <c r="J2484" s="354"/>
    </row>
    <row r="2485" spans="9:10">
      <c r="I2485" s="354"/>
      <c r="J2485" s="354"/>
    </row>
    <row r="2486" spans="9:10">
      <c r="I2486" s="354"/>
      <c r="J2486" s="354"/>
    </row>
    <row r="2487" spans="9:10">
      <c r="I2487" s="354"/>
      <c r="J2487" s="354"/>
    </row>
    <row r="2488" spans="9:10">
      <c r="I2488" s="354"/>
      <c r="J2488" s="354"/>
    </row>
    <row r="2489" spans="9:10">
      <c r="I2489" s="354"/>
      <c r="J2489" s="354"/>
    </row>
    <row r="2490" spans="9:10">
      <c r="I2490" s="354"/>
      <c r="J2490" s="354"/>
    </row>
    <row r="2491" spans="9:10">
      <c r="I2491" s="354"/>
      <c r="J2491" s="354"/>
    </row>
    <row r="2492" spans="9:10">
      <c r="I2492" s="354"/>
      <c r="J2492" s="354"/>
    </row>
    <row r="2493" spans="9:10">
      <c r="I2493" s="354"/>
      <c r="J2493" s="354"/>
    </row>
    <row r="2494" spans="9:10">
      <c r="I2494" s="354"/>
      <c r="J2494" s="354"/>
    </row>
    <row r="2495" spans="9:10">
      <c r="I2495" s="354"/>
      <c r="J2495" s="354"/>
    </row>
    <row r="2496" spans="9:10">
      <c r="I2496" s="354"/>
      <c r="J2496" s="354"/>
    </row>
    <row r="2497" spans="9:10">
      <c r="I2497" s="354"/>
      <c r="J2497" s="354"/>
    </row>
    <row r="2498" spans="9:10">
      <c r="I2498" s="354"/>
      <c r="J2498" s="354"/>
    </row>
    <row r="2499" spans="9:10">
      <c r="I2499" s="354"/>
      <c r="J2499" s="354"/>
    </row>
    <row r="2500" spans="9:10">
      <c r="I2500" s="354"/>
      <c r="J2500" s="354"/>
    </row>
    <row r="2501" spans="9:10">
      <c r="I2501" s="354"/>
      <c r="J2501" s="354"/>
    </row>
    <row r="2502" spans="9:10">
      <c r="I2502" s="354"/>
      <c r="J2502" s="354"/>
    </row>
    <row r="2503" spans="9:10">
      <c r="I2503" s="354"/>
      <c r="J2503" s="354"/>
    </row>
    <row r="2504" spans="9:10">
      <c r="I2504" s="354"/>
      <c r="J2504" s="354"/>
    </row>
    <row r="2505" spans="9:10">
      <c r="I2505" s="354"/>
      <c r="J2505" s="354"/>
    </row>
    <row r="2506" spans="9:10">
      <c r="I2506" s="354"/>
      <c r="J2506" s="354"/>
    </row>
    <row r="2507" spans="9:10">
      <c r="I2507" s="354"/>
      <c r="J2507" s="354"/>
    </row>
    <row r="2508" spans="9:10">
      <c r="I2508" s="354"/>
      <c r="J2508" s="354"/>
    </row>
    <row r="2509" spans="9:10">
      <c r="I2509" s="354"/>
      <c r="J2509" s="354"/>
    </row>
    <row r="2510" spans="9:10">
      <c r="I2510" s="354"/>
      <c r="J2510" s="354"/>
    </row>
    <row r="2511" spans="9:10">
      <c r="I2511" s="354"/>
      <c r="J2511" s="354"/>
    </row>
    <row r="2512" spans="9:10">
      <c r="I2512" s="354"/>
      <c r="J2512" s="354"/>
    </row>
    <row r="2513" spans="9:10">
      <c r="I2513" s="354"/>
      <c r="J2513" s="354"/>
    </row>
    <row r="2514" spans="9:10">
      <c r="I2514" s="354"/>
      <c r="J2514" s="354"/>
    </row>
    <row r="2515" spans="9:10">
      <c r="I2515" s="354"/>
      <c r="J2515" s="354"/>
    </row>
    <row r="2516" spans="9:10">
      <c r="I2516" s="354"/>
      <c r="J2516" s="354"/>
    </row>
    <row r="2517" spans="9:10">
      <c r="I2517" s="354"/>
      <c r="J2517" s="354"/>
    </row>
    <row r="2518" spans="9:10">
      <c r="I2518" s="354"/>
      <c r="J2518" s="354"/>
    </row>
    <row r="2519" spans="9:10">
      <c r="I2519" s="354"/>
      <c r="J2519" s="354"/>
    </row>
    <row r="2520" spans="9:10">
      <c r="I2520" s="354"/>
      <c r="J2520" s="354"/>
    </row>
    <row r="2521" spans="9:10">
      <c r="I2521" s="354"/>
      <c r="J2521" s="354"/>
    </row>
    <row r="2522" spans="9:10">
      <c r="I2522" s="354"/>
      <c r="J2522" s="354"/>
    </row>
    <row r="2523" spans="9:10">
      <c r="I2523" s="354"/>
      <c r="J2523" s="354"/>
    </row>
    <row r="2524" spans="9:10">
      <c r="I2524" s="354"/>
      <c r="J2524" s="354"/>
    </row>
    <row r="2525" spans="9:10">
      <c r="I2525" s="354"/>
      <c r="J2525" s="354"/>
    </row>
    <row r="2526" spans="9:10">
      <c r="I2526" s="354"/>
      <c r="J2526" s="354"/>
    </row>
    <row r="2527" spans="9:10">
      <c r="I2527" s="354"/>
      <c r="J2527" s="354"/>
    </row>
    <row r="2528" spans="9:10">
      <c r="I2528" s="354"/>
      <c r="J2528" s="354"/>
    </row>
    <row r="2529" spans="9:10">
      <c r="I2529" s="354"/>
      <c r="J2529" s="354"/>
    </row>
    <row r="2530" spans="9:10">
      <c r="I2530" s="354"/>
      <c r="J2530" s="354"/>
    </row>
    <row r="2531" spans="9:10">
      <c r="I2531" s="354"/>
      <c r="J2531" s="354"/>
    </row>
    <row r="2532" spans="9:10">
      <c r="I2532" s="354"/>
      <c r="J2532" s="354"/>
    </row>
    <row r="2533" spans="9:10">
      <c r="I2533" s="354"/>
      <c r="J2533" s="354"/>
    </row>
    <row r="2534" spans="9:10">
      <c r="I2534" s="354"/>
      <c r="J2534" s="354"/>
    </row>
    <row r="2535" spans="9:10">
      <c r="I2535" s="354"/>
      <c r="J2535" s="354"/>
    </row>
    <row r="2536" spans="9:10">
      <c r="I2536" s="354"/>
      <c r="J2536" s="354"/>
    </row>
    <row r="2537" spans="9:10">
      <c r="I2537" s="354"/>
      <c r="J2537" s="354"/>
    </row>
    <row r="2538" spans="9:10">
      <c r="I2538" s="354"/>
      <c r="J2538" s="354"/>
    </row>
    <row r="2539" spans="9:10">
      <c r="I2539" s="354"/>
      <c r="J2539" s="354"/>
    </row>
    <row r="2540" spans="9:10">
      <c r="I2540" s="354"/>
      <c r="J2540" s="354"/>
    </row>
    <row r="2541" spans="9:10">
      <c r="I2541" s="354"/>
      <c r="J2541" s="354"/>
    </row>
    <row r="2542" spans="9:10">
      <c r="I2542" s="354"/>
      <c r="J2542" s="354"/>
    </row>
    <row r="2543" spans="9:10">
      <c r="I2543" s="354"/>
      <c r="J2543" s="354"/>
    </row>
    <row r="2544" spans="9:10">
      <c r="I2544" s="354"/>
      <c r="J2544" s="354"/>
    </row>
    <row r="2545" spans="9:10">
      <c r="I2545" s="354"/>
      <c r="J2545" s="354"/>
    </row>
    <row r="2546" spans="9:10">
      <c r="I2546" s="354"/>
      <c r="J2546" s="354"/>
    </row>
    <row r="2547" spans="9:10">
      <c r="I2547" s="354"/>
      <c r="J2547" s="354"/>
    </row>
    <row r="2548" spans="9:10">
      <c r="I2548" s="354"/>
      <c r="J2548" s="354"/>
    </row>
    <row r="2549" spans="9:10">
      <c r="I2549" s="354"/>
      <c r="J2549" s="354"/>
    </row>
    <row r="2550" spans="9:10">
      <c r="I2550" s="354"/>
      <c r="J2550" s="354"/>
    </row>
    <row r="2551" spans="9:10">
      <c r="I2551" s="354"/>
      <c r="J2551" s="354"/>
    </row>
    <row r="2552" spans="9:10">
      <c r="I2552" s="354"/>
      <c r="J2552" s="354"/>
    </row>
    <row r="2553" spans="9:10">
      <c r="I2553" s="354"/>
      <c r="J2553" s="354"/>
    </row>
    <row r="2554" spans="9:10">
      <c r="I2554" s="354"/>
      <c r="J2554" s="354"/>
    </row>
    <row r="2555" spans="9:10">
      <c r="I2555" s="354"/>
      <c r="J2555" s="354"/>
    </row>
    <row r="2556" spans="9:10">
      <c r="I2556" s="354"/>
      <c r="J2556" s="354"/>
    </row>
    <row r="2557" spans="9:10">
      <c r="I2557" s="354"/>
      <c r="J2557" s="354"/>
    </row>
    <row r="2558" spans="9:10">
      <c r="I2558" s="354"/>
      <c r="J2558" s="354"/>
    </row>
    <row r="2559" spans="9:10">
      <c r="I2559" s="354"/>
      <c r="J2559" s="354"/>
    </row>
    <row r="2560" spans="9:10">
      <c r="I2560" s="354"/>
      <c r="J2560" s="354"/>
    </row>
    <row r="2561" spans="9:10">
      <c r="I2561" s="354"/>
      <c r="J2561" s="354"/>
    </row>
    <row r="2562" spans="9:10">
      <c r="I2562" s="354"/>
      <c r="J2562" s="354"/>
    </row>
    <row r="2563" spans="9:10">
      <c r="I2563" s="354"/>
      <c r="J2563" s="354"/>
    </row>
    <row r="2564" spans="9:10">
      <c r="I2564" s="354"/>
      <c r="J2564" s="354"/>
    </row>
    <row r="2565" spans="9:10">
      <c r="I2565" s="354"/>
      <c r="J2565" s="354"/>
    </row>
    <row r="2566" spans="9:10">
      <c r="I2566" s="354"/>
      <c r="J2566" s="354"/>
    </row>
    <row r="2567" spans="9:10">
      <c r="I2567" s="354"/>
      <c r="J2567" s="354"/>
    </row>
    <row r="2568" spans="9:10">
      <c r="I2568" s="354"/>
      <c r="J2568" s="354"/>
    </row>
    <row r="2569" spans="9:10">
      <c r="I2569" s="354"/>
      <c r="J2569" s="354"/>
    </row>
    <row r="2570" spans="9:10">
      <c r="I2570" s="354"/>
      <c r="J2570" s="354"/>
    </row>
    <row r="2571" spans="9:10">
      <c r="I2571" s="354"/>
      <c r="J2571" s="354"/>
    </row>
    <row r="2572" spans="9:10">
      <c r="I2572" s="354"/>
      <c r="J2572" s="354"/>
    </row>
    <row r="2573" spans="9:10">
      <c r="I2573" s="354"/>
      <c r="J2573" s="354"/>
    </row>
    <row r="2574" spans="9:10">
      <c r="I2574" s="354"/>
      <c r="J2574" s="354"/>
    </row>
    <row r="2575" spans="9:10">
      <c r="I2575" s="354"/>
      <c r="J2575" s="354"/>
    </row>
    <row r="2576" spans="9:10">
      <c r="I2576" s="354"/>
      <c r="J2576" s="354"/>
    </row>
    <row r="2577" spans="9:10">
      <c r="I2577" s="354"/>
      <c r="J2577" s="354"/>
    </row>
    <row r="2578" spans="9:10">
      <c r="I2578" s="354"/>
      <c r="J2578" s="354"/>
    </row>
    <row r="2579" spans="9:10">
      <c r="I2579" s="354"/>
      <c r="J2579" s="354"/>
    </row>
    <row r="2580" spans="9:10">
      <c r="I2580" s="354"/>
      <c r="J2580" s="354"/>
    </row>
    <row r="2581" spans="9:10">
      <c r="I2581" s="354"/>
      <c r="J2581" s="354"/>
    </row>
    <row r="2582" spans="9:10">
      <c r="I2582" s="354"/>
      <c r="J2582" s="354"/>
    </row>
    <row r="2583" spans="9:10">
      <c r="I2583" s="354"/>
      <c r="J2583" s="354"/>
    </row>
    <row r="2584" spans="9:10">
      <c r="I2584" s="354"/>
      <c r="J2584" s="354"/>
    </row>
    <row r="2585" spans="9:10">
      <c r="I2585" s="354"/>
      <c r="J2585" s="354"/>
    </row>
    <row r="2586" spans="9:10">
      <c r="I2586" s="354"/>
      <c r="J2586" s="354"/>
    </row>
    <row r="2587" spans="9:10">
      <c r="I2587" s="354"/>
      <c r="J2587" s="354"/>
    </row>
    <row r="2588" spans="9:10">
      <c r="I2588" s="354"/>
      <c r="J2588" s="354"/>
    </row>
    <row r="2589" spans="9:10">
      <c r="I2589" s="354"/>
      <c r="J2589" s="354"/>
    </row>
    <row r="2590" spans="9:10">
      <c r="I2590" s="354"/>
      <c r="J2590" s="354"/>
    </row>
    <row r="2591" spans="9:10">
      <c r="I2591" s="354"/>
      <c r="J2591" s="354"/>
    </row>
    <row r="2592" spans="9:10">
      <c r="I2592" s="354"/>
      <c r="J2592" s="354"/>
    </row>
    <row r="2593" spans="9:10">
      <c r="I2593" s="354"/>
      <c r="J2593" s="354"/>
    </row>
    <row r="2594" spans="9:10">
      <c r="I2594" s="354"/>
      <c r="J2594" s="354"/>
    </row>
    <row r="2595" spans="9:10">
      <c r="I2595" s="354"/>
      <c r="J2595" s="354"/>
    </row>
    <row r="2596" spans="9:10">
      <c r="I2596" s="354"/>
      <c r="J2596" s="354"/>
    </row>
    <row r="2597" spans="9:10">
      <c r="I2597" s="354"/>
      <c r="J2597" s="354"/>
    </row>
    <row r="2598" spans="9:10">
      <c r="I2598" s="354"/>
      <c r="J2598" s="354"/>
    </row>
    <row r="2599" spans="9:10">
      <c r="I2599" s="354"/>
      <c r="J2599" s="354"/>
    </row>
    <row r="2600" spans="9:10">
      <c r="I2600" s="354"/>
      <c r="J2600" s="354"/>
    </row>
    <row r="2601" spans="9:10">
      <c r="I2601" s="354"/>
      <c r="J2601" s="354"/>
    </row>
    <row r="2602" spans="9:10">
      <c r="I2602" s="354"/>
      <c r="J2602" s="354"/>
    </row>
    <row r="2603" spans="9:10">
      <c r="I2603" s="354"/>
      <c r="J2603" s="354"/>
    </row>
    <row r="2604" spans="9:10">
      <c r="I2604" s="354"/>
      <c r="J2604" s="354"/>
    </row>
    <row r="2605" spans="9:10">
      <c r="I2605" s="354"/>
      <c r="J2605" s="354"/>
    </row>
    <row r="2606" spans="9:10">
      <c r="I2606" s="354"/>
      <c r="J2606" s="354"/>
    </row>
    <row r="2607" spans="9:10">
      <c r="I2607" s="354"/>
      <c r="J2607" s="354"/>
    </row>
    <row r="2608" spans="9:10">
      <c r="I2608" s="354"/>
      <c r="J2608" s="354"/>
    </row>
    <row r="2609" spans="9:10">
      <c r="I2609" s="354"/>
      <c r="J2609" s="354"/>
    </row>
    <row r="2610" spans="9:10">
      <c r="I2610" s="354"/>
      <c r="J2610" s="354"/>
    </row>
    <row r="2611" spans="9:10">
      <c r="I2611" s="354"/>
      <c r="J2611" s="354"/>
    </row>
    <row r="2612" spans="9:10">
      <c r="I2612" s="354"/>
      <c r="J2612" s="354"/>
    </row>
    <row r="2613" spans="9:10">
      <c r="I2613" s="354"/>
      <c r="J2613" s="354"/>
    </row>
    <row r="2614" spans="9:10">
      <c r="I2614" s="354"/>
      <c r="J2614" s="354"/>
    </row>
    <row r="2615" spans="9:10">
      <c r="I2615" s="354"/>
      <c r="J2615" s="354"/>
    </row>
    <row r="2616" spans="9:10">
      <c r="I2616" s="354"/>
      <c r="J2616" s="354"/>
    </row>
    <row r="2617" spans="9:10">
      <c r="I2617" s="354"/>
      <c r="J2617" s="354"/>
    </row>
    <row r="2618" spans="9:10">
      <c r="I2618" s="354"/>
      <c r="J2618" s="354"/>
    </row>
    <row r="2619" spans="9:10">
      <c r="I2619" s="354"/>
      <c r="J2619" s="354"/>
    </row>
    <row r="2620" spans="9:10">
      <c r="I2620" s="354"/>
      <c r="J2620" s="354"/>
    </row>
    <row r="2621" spans="9:10">
      <c r="I2621" s="354"/>
      <c r="J2621" s="354"/>
    </row>
    <row r="2622" spans="9:10">
      <c r="I2622" s="354"/>
      <c r="J2622" s="354"/>
    </row>
    <row r="2623" spans="9:10">
      <c r="I2623" s="354"/>
      <c r="J2623" s="354"/>
    </row>
    <row r="2624" spans="9:10">
      <c r="I2624" s="354"/>
      <c r="J2624" s="354"/>
    </row>
    <row r="2625" spans="9:10">
      <c r="I2625" s="354"/>
      <c r="J2625" s="354"/>
    </row>
    <row r="2626" spans="9:10">
      <c r="I2626" s="354"/>
      <c r="J2626" s="354"/>
    </row>
    <row r="2627" spans="9:10">
      <c r="I2627" s="354"/>
      <c r="J2627" s="354"/>
    </row>
    <row r="2628" spans="9:10">
      <c r="I2628" s="354"/>
      <c r="J2628" s="354"/>
    </row>
    <row r="2629" spans="9:10">
      <c r="I2629" s="354"/>
      <c r="J2629" s="354"/>
    </row>
    <row r="2630" spans="9:10">
      <c r="I2630" s="354"/>
      <c r="J2630" s="354"/>
    </row>
    <row r="2631" spans="9:10">
      <c r="I2631" s="354"/>
      <c r="J2631" s="354"/>
    </row>
    <row r="2632" spans="9:10">
      <c r="I2632" s="354"/>
      <c r="J2632" s="354"/>
    </row>
    <row r="2633" spans="9:10">
      <c r="I2633" s="354"/>
      <c r="J2633" s="354"/>
    </row>
    <row r="2634" spans="9:10">
      <c r="I2634" s="354"/>
      <c r="J2634" s="354"/>
    </row>
    <row r="2635" spans="9:10">
      <c r="I2635" s="354"/>
      <c r="J2635" s="354"/>
    </row>
    <row r="2636" spans="9:10">
      <c r="I2636" s="354"/>
      <c r="J2636" s="354"/>
    </row>
    <row r="2637" spans="9:10">
      <c r="I2637" s="354"/>
      <c r="J2637" s="354"/>
    </row>
    <row r="2638" spans="9:10">
      <c r="I2638" s="354"/>
      <c r="J2638" s="354"/>
    </row>
    <row r="2639" spans="9:10">
      <c r="I2639" s="354"/>
      <c r="J2639" s="354"/>
    </row>
    <row r="2640" spans="9:10">
      <c r="I2640" s="354"/>
      <c r="J2640" s="354"/>
    </row>
    <row r="2641" spans="9:10">
      <c r="I2641" s="354"/>
      <c r="J2641" s="354"/>
    </row>
    <row r="2642" spans="9:10">
      <c r="I2642" s="354"/>
      <c r="J2642" s="354"/>
    </row>
    <row r="2643" spans="9:10">
      <c r="I2643" s="354"/>
      <c r="J2643" s="354"/>
    </row>
    <row r="2644" spans="9:10">
      <c r="I2644" s="354"/>
      <c r="J2644" s="354"/>
    </row>
    <row r="2645" spans="9:10">
      <c r="I2645" s="354"/>
      <c r="J2645" s="354"/>
    </row>
    <row r="2646" spans="9:10">
      <c r="I2646" s="354"/>
      <c r="J2646" s="354"/>
    </row>
    <row r="2647" spans="9:10">
      <c r="I2647" s="354"/>
      <c r="J2647" s="354"/>
    </row>
    <row r="2648" spans="9:10">
      <c r="I2648" s="354"/>
      <c r="J2648" s="354"/>
    </row>
    <row r="2649" spans="9:10">
      <c r="I2649" s="354"/>
      <c r="J2649" s="354"/>
    </row>
    <row r="2650" spans="9:10">
      <c r="I2650" s="354"/>
      <c r="J2650" s="354"/>
    </row>
    <row r="2651" spans="9:10">
      <c r="I2651" s="354"/>
      <c r="J2651" s="354"/>
    </row>
    <row r="2652" spans="9:10">
      <c r="I2652" s="354"/>
      <c r="J2652" s="354"/>
    </row>
    <row r="2653" spans="9:10">
      <c r="I2653" s="354"/>
      <c r="J2653" s="354"/>
    </row>
    <row r="2654" spans="9:10">
      <c r="I2654" s="354"/>
      <c r="J2654" s="354"/>
    </row>
    <row r="2655" spans="9:10">
      <c r="I2655" s="354"/>
      <c r="J2655" s="354"/>
    </row>
    <row r="2656" spans="9:10">
      <c r="I2656" s="354"/>
      <c r="J2656" s="354"/>
    </row>
    <row r="2657" spans="9:10">
      <c r="I2657" s="354"/>
      <c r="J2657" s="354"/>
    </row>
    <row r="2658" spans="9:10">
      <c r="I2658" s="354"/>
      <c r="J2658" s="354"/>
    </row>
    <row r="2659" spans="9:10">
      <c r="I2659" s="354"/>
      <c r="J2659" s="354"/>
    </row>
    <row r="2660" spans="9:10">
      <c r="I2660" s="354"/>
      <c r="J2660" s="354"/>
    </row>
    <row r="2661" spans="9:10">
      <c r="I2661" s="354"/>
      <c r="J2661" s="354"/>
    </row>
    <row r="2662" spans="9:10">
      <c r="I2662" s="354"/>
      <c r="J2662" s="354"/>
    </row>
    <row r="2663" spans="9:10">
      <c r="I2663" s="354"/>
      <c r="J2663" s="354"/>
    </row>
    <row r="2664" spans="9:10">
      <c r="I2664" s="354"/>
      <c r="J2664" s="354"/>
    </row>
    <row r="2665" spans="9:10">
      <c r="I2665" s="354"/>
      <c r="J2665" s="354"/>
    </row>
    <row r="2666" spans="9:10">
      <c r="I2666" s="354"/>
      <c r="J2666" s="354"/>
    </row>
    <row r="2667" spans="9:10">
      <c r="I2667" s="354"/>
      <c r="J2667" s="354"/>
    </row>
    <row r="2668" spans="9:10">
      <c r="I2668" s="354"/>
      <c r="J2668" s="354"/>
    </row>
    <row r="2669" spans="9:10">
      <c r="I2669" s="354"/>
      <c r="J2669" s="354"/>
    </row>
    <row r="2670" spans="9:10">
      <c r="I2670" s="354"/>
      <c r="J2670" s="354"/>
    </row>
    <row r="2671" spans="9:10">
      <c r="I2671" s="354"/>
      <c r="J2671" s="354"/>
    </row>
    <row r="2672" spans="9:10">
      <c r="I2672" s="354"/>
      <c r="J2672" s="354"/>
    </row>
    <row r="2673" spans="9:10">
      <c r="I2673" s="354"/>
      <c r="J2673" s="354"/>
    </row>
    <row r="2674" spans="9:10">
      <c r="I2674" s="354"/>
      <c r="J2674" s="354"/>
    </row>
    <row r="2675" spans="9:10">
      <c r="I2675" s="354"/>
      <c r="J2675" s="354"/>
    </row>
    <row r="2676" spans="9:10">
      <c r="I2676" s="354"/>
      <c r="J2676" s="354"/>
    </row>
    <row r="2677" spans="9:10">
      <c r="I2677" s="354"/>
      <c r="J2677" s="354"/>
    </row>
    <row r="2678" spans="9:10">
      <c r="I2678" s="354"/>
      <c r="J2678" s="354"/>
    </row>
    <row r="2679" spans="9:10">
      <c r="I2679" s="354"/>
      <c r="J2679" s="354"/>
    </row>
    <row r="2680" spans="9:10">
      <c r="I2680" s="354"/>
      <c r="J2680" s="354"/>
    </row>
    <row r="2681" spans="9:10">
      <c r="I2681" s="354"/>
      <c r="J2681" s="354"/>
    </row>
    <row r="2682" spans="9:10">
      <c r="I2682" s="354"/>
      <c r="J2682" s="354"/>
    </row>
    <row r="2683" spans="9:10">
      <c r="I2683" s="354"/>
      <c r="J2683" s="354"/>
    </row>
    <row r="2684" spans="9:10">
      <c r="I2684" s="354"/>
      <c r="J2684" s="354"/>
    </row>
    <row r="2685" spans="9:10">
      <c r="I2685" s="354"/>
      <c r="J2685" s="354"/>
    </row>
    <row r="2686" spans="9:10">
      <c r="I2686" s="354"/>
      <c r="J2686" s="354"/>
    </row>
    <row r="2687" spans="9:10">
      <c r="I2687" s="354"/>
      <c r="J2687" s="354"/>
    </row>
    <row r="2688" spans="9:10">
      <c r="I2688" s="354"/>
      <c r="J2688" s="354"/>
    </row>
    <row r="2689" spans="9:10">
      <c r="I2689" s="354"/>
      <c r="J2689" s="354"/>
    </row>
    <row r="2690" spans="9:10">
      <c r="I2690" s="354"/>
      <c r="J2690" s="354"/>
    </row>
    <row r="2691" spans="9:10">
      <c r="I2691" s="354"/>
      <c r="J2691" s="354"/>
    </row>
    <row r="2692" spans="9:10">
      <c r="I2692" s="354"/>
      <c r="J2692" s="354"/>
    </row>
    <row r="2693" spans="9:10">
      <c r="I2693" s="354"/>
      <c r="J2693" s="354"/>
    </row>
    <row r="2694" spans="9:10">
      <c r="I2694" s="354"/>
      <c r="J2694" s="354"/>
    </row>
    <row r="2695" spans="9:10">
      <c r="I2695" s="354"/>
      <c r="J2695" s="354"/>
    </row>
    <row r="2696" spans="9:10">
      <c r="I2696" s="354"/>
      <c r="J2696" s="354"/>
    </row>
    <row r="2697" spans="9:10">
      <c r="I2697" s="354"/>
      <c r="J2697" s="354"/>
    </row>
    <row r="2698" spans="9:10">
      <c r="I2698" s="354"/>
      <c r="J2698" s="354"/>
    </row>
    <row r="2699" spans="9:10">
      <c r="I2699" s="354"/>
      <c r="J2699" s="354"/>
    </row>
    <row r="2700" spans="9:10">
      <c r="I2700" s="354"/>
      <c r="J2700" s="354"/>
    </row>
    <row r="2701" spans="9:10">
      <c r="I2701" s="354"/>
      <c r="J2701" s="354"/>
    </row>
    <row r="2702" spans="9:10">
      <c r="I2702" s="354"/>
      <c r="J2702" s="354"/>
    </row>
    <row r="2703" spans="9:10">
      <c r="I2703" s="354"/>
      <c r="J2703" s="354"/>
    </row>
    <row r="2704" spans="9:10">
      <c r="I2704" s="354"/>
      <c r="J2704" s="354"/>
    </row>
    <row r="2705" spans="9:10">
      <c r="I2705" s="354"/>
      <c r="J2705" s="354"/>
    </row>
    <row r="2706" spans="9:10">
      <c r="I2706" s="354"/>
      <c r="J2706" s="354"/>
    </row>
    <row r="2707" spans="9:10">
      <c r="I2707" s="354"/>
      <c r="J2707" s="354"/>
    </row>
    <row r="2708" spans="9:10">
      <c r="I2708" s="354"/>
      <c r="J2708" s="354"/>
    </row>
    <row r="2709" spans="9:10">
      <c r="I2709" s="354"/>
      <c r="J2709" s="354"/>
    </row>
    <row r="2710" spans="9:10">
      <c r="I2710" s="354"/>
      <c r="J2710" s="354"/>
    </row>
    <row r="2711" spans="9:10">
      <c r="I2711" s="354"/>
      <c r="J2711" s="354"/>
    </row>
    <row r="2712" spans="9:10">
      <c r="I2712" s="354"/>
      <c r="J2712" s="354"/>
    </row>
    <row r="2713" spans="9:10">
      <c r="I2713" s="354"/>
      <c r="J2713" s="354"/>
    </row>
    <row r="2714" spans="9:10">
      <c r="I2714" s="354"/>
      <c r="J2714" s="354"/>
    </row>
    <row r="2715" spans="9:10">
      <c r="I2715" s="354"/>
      <c r="J2715" s="354"/>
    </row>
    <row r="2716" spans="9:10">
      <c r="I2716" s="354"/>
      <c r="J2716" s="354"/>
    </row>
    <row r="2717" spans="9:10">
      <c r="I2717" s="354"/>
      <c r="J2717" s="354"/>
    </row>
    <row r="2718" spans="9:10">
      <c r="I2718" s="354"/>
      <c r="J2718" s="354"/>
    </row>
    <row r="2719" spans="9:10">
      <c r="I2719" s="354"/>
      <c r="J2719" s="354"/>
    </row>
    <row r="2720" spans="9:10">
      <c r="I2720" s="354"/>
      <c r="J2720" s="354"/>
    </row>
    <row r="2721" spans="9:10">
      <c r="I2721" s="354"/>
      <c r="J2721" s="354"/>
    </row>
    <row r="2722" spans="9:10">
      <c r="I2722" s="354"/>
      <c r="J2722" s="354"/>
    </row>
    <row r="2723" spans="9:10">
      <c r="I2723" s="354"/>
      <c r="J2723" s="354"/>
    </row>
    <row r="2724" spans="9:10">
      <c r="I2724" s="354"/>
      <c r="J2724" s="354"/>
    </row>
    <row r="2725" spans="9:10">
      <c r="I2725" s="354"/>
      <c r="J2725" s="354"/>
    </row>
    <row r="2726" spans="9:10">
      <c r="I2726" s="354"/>
      <c r="J2726" s="354"/>
    </row>
    <row r="2727" spans="9:10">
      <c r="I2727" s="354"/>
      <c r="J2727" s="354"/>
    </row>
    <row r="2728" spans="9:10">
      <c r="I2728" s="354"/>
      <c r="J2728" s="354"/>
    </row>
    <row r="2729" spans="9:10">
      <c r="I2729" s="354"/>
      <c r="J2729" s="354"/>
    </row>
    <row r="2730" spans="9:10">
      <c r="I2730" s="354"/>
      <c r="J2730" s="354"/>
    </row>
    <row r="2731" spans="9:10">
      <c r="I2731" s="354"/>
      <c r="J2731" s="354"/>
    </row>
    <row r="2732" spans="9:10">
      <c r="I2732" s="354"/>
      <c r="J2732" s="354"/>
    </row>
    <row r="2733" spans="9:10">
      <c r="I2733" s="354"/>
      <c r="J2733" s="354"/>
    </row>
    <row r="2734" spans="9:10">
      <c r="I2734" s="354"/>
      <c r="J2734" s="354"/>
    </row>
    <row r="2735" spans="9:10">
      <c r="I2735" s="354"/>
      <c r="J2735" s="354"/>
    </row>
    <row r="2736" spans="9:10">
      <c r="I2736" s="354"/>
      <c r="J2736" s="354"/>
    </row>
    <row r="2737" spans="9:10">
      <c r="I2737" s="354"/>
      <c r="J2737" s="354"/>
    </row>
    <row r="2738" spans="9:10">
      <c r="I2738" s="354"/>
      <c r="J2738" s="354"/>
    </row>
    <row r="2739" spans="9:10">
      <c r="I2739" s="354"/>
      <c r="J2739" s="354"/>
    </row>
    <row r="2740" spans="9:10">
      <c r="I2740" s="354"/>
      <c r="J2740" s="354"/>
    </row>
    <row r="2741" spans="9:10">
      <c r="I2741" s="354"/>
      <c r="J2741" s="354"/>
    </row>
    <row r="2742" spans="9:10">
      <c r="I2742" s="354"/>
      <c r="J2742" s="354"/>
    </row>
    <row r="2743" spans="9:10">
      <c r="I2743" s="354"/>
      <c r="J2743" s="354"/>
    </row>
    <row r="2744" spans="9:10">
      <c r="I2744" s="354"/>
      <c r="J2744" s="354"/>
    </row>
    <row r="2745" spans="9:10">
      <c r="I2745" s="354"/>
      <c r="J2745" s="354"/>
    </row>
    <row r="2746" spans="9:10">
      <c r="I2746" s="354"/>
      <c r="J2746" s="354"/>
    </row>
    <row r="2747" spans="9:10">
      <c r="I2747" s="354"/>
      <c r="J2747" s="354"/>
    </row>
    <row r="2748" spans="9:10">
      <c r="I2748" s="354"/>
      <c r="J2748" s="354"/>
    </row>
    <row r="2749" spans="9:10">
      <c r="I2749" s="354"/>
      <c r="J2749" s="354"/>
    </row>
    <row r="2750" spans="9:10">
      <c r="I2750" s="354"/>
      <c r="J2750" s="354"/>
    </row>
    <row r="2751" spans="9:10">
      <c r="I2751" s="354"/>
      <c r="J2751" s="354"/>
    </row>
    <row r="2752" spans="9:10">
      <c r="I2752" s="354"/>
      <c r="J2752" s="354"/>
    </row>
    <row r="2753" spans="9:10">
      <c r="I2753" s="354"/>
      <c r="J2753" s="354"/>
    </row>
    <row r="2754" spans="9:10">
      <c r="I2754" s="354"/>
      <c r="J2754" s="354"/>
    </row>
    <row r="2755" spans="9:10">
      <c r="I2755" s="354"/>
      <c r="J2755" s="354"/>
    </row>
    <row r="2756" spans="9:10">
      <c r="I2756" s="354"/>
      <c r="J2756" s="354"/>
    </row>
    <row r="2757" spans="9:10">
      <c r="I2757" s="354"/>
      <c r="J2757" s="354"/>
    </row>
    <row r="2758" spans="9:10">
      <c r="I2758" s="354"/>
      <c r="J2758" s="354"/>
    </row>
    <row r="2759" spans="9:10">
      <c r="I2759" s="354"/>
      <c r="J2759" s="354"/>
    </row>
    <row r="2760" spans="9:10">
      <c r="I2760" s="354"/>
      <c r="J2760" s="354"/>
    </row>
    <row r="2761" spans="9:10">
      <c r="I2761" s="354"/>
      <c r="J2761" s="354"/>
    </row>
    <row r="2762" spans="9:10">
      <c r="I2762" s="354"/>
      <c r="J2762" s="354"/>
    </row>
    <row r="2763" spans="9:10">
      <c r="I2763" s="354"/>
      <c r="J2763" s="354"/>
    </row>
    <row r="2764" spans="9:10">
      <c r="I2764" s="354"/>
      <c r="J2764" s="354"/>
    </row>
    <row r="2765" spans="9:10">
      <c r="I2765" s="354"/>
      <c r="J2765" s="354"/>
    </row>
    <row r="2766" spans="9:10">
      <c r="I2766" s="354"/>
      <c r="J2766" s="354"/>
    </row>
    <row r="2767" spans="9:10">
      <c r="I2767" s="354"/>
      <c r="J2767" s="354"/>
    </row>
    <row r="2768" spans="9:10">
      <c r="I2768" s="354"/>
      <c r="J2768" s="354"/>
    </row>
    <row r="2769" spans="9:10">
      <c r="I2769" s="354"/>
      <c r="J2769" s="354"/>
    </row>
    <row r="2770" spans="9:10">
      <c r="I2770" s="354"/>
      <c r="J2770" s="354"/>
    </row>
    <row r="2771" spans="9:10">
      <c r="I2771" s="354"/>
      <c r="J2771" s="354"/>
    </row>
    <row r="2772" spans="9:10">
      <c r="I2772" s="354"/>
      <c r="J2772" s="354"/>
    </row>
    <row r="2773" spans="9:10">
      <c r="I2773" s="354"/>
      <c r="J2773" s="354"/>
    </row>
    <row r="2774" spans="9:10">
      <c r="I2774" s="354"/>
      <c r="J2774" s="354"/>
    </row>
    <row r="2775" spans="9:10">
      <c r="I2775" s="354"/>
      <c r="J2775" s="354"/>
    </row>
    <row r="2776" spans="9:10">
      <c r="I2776" s="354"/>
      <c r="J2776" s="354"/>
    </row>
    <row r="2777" spans="9:10">
      <c r="I2777" s="354"/>
      <c r="J2777" s="354"/>
    </row>
    <row r="2778" spans="9:10">
      <c r="I2778" s="354"/>
      <c r="J2778" s="354"/>
    </row>
    <row r="2779" spans="9:10">
      <c r="I2779" s="354"/>
      <c r="J2779" s="354"/>
    </row>
    <row r="2780" spans="9:10">
      <c r="I2780" s="354"/>
      <c r="J2780" s="354"/>
    </row>
    <row r="2781" spans="9:10">
      <c r="I2781" s="354"/>
      <c r="J2781" s="354"/>
    </row>
    <row r="2782" spans="9:10">
      <c r="I2782" s="354"/>
      <c r="J2782" s="354"/>
    </row>
    <row r="2783" spans="9:10">
      <c r="I2783" s="354"/>
      <c r="J2783" s="354"/>
    </row>
    <row r="2784" spans="9:10">
      <c r="I2784" s="354"/>
      <c r="J2784" s="354"/>
    </row>
    <row r="2785" spans="9:10">
      <c r="I2785" s="354"/>
      <c r="J2785" s="354"/>
    </row>
    <row r="2786" spans="9:10">
      <c r="I2786" s="354"/>
      <c r="J2786" s="354"/>
    </row>
    <row r="2787" spans="9:10">
      <c r="I2787" s="354"/>
      <c r="J2787" s="354"/>
    </row>
    <row r="2788" spans="9:10">
      <c r="I2788" s="354"/>
      <c r="J2788" s="354"/>
    </row>
    <row r="2789" spans="9:10">
      <c r="I2789" s="354"/>
      <c r="J2789" s="354"/>
    </row>
    <row r="2790" spans="9:10">
      <c r="I2790" s="354"/>
      <c r="J2790" s="354"/>
    </row>
    <row r="2791" spans="9:10">
      <c r="I2791" s="354"/>
      <c r="J2791" s="354"/>
    </row>
    <row r="2792" spans="9:10">
      <c r="I2792" s="354"/>
      <c r="J2792" s="354"/>
    </row>
    <row r="2793" spans="9:10">
      <c r="I2793" s="354"/>
      <c r="J2793" s="354"/>
    </row>
    <row r="2794" spans="9:10">
      <c r="I2794" s="354"/>
      <c r="J2794" s="354"/>
    </row>
    <row r="2795" spans="9:10">
      <c r="I2795" s="354"/>
      <c r="J2795" s="354"/>
    </row>
    <row r="2796" spans="9:10">
      <c r="I2796" s="354"/>
      <c r="J2796" s="354"/>
    </row>
    <row r="2797" spans="9:10">
      <c r="I2797" s="354"/>
      <c r="J2797" s="354"/>
    </row>
    <row r="2798" spans="9:10">
      <c r="I2798" s="354"/>
      <c r="J2798" s="354"/>
    </row>
    <row r="2799" spans="9:10">
      <c r="I2799" s="354"/>
      <c r="J2799" s="354"/>
    </row>
    <row r="2800" spans="9:10">
      <c r="I2800" s="354"/>
      <c r="J2800" s="354"/>
    </row>
    <row r="2801" spans="9:10">
      <c r="I2801" s="354"/>
      <c r="J2801" s="354"/>
    </row>
    <row r="2802" spans="9:10">
      <c r="I2802" s="354"/>
      <c r="J2802" s="354"/>
    </row>
    <row r="2803" spans="9:10">
      <c r="I2803" s="354"/>
      <c r="J2803" s="354"/>
    </row>
    <row r="2804" spans="9:10">
      <c r="I2804" s="354"/>
      <c r="J2804" s="354"/>
    </row>
    <row r="2805" spans="9:10">
      <c r="I2805" s="354"/>
      <c r="J2805" s="354"/>
    </row>
    <row r="2806" spans="9:10">
      <c r="I2806" s="354"/>
      <c r="J2806" s="354"/>
    </row>
    <row r="2807" spans="9:10">
      <c r="I2807" s="354"/>
      <c r="J2807" s="354"/>
    </row>
    <row r="2808" spans="9:10">
      <c r="I2808" s="354"/>
      <c r="J2808" s="354"/>
    </row>
    <row r="2809" spans="9:10">
      <c r="I2809" s="354"/>
      <c r="J2809" s="354"/>
    </row>
    <row r="2810" spans="9:10">
      <c r="I2810" s="354"/>
      <c r="J2810" s="354"/>
    </row>
    <row r="2811" spans="9:10">
      <c r="I2811" s="354"/>
      <c r="J2811" s="354"/>
    </row>
    <row r="2812" spans="9:10">
      <c r="I2812" s="354"/>
      <c r="J2812" s="354"/>
    </row>
    <row r="2813" spans="9:10">
      <c r="I2813" s="354"/>
      <c r="J2813" s="354"/>
    </row>
    <row r="2814" spans="9:10">
      <c r="I2814" s="354"/>
      <c r="J2814" s="354"/>
    </row>
    <row r="2815" spans="9:10">
      <c r="I2815" s="354"/>
      <c r="J2815" s="354"/>
    </row>
    <row r="2816" spans="9:10">
      <c r="I2816" s="354"/>
      <c r="J2816" s="354"/>
    </row>
    <row r="2817" spans="9:10">
      <c r="I2817" s="354"/>
      <c r="J2817" s="354"/>
    </row>
    <row r="2818" spans="9:10">
      <c r="I2818" s="354"/>
      <c r="J2818" s="354"/>
    </row>
    <row r="2819" spans="9:10">
      <c r="I2819" s="354"/>
      <c r="J2819" s="354"/>
    </row>
    <row r="2820" spans="9:10">
      <c r="I2820" s="354"/>
      <c r="J2820" s="354"/>
    </row>
    <row r="2821" spans="9:10">
      <c r="I2821" s="354"/>
      <c r="J2821" s="354"/>
    </row>
    <row r="2822" spans="9:10">
      <c r="J2822" s="354"/>
    </row>
    <row r="2823" spans="9:10">
      <c r="J2823" s="354"/>
    </row>
    <row r="2824" spans="9:10">
      <c r="J2824" s="354"/>
    </row>
    <row r="2825" spans="9:10">
      <c r="J2825" s="354"/>
    </row>
    <row r="2826" spans="9:10">
      <c r="J2826" s="354"/>
    </row>
    <row r="2827" spans="9:10">
      <c r="J2827" s="354"/>
    </row>
    <row r="2828" spans="9:10">
      <c r="J2828" s="354"/>
    </row>
    <row r="2829" spans="9:10">
      <c r="J2829" s="354"/>
    </row>
    <row r="2830" spans="9:10">
      <c r="J2830" s="354"/>
    </row>
    <row r="2831" spans="9:10">
      <c r="J2831" s="354"/>
    </row>
    <row r="2832" spans="9:10">
      <c r="J2832" s="354"/>
    </row>
    <row r="2833" spans="10:10">
      <c r="J2833" s="354"/>
    </row>
    <row r="2834" spans="10:10">
      <c r="J2834" s="354"/>
    </row>
    <row r="2835" spans="10:10">
      <c r="J2835" s="354"/>
    </row>
    <row r="2836" spans="10:10">
      <c r="J2836" s="354"/>
    </row>
    <row r="2837" spans="10:10">
      <c r="J2837" s="354"/>
    </row>
    <row r="2838" spans="10:10">
      <c r="J2838" s="354"/>
    </row>
    <row r="2839" spans="10:10">
      <c r="J2839" s="354"/>
    </row>
    <row r="2840" spans="10:10">
      <c r="J2840" s="354"/>
    </row>
    <row r="2841" spans="10:10">
      <c r="J2841" s="354"/>
    </row>
    <row r="2842" spans="10:10">
      <c r="J2842" s="354"/>
    </row>
    <row r="2843" spans="10:10">
      <c r="J2843" s="354"/>
    </row>
    <row r="2844" spans="10:10">
      <c r="J2844" s="354"/>
    </row>
    <row r="2845" spans="10:10">
      <c r="J2845" s="354"/>
    </row>
    <row r="2846" spans="10:10">
      <c r="J2846" s="354"/>
    </row>
    <row r="2847" spans="10:10">
      <c r="J2847" s="354"/>
    </row>
    <row r="2848" spans="10:10">
      <c r="J2848" s="354"/>
    </row>
    <row r="2849" spans="10:10">
      <c r="J2849" s="354"/>
    </row>
    <row r="2850" spans="10:10">
      <c r="J2850" s="354"/>
    </row>
    <row r="2851" spans="10:10">
      <c r="J2851" s="354"/>
    </row>
    <row r="2852" spans="10:10">
      <c r="J2852" s="354"/>
    </row>
    <row r="2853" spans="10:10">
      <c r="J2853" s="354"/>
    </row>
    <row r="2854" spans="10:10">
      <c r="J2854" s="354"/>
    </row>
    <row r="2855" spans="10:10">
      <c r="J2855" s="354"/>
    </row>
    <row r="2856" spans="10:10">
      <c r="J2856" s="354"/>
    </row>
    <row r="2857" spans="10:10">
      <c r="J2857" s="354"/>
    </row>
    <row r="2858" spans="10:10">
      <c r="J2858" s="354"/>
    </row>
    <row r="2859" spans="10:10">
      <c r="J2859" s="354"/>
    </row>
    <row r="2860" spans="10:10">
      <c r="J2860" s="354"/>
    </row>
    <row r="2861" spans="10:10">
      <c r="J2861" s="354"/>
    </row>
    <row r="2862" spans="10:10">
      <c r="J2862" s="354"/>
    </row>
    <row r="2863" spans="10:10">
      <c r="J2863" s="354"/>
    </row>
    <row r="2864" spans="10:10">
      <c r="J2864" s="354"/>
    </row>
    <row r="2865" spans="10:10">
      <c r="J2865" s="354"/>
    </row>
    <row r="2866" spans="10:10">
      <c r="J2866" s="354"/>
    </row>
    <row r="2867" spans="10:10">
      <c r="J2867" s="354"/>
    </row>
    <row r="2868" spans="10:10">
      <c r="J2868" s="354"/>
    </row>
    <row r="2869" spans="10:10">
      <c r="J2869" s="354"/>
    </row>
    <row r="2870" spans="10:10">
      <c r="J2870" s="354"/>
    </row>
    <row r="2871" spans="10:10">
      <c r="J2871" s="354"/>
    </row>
    <row r="2872" spans="10:10">
      <c r="J2872" s="354"/>
    </row>
    <row r="2873" spans="10:10">
      <c r="J2873" s="354"/>
    </row>
    <row r="2874" spans="10:10">
      <c r="J2874" s="354"/>
    </row>
    <row r="2875" spans="10:10">
      <c r="J2875" s="354"/>
    </row>
    <row r="2876" spans="10:10">
      <c r="J2876" s="354"/>
    </row>
    <row r="2877" spans="10:10">
      <c r="J2877" s="354"/>
    </row>
    <row r="2878" spans="10:10">
      <c r="J2878" s="354"/>
    </row>
    <row r="2879" spans="10:10">
      <c r="J2879" s="354"/>
    </row>
    <row r="2880" spans="10:10">
      <c r="J2880" s="354"/>
    </row>
    <row r="2881" spans="10:10">
      <c r="J2881" s="354"/>
    </row>
    <row r="2882" spans="10:10">
      <c r="J2882" s="354"/>
    </row>
    <row r="2883" spans="10:10">
      <c r="J2883" s="354"/>
    </row>
    <row r="2884" spans="10:10">
      <c r="J2884" s="354"/>
    </row>
    <row r="2885" spans="10:10">
      <c r="J2885" s="354"/>
    </row>
    <row r="2886" spans="10:10">
      <c r="J2886" s="354"/>
    </row>
    <row r="2887" spans="10:10">
      <c r="J2887" s="354"/>
    </row>
    <row r="2888" spans="10:10">
      <c r="J2888" s="354"/>
    </row>
    <row r="2889" spans="10:10">
      <c r="J2889" s="354"/>
    </row>
    <row r="2890" spans="10:10">
      <c r="J2890" s="354"/>
    </row>
    <row r="2891" spans="10:10">
      <c r="J2891" s="354"/>
    </row>
    <row r="2892" spans="10:10">
      <c r="J2892" s="354"/>
    </row>
    <row r="2893" spans="10:10">
      <c r="J2893" s="354"/>
    </row>
    <row r="2894" spans="10:10">
      <c r="J2894" s="354"/>
    </row>
    <row r="2895" spans="10:10">
      <c r="J2895" s="354"/>
    </row>
    <row r="2896" spans="10:10">
      <c r="J2896" s="354"/>
    </row>
    <row r="2897" spans="10:10">
      <c r="J2897" s="354"/>
    </row>
    <row r="2898" spans="10:10">
      <c r="J2898" s="354"/>
    </row>
    <row r="2899" spans="10:10">
      <c r="J2899" s="354"/>
    </row>
    <row r="2900" spans="10:10">
      <c r="J2900" s="354"/>
    </row>
    <row r="2901" spans="10:10">
      <c r="J2901" s="354"/>
    </row>
    <row r="2902" spans="10:10">
      <c r="J2902" s="354"/>
    </row>
    <row r="2903" spans="10:10">
      <c r="J2903" s="354"/>
    </row>
    <row r="2904" spans="10:10">
      <c r="J2904" s="354"/>
    </row>
    <row r="2905" spans="10:10">
      <c r="J2905" s="354"/>
    </row>
    <row r="2906" spans="10:10">
      <c r="J2906" s="354"/>
    </row>
    <row r="2907" spans="10:10">
      <c r="J2907" s="354"/>
    </row>
    <row r="2908" spans="10:10">
      <c r="J2908" s="354"/>
    </row>
    <row r="2909" spans="10:10">
      <c r="J2909" s="354"/>
    </row>
    <row r="2910" spans="10:10">
      <c r="J2910" s="354"/>
    </row>
    <row r="2911" spans="10:10">
      <c r="J2911" s="354"/>
    </row>
    <row r="2912" spans="10:10">
      <c r="J2912" s="354"/>
    </row>
    <row r="2913" spans="10:10">
      <c r="J2913" s="354"/>
    </row>
    <row r="2914" spans="10:10">
      <c r="J2914" s="354"/>
    </row>
    <row r="2915" spans="10:10">
      <c r="J2915" s="354"/>
    </row>
    <row r="2916" spans="10:10">
      <c r="J2916" s="354"/>
    </row>
    <row r="2917" spans="10:10">
      <c r="J2917" s="354"/>
    </row>
    <row r="2918" spans="10:10">
      <c r="J2918" s="354"/>
    </row>
    <row r="2919" spans="10:10">
      <c r="J2919" s="354"/>
    </row>
    <row r="2920" spans="10:10">
      <c r="J2920" s="354"/>
    </row>
    <row r="2921" spans="10:10">
      <c r="J2921" s="354"/>
    </row>
    <row r="2922" spans="10:10">
      <c r="J2922" s="354"/>
    </row>
    <row r="2923" spans="10:10">
      <c r="J2923" s="354"/>
    </row>
    <row r="2924" spans="10:10">
      <c r="J2924" s="354"/>
    </row>
    <row r="2925" spans="10:10">
      <c r="J2925" s="354"/>
    </row>
    <row r="2926" spans="10:10">
      <c r="J2926" s="354"/>
    </row>
    <row r="2927" spans="10:10">
      <c r="J2927" s="354"/>
    </row>
    <row r="2928" spans="10:10">
      <c r="J2928" s="354"/>
    </row>
    <row r="2929" spans="10:10">
      <c r="J2929" s="354"/>
    </row>
    <row r="2930" spans="10:10">
      <c r="J2930" s="354"/>
    </row>
    <row r="2931" spans="10:10">
      <c r="J2931" s="354"/>
    </row>
    <row r="2932" spans="10:10">
      <c r="J2932" s="354"/>
    </row>
    <row r="2933" spans="10:10">
      <c r="J2933" s="354"/>
    </row>
    <row r="2934" spans="10:10">
      <c r="J2934" s="354"/>
    </row>
    <row r="2935" spans="10:10">
      <c r="J2935" s="354"/>
    </row>
    <row r="2936" spans="10:10">
      <c r="J2936" s="354"/>
    </row>
    <row r="2937" spans="10:10">
      <c r="J2937" s="354"/>
    </row>
    <row r="2938" spans="10:10">
      <c r="J2938" s="354"/>
    </row>
    <row r="2939" spans="10:10">
      <c r="J2939" s="354"/>
    </row>
    <row r="2940" spans="10:10">
      <c r="J2940" s="354"/>
    </row>
    <row r="2941" spans="10:10">
      <c r="J2941" s="354"/>
    </row>
    <row r="2942" spans="10:10">
      <c r="J2942" s="354"/>
    </row>
    <row r="2943" spans="10:10">
      <c r="J2943" s="354"/>
    </row>
    <row r="2944" spans="10:10">
      <c r="J2944" s="354"/>
    </row>
    <row r="2945" spans="10:10">
      <c r="J2945" s="354"/>
    </row>
    <row r="2946" spans="10:10">
      <c r="J2946" s="354"/>
    </row>
    <row r="2947" spans="10:10">
      <c r="J2947" s="354"/>
    </row>
    <row r="2948" spans="10:10">
      <c r="J2948" s="354"/>
    </row>
    <row r="2949" spans="10:10">
      <c r="J2949" s="354"/>
    </row>
    <row r="2950" spans="10:10">
      <c r="J2950" s="354"/>
    </row>
    <row r="2951" spans="10:10">
      <c r="J2951" s="354"/>
    </row>
    <row r="2952" spans="10:10">
      <c r="J2952" s="354"/>
    </row>
    <row r="2953" spans="10:10">
      <c r="J2953" s="354"/>
    </row>
    <row r="2954" spans="10:10">
      <c r="J2954" s="354"/>
    </row>
    <row r="2955" spans="10:10">
      <c r="J2955" s="354"/>
    </row>
    <row r="2956" spans="10:10">
      <c r="J2956" s="354"/>
    </row>
    <row r="2957" spans="10:10">
      <c r="J2957" s="354"/>
    </row>
    <row r="2958" spans="10:10">
      <c r="J2958" s="354"/>
    </row>
    <row r="2959" spans="10:10">
      <c r="J2959" s="354"/>
    </row>
    <row r="2960" spans="10:10">
      <c r="J2960" s="354"/>
    </row>
    <row r="2961" spans="10:10">
      <c r="J2961" s="354"/>
    </row>
    <row r="2962" spans="10:10">
      <c r="J2962" s="354"/>
    </row>
    <row r="2963" spans="10:10">
      <c r="J2963" s="354"/>
    </row>
    <row r="2964" spans="10:10">
      <c r="J2964" s="354"/>
    </row>
    <row r="2965" spans="10:10">
      <c r="J2965" s="354"/>
    </row>
    <row r="2966" spans="10:10">
      <c r="J2966" s="354"/>
    </row>
    <row r="2967" spans="10:10">
      <c r="J2967" s="354"/>
    </row>
    <row r="2968" spans="10:10">
      <c r="J2968" s="354"/>
    </row>
    <row r="2969" spans="10:10">
      <c r="J2969" s="354"/>
    </row>
    <row r="2970" spans="10:10">
      <c r="J2970" s="354"/>
    </row>
    <row r="2971" spans="10:10">
      <c r="J2971" s="354"/>
    </row>
    <row r="2972" spans="10:10">
      <c r="J2972" s="354"/>
    </row>
    <row r="2973" spans="10:10">
      <c r="J2973" s="354"/>
    </row>
    <row r="2974" spans="10:10">
      <c r="J2974" s="354"/>
    </row>
    <row r="2975" spans="10:10">
      <c r="J2975" s="354"/>
    </row>
    <row r="2976" spans="10:10">
      <c r="J2976" s="354"/>
    </row>
    <row r="2977" spans="10:10">
      <c r="J2977" s="354"/>
    </row>
    <row r="2978" spans="10:10">
      <c r="J2978" s="354"/>
    </row>
    <row r="2979" spans="10:10">
      <c r="J2979" s="354"/>
    </row>
    <row r="2980" spans="10:10">
      <c r="J2980" s="354"/>
    </row>
    <row r="2981" spans="10:10">
      <c r="J2981" s="354"/>
    </row>
    <row r="2982" spans="10:10">
      <c r="J2982" s="354"/>
    </row>
    <row r="2983" spans="10:10">
      <c r="J2983" s="354"/>
    </row>
    <row r="2984" spans="10:10">
      <c r="J2984" s="354"/>
    </row>
    <row r="2985" spans="10:10">
      <c r="J2985" s="354"/>
    </row>
    <row r="2986" spans="10:10">
      <c r="J2986" s="354"/>
    </row>
    <row r="2987" spans="10:10">
      <c r="J2987" s="354"/>
    </row>
    <row r="2988" spans="10:10">
      <c r="J2988" s="354"/>
    </row>
    <row r="2989" spans="10:10">
      <c r="J2989" s="354"/>
    </row>
    <row r="2990" spans="10:10">
      <c r="J2990" s="354"/>
    </row>
    <row r="2991" spans="10:10">
      <c r="J2991" s="354"/>
    </row>
    <row r="2992" spans="10:10">
      <c r="J2992" s="354"/>
    </row>
    <row r="2993" spans="10:10">
      <c r="J2993" s="354"/>
    </row>
    <row r="2994" spans="10:10">
      <c r="J2994" s="354"/>
    </row>
    <row r="2995" spans="10:10">
      <c r="J2995" s="354"/>
    </row>
    <row r="2996" spans="10:10">
      <c r="J2996" s="354"/>
    </row>
    <row r="2997" spans="10:10">
      <c r="J2997" s="354"/>
    </row>
    <row r="2998" spans="10:10">
      <c r="J2998" s="354"/>
    </row>
    <row r="2999" spans="10:10">
      <c r="J2999" s="354"/>
    </row>
    <row r="3000" spans="10:10">
      <c r="J3000" s="354"/>
    </row>
    <row r="3001" spans="10:10">
      <c r="J3001" s="354"/>
    </row>
    <row r="3002" spans="10:10">
      <c r="J3002" s="354"/>
    </row>
    <row r="3003" spans="10:10">
      <c r="J3003" s="354"/>
    </row>
    <row r="3004" spans="10:10">
      <c r="J3004" s="354"/>
    </row>
    <row r="3005" spans="10:10">
      <c r="J3005" s="354"/>
    </row>
    <row r="3006" spans="10:10">
      <c r="J3006" s="354"/>
    </row>
    <row r="3007" spans="10:10">
      <c r="J3007" s="354"/>
    </row>
    <row r="3008" spans="10:10">
      <c r="J3008" s="354"/>
    </row>
    <row r="3009" spans="10:10">
      <c r="J3009" s="354"/>
    </row>
    <row r="3010" spans="10:10">
      <c r="J3010" s="354"/>
    </row>
    <row r="3011" spans="10:10">
      <c r="J3011" s="354"/>
    </row>
    <row r="3012" spans="10:10">
      <c r="J3012" s="354"/>
    </row>
    <row r="3013" spans="10:10">
      <c r="J3013" s="354"/>
    </row>
    <row r="3014" spans="10:10">
      <c r="J3014" s="354"/>
    </row>
    <row r="3015" spans="10:10">
      <c r="J3015" s="354"/>
    </row>
    <row r="3016" spans="10:10">
      <c r="J3016" s="354"/>
    </row>
    <row r="3017" spans="10:10">
      <c r="J3017" s="354"/>
    </row>
    <row r="3018" spans="10:10">
      <c r="J3018" s="354"/>
    </row>
    <row r="3019" spans="10:10">
      <c r="J3019" s="354"/>
    </row>
    <row r="3020" spans="10:10">
      <c r="J3020" s="354"/>
    </row>
    <row r="3021" spans="10:10">
      <c r="J3021" s="354"/>
    </row>
    <row r="3022" spans="10:10">
      <c r="J3022" s="354"/>
    </row>
    <row r="3023" spans="10:10">
      <c r="J3023" s="354"/>
    </row>
    <row r="3024" spans="10:10">
      <c r="J3024" s="354"/>
    </row>
    <row r="3025" spans="10:10">
      <c r="J3025" s="354"/>
    </row>
    <row r="3026" spans="10:10">
      <c r="J3026" s="354"/>
    </row>
    <row r="3027" spans="10:10">
      <c r="J3027" s="354"/>
    </row>
    <row r="3028" spans="10:10">
      <c r="J3028" s="354"/>
    </row>
    <row r="3029" spans="10:10">
      <c r="J3029" s="354"/>
    </row>
    <row r="3030" spans="10:10">
      <c r="J3030" s="354"/>
    </row>
    <row r="3031" spans="10:10">
      <c r="J3031" s="354"/>
    </row>
    <row r="3032" spans="10:10">
      <c r="J3032" s="354"/>
    </row>
    <row r="3033" spans="10:10">
      <c r="J3033" s="354"/>
    </row>
    <row r="3034" spans="10:10">
      <c r="J3034" s="354"/>
    </row>
    <row r="3035" spans="10:10">
      <c r="J3035" s="354"/>
    </row>
    <row r="3036" spans="10:10">
      <c r="J3036" s="354"/>
    </row>
    <row r="3037" spans="10:10">
      <c r="J3037" s="354"/>
    </row>
    <row r="3038" spans="10:10">
      <c r="J3038" s="354"/>
    </row>
    <row r="3039" spans="10:10">
      <c r="J3039" s="354"/>
    </row>
    <row r="3040" spans="10:10">
      <c r="J3040" s="354"/>
    </row>
    <row r="3041" spans="10:10">
      <c r="J3041" s="354"/>
    </row>
    <row r="3042" spans="10:10">
      <c r="J3042" s="354"/>
    </row>
    <row r="3043" spans="10:10">
      <c r="J3043" s="354"/>
    </row>
    <row r="3044" spans="10:10">
      <c r="J3044" s="354"/>
    </row>
    <row r="3045" spans="10:10">
      <c r="J3045" s="354"/>
    </row>
    <row r="3046" spans="10:10">
      <c r="J3046" s="354"/>
    </row>
    <row r="3047" spans="10:10">
      <c r="J3047" s="354"/>
    </row>
    <row r="3048" spans="10:10">
      <c r="J3048" s="354"/>
    </row>
    <row r="3049" spans="10:10">
      <c r="J3049" s="354"/>
    </row>
    <row r="3050" spans="10:10">
      <c r="J3050" s="354"/>
    </row>
    <row r="3051" spans="10:10">
      <c r="J3051" s="354"/>
    </row>
    <row r="3052" spans="10:10">
      <c r="J3052" s="354"/>
    </row>
    <row r="3053" spans="10:10">
      <c r="J3053" s="354"/>
    </row>
    <row r="3054" spans="10:10">
      <c r="J3054" s="354"/>
    </row>
    <row r="3055" spans="10:10">
      <c r="J3055" s="354"/>
    </row>
    <row r="3056" spans="10:10">
      <c r="J3056" s="354"/>
    </row>
    <row r="3057" spans="10:10">
      <c r="J3057" s="354"/>
    </row>
    <row r="3058" spans="10:10">
      <c r="J3058" s="354"/>
    </row>
    <row r="3059" spans="10:10">
      <c r="J3059" s="354"/>
    </row>
    <row r="3060" spans="10:10">
      <c r="J3060" s="354"/>
    </row>
    <row r="3061" spans="10:10">
      <c r="J3061" s="354"/>
    </row>
    <row r="3062" spans="10:10">
      <c r="J3062" s="354"/>
    </row>
    <row r="3063" spans="10:10">
      <c r="J3063" s="354"/>
    </row>
    <row r="3064" spans="10:10">
      <c r="J3064" s="354"/>
    </row>
    <row r="3065" spans="10:10">
      <c r="J3065" s="354"/>
    </row>
    <row r="3066" spans="10:10">
      <c r="J3066" s="354"/>
    </row>
    <row r="3067" spans="10:10">
      <c r="J3067" s="354"/>
    </row>
    <row r="3068" spans="10:10">
      <c r="J3068" s="354"/>
    </row>
    <row r="3069" spans="10:10">
      <c r="J3069" s="354"/>
    </row>
    <row r="3070" spans="10:10">
      <c r="J3070" s="354"/>
    </row>
    <row r="3071" spans="10:10">
      <c r="J3071" s="354"/>
    </row>
    <row r="3072" spans="10:10">
      <c r="J3072" s="354"/>
    </row>
    <row r="3073" spans="10:10">
      <c r="J3073" s="354"/>
    </row>
    <row r="3074" spans="10:10">
      <c r="J3074" s="354"/>
    </row>
    <row r="3075" spans="10:10">
      <c r="J3075" s="354"/>
    </row>
    <row r="3076" spans="10:10">
      <c r="J3076" s="354"/>
    </row>
    <row r="3077" spans="10:10">
      <c r="J3077" s="354"/>
    </row>
    <row r="3078" spans="10:10">
      <c r="J3078" s="354"/>
    </row>
    <row r="3079" spans="10:10">
      <c r="J3079" s="354"/>
    </row>
    <row r="3080" spans="10:10">
      <c r="J3080" s="354"/>
    </row>
    <row r="3081" spans="10:10">
      <c r="J3081" s="354"/>
    </row>
    <row r="3082" spans="10:10">
      <c r="J3082" s="354"/>
    </row>
    <row r="3083" spans="10:10">
      <c r="J3083" s="354"/>
    </row>
    <row r="3084" spans="10:10">
      <c r="J3084" s="354"/>
    </row>
    <row r="3085" spans="10:10">
      <c r="J3085" s="354"/>
    </row>
    <row r="3086" spans="10:10">
      <c r="J3086" s="354"/>
    </row>
    <row r="3087" spans="10:10">
      <c r="J3087" s="354"/>
    </row>
    <row r="3088" spans="10:10">
      <c r="J3088" s="354"/>
    </row>
    <row r="3089" spans="10:10">
      <c r="J3089" s="354"/>
    </row>
    <row r="3090" spans="10:10">
      <c r="J3090" s="354"/>
    </row>
    <row r="3091" spans="10:10">
      <c r="J3091" s="354"/>
    </row>
    <row r="3092" spans="10:10">
      <c r="J3092" s="354"/>
    </row>
    <row r="3093" spans="10:10">
      <c r="J3093" s="354"/>
    </row>
    <row r="3094" spans="10:10">
      <c r="J3094" s="354"/>
    </row>
    <row r="3095" spans="10:10">
      <c r="J3095" s="354"/>
    </row>
    <row r="3096" spans="10:10">
      <c r="J3096" s="354"/>
    </row>
  </sheetData>
  <printOptions horizontalCentered="1" verticalCentered="1"/>
  <pageMargins left="0" right="0" top="0.43307086614173229" bottom="0" header="3.937007874015748E-2" footer="0"/>
  <pageSetup paperSize="9" scale="78"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3487"/>
  <sheetViews>
    <sheetView zoomScaleNormal="100" zoomScaleSheetLayoutView="90" workbookViewId="0">
      <selection activeCell="DF142" sqref="DF142"/>
    </sheetView>
  </sheetViews>
  <sheetFormatPr defaultRowHeight="15"/>
  <cols>
    <col min="1" max="1" width="54.5703125" style="403" customWidth="1"/>
    <col min="2" max="2" width="11.140625" style="403" hidden="1" customWidth="1"/>
    <col min="3" max="3" width="11.5703125" style="403" hidden="1" customWidth="1"/>
    <col min="4" max="4" width="12" style="403" hidden="1" customWidth="1"/>
    <col min="5" max="5" width="9.140625" style="403" hidden="1" customWidth="1"/>
    <col min="6" max="6" width="10.7109375" style="403" hidden="1" customWidth="1"/>
    <col min="7" max="7" width="9.140625" style="403" hidden="1" customWidth="1"/>
    <col min="8" max="8" width="10.42578125" style="403" hidden="1" customWidth="1"/>
    <col min="9" max="13" width="9.140625" style="403" hidden="1" customWidth="1"/>
    <col min="14" max="14" width="10.28515625" style="403" hidden="1" customWidth="1"/>
    <col min="15" max="15" width="10.42578125" style="403" hidden="1" customWidth="1"/>
    <col min="16" max="16" width="10.140625" style="403" hidden="1" customWidth="1"/>
    <col min="17" max="19" width="9.140625" style="403" hidden="1" customWidth="1"/>
    <col min="20" max="20" width="10.42578125" style="403" hidden="1" customWidth="1"/>
    <col min="21" max="25" width="9.140625" style="403" hidden="1" customWidth="1"/>
    <col min="26" max="26" width="10.28515625" style="403" hidden="1" customWidth="1"/>
    <col min="27" max="31" width="9.140625" style="403" hidden="1" customWidth="1"/>
    <col min="32" max="32" width="10.42578125" style="403" hidden="1" customWidth="1"/>
    <col min="33" max="34" width="9.140625" style="403" hidden="1" customWidth="1"/>
    <col min="35" max="37" width="8.85546875" style="403" hidden="1" customWidth="1"/>
    <col min="38" max="38" width="10" style="403" hidden="1" customWidth="1"/>
    <col min="39" max="39" width="9.140625" style="403" hidden="1" customWidth="1"/>
    <col min="40" max="41" width="9.7109375" style="403" hidden="1" customWidth="1"/>
    <col min="42" max="43" width="9.140625" style="403" hidden="1" customWidth="1"/>
    <col min="44" max="45" width="11.140625" style="403" hidden="1" customWidth="1"/>
    <col min="46" max="46" width="10" style="403" hidden="1" customWidth="1"/>
    <col min="47" max="47" width="10.5703125" style="403" hidden="1" customWidth="1"/>
    <col min="48" max="48" width="10.7109375" style="403" hidden="1" customWidth="1"/>
    <col min="49" max="49" width="9.7109375" style="403" hidden="1" customWidth="1"/>
    <col min="50" max="50" width="10.5703125" style="403" hidden="1" customWidth="1"/>
    <col min="51" max="51" width="10.42578125" style="403" hidden="1" customWidth="1"/>
    <col min="52" max="54" width="9.140625" style="403" hidden="1" customWidth="1"/>
    <col min="55" max="55" width="9.5703125" style="403" hidden="1" customWidth="1"/>
    <col min="56" max="56" width="9.140625" style="403" hidden="1" customWidth="1"/>
    <col min="57" max="57" width="15.7109375" style="403" hidden="1" customWidth="1"/>
    <col min="58" max="58" width="0.28515625" style="403" hidden="1" customWidth="1"/>
    <col min="59" max="69" width="15.7109375" style="403" hidden="1" customWidth="1"/>
    <col min="70" max="70" width="14.42578125" style="403" hidden="1" customWidth="1"/>
    <col min="71" max="75" width="13.5703125" style="403" hidden="1" customWidth="1"/>
    <col min="76" max="94" width="12.5703125" style="403" hidden="1" customWidth="1"/>
    <col min="95" max="95" width="11" style="403" hidden="1" customWidth="1"/>
    <col min="96" max="97" width="12.28515625" style="403" hidden="1" customWidth="1"/>
    <col min="98" max="110" width="12.28515625" style="403" customWidth="1"/>
    <col min="111" max="111" width="9.140625" style="403"/>
    <col min="112" max="112" width="12.42578125" style="403" customWidth="1"/>
    <col min="113" max="16384" width="9.140625" style="403"/>
  </cols>
  <sheetData>
    <row r="1" spans="1:112" ht="18.75">
      <c r="A1" s="402" t="s">
        <v>373</v>
      </c>
    </row>
    <row r="2" spans="1:112" ht="15.75" thickBot="1">
      <c r="A2" s="404"/>
      <c r="D2" s="405"/>
      <c r="F2" s="405"/>
      <c r="G2" s="405"/>
      <c r="I2" s="405"/>
      <c r="P2" s="405"/>
      <c r="AC2" s="405"/>
      <c r="AE2" s="405"/>
      <c r="AF2" s="405"/>
      <c r="AK2" s="405"/>
      <c r="AN2" s="405"/>
      <c r="AR2" s="406"/>
      <c r="AV2" s="406"/>
      <c r="AW2" s="407"/>
      <c r="AX2" s="407"/>
      <c r="AY2" s="407"/>
      <c r="AZ2" s="407"/>
      <c r="BA2" s="407"/>
      <c r="BB2" s="407"/>
      <c r="BC2" s="407"/>
      <c r="BD2" s="407"/>
      <c r="BE2" s="407"/>
      <c r="BF2" s="407"/>
      <c r="BH2" s="407"/>
      <c r="BJ2" s="407"/>
      <c r="BK2" s="407"/>
      <c r="BL2" s="407"/>
      <c r="BN2" s="407"/>
      <c r="BQ2" s="407"/>
      <c r="BR2" s="407"/>
      <c r="BS2" s="407"/>
      <c r="BT2" s="407"/>
      <c r="BU2" s="407"/>
      <c r="BV2" s="407"/>
      <c r="BW2" s="407"/>
      <c r="BX2" s="407"/>
      <c r="BY2" s="407"/>
      <c r="BZ2" s="407"/>
      <c r="CA2" s="407"/>
      <c r="CB2" s="407"/>
      <c r="CC2" s="408"/>
      <c r="CD2" s="409"/>
      <c r="CE2" s="409"/>
      <c r="CF2" s="409"/>
      <c r="CG2" s="409"/>
      <c r="CH2" s="409"/>
      <c r="CI2" s="408"/>
      <c r="CJ2" s="408"/>
      <c r="CK2" s="407"/>
      <c r="CL2" s="407"/>
      <c r="CM2" s="407"/>
      <c r="CN2" s="407"/>
      <c r="CO2" s="407"/>
      <c r="CP2" s="407"/>
      <c r="CQ2" s="407"/>
      <c r="DB2" s="406"/>
      <c r="DE2" s="406"/>
      <c r="DF2" s="406" t="s">
        <v>74</v>
      </c>
    </row>
    <row r="3" spans="1:112" ht="20.25" customHeight="1" thickTop="1" thickBot="1">
      <c r="A3" s="410" t="s">
        <v>263</v>
      </c>
      <c r="B3" s="411">
        <v>38504</v>
      </c>
      <c r="C3" s="412">
        <v>38534</v>
      </c>
      <c r="D3" s="413">
        <v>38565</v>
      </c>
      <c r="E3" s="414">
        <v>38596</v>
      </c>
      <c r="F3" s="413">
        <v>38626</v>
      </c>
      <c r="G3" s="413">
        <v>38657</v>
      </c>
      <c r="H3" s="413">
        <v>38687</v>
      </c>
      <c r="I3" s="413">
        <v>38718</v>
      </c>
      <c r="J3" s="413">
        <v>38749</v>
      </c>
      <c r="K3" s="414">
        <v>38777</v>
      </c>
      <c r="L3" s="413">
        <v>38808</v>
      </c>
      <c r="M3" s="413">
        <v>38838</v>
      </c>
      <c r="N3" s="413">
        <v>38869</v>
      </c>
      <c r="O3" s="414">
        <v>38899</v>
      </c>
      <c r="P3" s="413">
        <v>38930</v>
      </c>
      <c r="Q3" s="413">
        <v>38961</v>
      </c>
      <c r="R3" s="414">
        <v>38991</v>
      </c>
      <c r="S3" s="413">
        <v>39022</v>
      </c>
      <c r="T3" s="413">
        <v>39052</v>
      </c>
      <c r="U3" s="415">
        <v>39083</v>
      </c>
      <c r="V3" s="415">
        <v>39114</v>
      </c>
      <c r="W3" s="415">
        <v>39142</v>
      </c>
      <c r="X3" s="415">
        <v>39173</v>
      </c>
      <c r="Y3" s="415">
        <v>39203</v>
      </c>
      <c r="Z3" s="415">
        <v>39234</v>
      </c>
      <c r="AA3" s="415">
        <v>39264</v>
      </c>
      <c r="AB3" s="415">
        <v>39295</v>
      </c>
      <c r="AC3" s="415">
        <v>39326</v>
      </c>
      <c r="AD3" s="415">
        <v>39356</v>
      </c>
      <c r="AE3" s="415">
        <v>39387</v>
      </c>
      <c r="AF3" s="415">
        <v>39417</v>
      </c>
      <c r="AG3" s="415">
        <v>39448</v>
      </c>
      <c r="AH3" s="415">
        <v>39479</v>
      </c>
      <c r="AI3" s="415">
        <v>39508</v>
      </c>
      <c r="AJ3" s="415">
        <v>39539</v>
      </c>
      <c r="AK3" s="415">
        <v>39569</v>
      </c>
      <c r="AL3" s="415">
        <v>39600</v>
      </c>
      <c r="AM3" s="415">
        <v>39630</v>
      </c>
      <c r="AN3" s="415">
        <v>39661</v>
      </c>
      <c r="AO3" s="415">
        <v>39692</v>
      </c>
      <c r="AP3" s="415">
        <v>39722</v>
      </c>
      <c r="AQ3" s="415">
        <v>39753</v>
      </c>
      <c r="AR3" s="411">
        <v>39783</v>
      </c>
      <c r="AS3" s="411">
        <v>39814</v>
      </c>
      <c r="AT3" s="411">
        <v>39853</v>
      </c>
      <c r="AU3" s="411">
        <v>39881</v>
      </c>
      <c r="AV3" s="411">
        <v>39912</v>
      </c>
      <c r="AW3" s="416">
        <v>39942</v>
      </c>
      <c r="AX3" s="416">
        <v>39973</v>
      </c>
      <c r="AY3" s="416">
        <v>40003</v>
      </c>
      <c r="AZ3" s="416">
        <v>40034</v>
      </c>
      <c r="BA3" s="416">
        <v>40065</v>
      </c>
      <c r="BB3" s="416">
        <v>40095</v>
      </c>
      <c r="BC3" s="416">
        <v>40126</v>
      </c>
      <c r="BD3" s="416">
        <v>40156</v>
      </c>
      <c r="BE3" s="416">
        <v>40187</v>
      </c>
      <c r="BF3" s="416">
        <v>40218</v>
      </c>
      <c r="BG3" s="416">
        <v>40246</v>
      </c>
      <c r="BH3" s="416">
        <v>40277</v>
      </c>
      <c r="BI3" s="416">
        <v>40307</v>
      </c>
      <c r="BJ3" s="416">
        <v>40338</v>
      </c>
      <c r="BK3" s="416">
        <v>40368</v>
      </c>
      <c r="BL3" s="416">
        <v>40399</v>
      </c>
      <c r="BM3" s="416">
        <v>40430</v>
      </c>
      <c r="BN3" s="417" t="s">
        <v>236</v>
      </c>
      <c r="BO3" s="417" t="s">
        <v>374</v>
      </c>
      <c r="BP3" s="417" t="s">
        <v>375</v>
      </c>
      <c r="BQ3" s="417" t="s">
        <v>376</v>
      </c>
      <c r="BR3" s="417">
        <v>40575</v>
      </c>
      <c r="BS3" s="417">
        <v>40603</v>
      </c>
      <c r="BT3" s="417">
        <v>40634</v>
      </c>
      <c r="BU3" s="417">
        <v>40664</v>
      </c>
      <c r="BV3" s="417">
        <v>40695</v>
      </c>
      <c r="BW3" s="417">
        <v>40725</v>
      </c>
      <c r="BX3" s="417">
        <v>40756</v>
      </c>
      <c r="BY3" s="417">
        <v>40787</v>
      </c>
      <c r="BZ3" s="417">
        <v>40817</v>
      </c>
      <c r="CA3" s="417">
        <v>40848</v>
      </c>
      <c r="CB3" s="417">
        <v>40878</v>
      </c>
      <c r="CC3" s="417">
        <v>40909</v>
      </c>
      <c r="CD3" s="417">
        <v>40940</v>
      </c>
      <c r="CE3" s="417">
        <v>40969</v>
      </c>
      <c r="CF3" s="417">
        <v>41000</v>
      </c>
      <c r="CG3" s="417">
        <v>41030</v>
      </c>
      <c r="CH3" s="417">
        <v>41061</v>
      </c>
      <c r="CI3" s="417">
        <v>41091</v>
      </c>
      <c r="CJ3" s="417">
        <v>41122</v>
      </c>
      <c r="CK3" s="417">
        <v>41153</v>
      </c>
      <c r="CL3" s="417">
        <v>41183</v>
      </c>
      <c r="CM3" s="417">
        <v>41214</v>
      </c>
      <c r="CN3" s="417">
        <v>41244</v>
      </c>
      <c r="CO3" s="417">
        <v>41275</v>
      </c>
      <c r="CP3" s="418">
        <v>41306</v>
      </c>
      <c r="CQ3" s="418" t="s">
        <v>377</v>
      </c>
      <c r="CR3" s="417" t="s">
        <v>378</v>
      </c>
      <c r="CS3" s="417" t="s">
        <v>379</v>
      </c>
      <c r="CT3" s="417" t="s">
        <v>380</v>
      </c>
      <c r="CU3" s="417" t="s">
        <v>381</v>
      </c>
      <c r="CV3" s="417" t="s">
        <v>382</v>
      </c>
      <c r="CW3" s="417" t="s">
        <v>383</v>
      </c>
      <c r="CX3" s="417" t="s">
        <v>384</v>
      </c>
      <c r="CY3" s="417">
        <v>41579</v>
      </c>
      <c r="CZ3" s="417">
        <v>41609</v>
      </c>
      <c r="DA3" s="417">
        <v>41640</v>
      </c>
      <c r="DB3" s="417" t="s">
        <v>385</v>
      </c>
      <c r="DC3" s="417" t="s">
        <v>386</v>
      </c>
      <c r="DD3" s="417" t="s">
        <v>387</v>
      </c>
      <c r="DE3" s="417" t="s">
        <v>388</v>
      </c>
      <c r="DF3" s="417" t="s">
        <v>389</v>
      </c>
    </row>
    <row r="4" spans="1:112" ht="21" customHeight="1" thickTop="1">
      <c r="A4" s="419" t="s">
        <v>274</v>
      </c>
      <c r="B4" s="420">
        <f>SUM(B6:B14)</f>
        <v>7345.4913986934589</v>
      </c>
      <c r="C4" s="421">
        <f>SUM(C6:C14)</f>
        <v>7531.8395667485602</v>
      </c>
      <c r="D4" s="422">
        <f>SUM(D6:D14)</f>
        <v>7335.7852072345695</v>
      </c>
      <c r="E4" s="423">
        <f>SUM(E6:E14)</f>
        <v>7904.6126914552005</v>
      </c>
      <c r="F4" s="422">
        <v>7848.7531799304998</v>
      </c>
      <c r="G4" s="422">
        <v>7623.2581692748108</v>
      </c>
      <c r="H4" s="421">
        <v>7989.5967294912807</v>
      </c>
      <c r="I4" s="421">
        <v>7999.8353108993188</v>
      </c>
      <c r="J4" s="422">
        <v>7598.7227322044992</v>
      </c>
      <c r="K4" s="423">
        <v>7574.7225746160748</v>
      </c>
      <c r="L4" s="422">
        <v>7452.7798256555943</v>
      </c>
      <c r="M4" s="422">
        <v>7438.3021187001723</v>
      </c>
      <c r="N4" s="422">
        <v>7844.4049486156382</v>
      </c>
      <c r="O4" s="423">
        <v>8514.6616202365913</v>
      </c>
      <c r="P4" s="422">
        <v>8540.3393322357224</v>
      </c>
      <c r="Q4" s="422">
        <v>7870.6834208845994</v>
      </c>
      <c r="R4" s="424">
        <v>7049.2249522224993</v>
      </c>
      <c r="S4" s="422">
        <v>7247.5642858422998</v>
      </c>
      <c r="T4" s="422">
        <v>7736.2856641049993</v>
      </c>
      <c r="U4" s="425">
        <v>7323.1811838683789</v>
      </c>
      <c r="V4" s="425">
        <v>7145.0940294786169</v>
      </c>
      <c r="W4" s="425">
        <v>6723.0958649366003</v>
      </c>
      <c r="X4" s="425">
        <v>6764.686924614879</v>
      </c>
      <c r="Y4" s="425">
        <v>6746.6737972092178</v>
      </c>
      <c r="Z4" s="425">
        <v>6851.7240930283997</v>
      </c>
      <c r="AA4" s="425">
        <v>7038.2681390582566</v>
      </c>
      <c r="AB4" s="425">
        <v>7209.1246228901327</v>
      </c>
      <c r="AC4" s="425">
        <v>6835.0073988716013</v>
      </c>
      <c r="AD4" s="425">
        <v>7347.0733112097014</v>
      </c>
      <c r="AE4" s="425">
        <v>7207.6971087416669</v>
      </c>
      <c r="AF4" s="425">
        <v>9504.8579286612512</v>
      </c>
      <c r="AG4" s="425">
        <v>9077.6021887352017</v>
      </c>
      <c r="AH4" s="425">
        <v>8367.9104018260005</v>
      </c>
      <c r="AI4" s="425">
        <v>8777.3273127571974</v>
      </c>
      <c r="AJ4" s="425">
        <v>9148.1078086604011</v>
      </c>
      <c r="AK4" s="425">
        <v>9141.4265807759984</v>
      </c>
      <c r="AL4" s="425">
        <v>9248.1128217293008</v>
      </c>
      <c r="AM4" s="426">
        <v>9826.1113371430019</v>
      </c>
      <c r="AN4" s="426">
        <v>9211.2912869184001</v>
      </c>
      <c r="AO4" s="426">
        <v>10040.610854071101</v>
      </c>
      <c r="AP4" s="426">
        <v>11042.825340053099</v>
      </c>
      <c r="AQ4" s="426">
        <v>11337.249227759512</v>
      </c>
      <c r="AR4" s="420">
        <v>12033.491818864621</v>
      </c>
      <c r="AS4" s="420">
        <v>11603.658607119998</v>
      </c>
      <c r="AT4" s="420">
        <v>10732.4054462524</v>
      </c>
      <c r="AU4" s="420">
        <v>11768.312493008001</v>
      </c>
      <c r="AV4" s="420">
        <v>11497.417782589002</v>
      </c>
      <c r="AW4" s="427">
        <v>11537.362559857598</v>
      </c>
      <c r="AX4" s="427">
        <v>12221.6180075764</v>
      </c>
      <c r="AY4" s="427">
        <v>12342.1656849789</v>
      </c>
      <c r="AZ4" s="427">
        <v>13258.842710158204</v>
      </c>
      <c r="BA4" s="427">
        <v>12299.813742014601</v>
      </c>
      <c r="BB4" s="427">
        <v>12388.7715043427</v>
      </c>
      <c r="BC4" s="427">
        <v>12433.54086759544</v>
      </c>
      <c r="BD4" s="427">
        <v>12678.566889178202</v>
      </c>
      <c r="BE4" s="427">
        <v>12967.775489326299</v>
      </c>
      <c r="BF4" s="427">
        <v>13131.523268157775</v>
      </c>
      <c r="BG4" s="427">
        <v>13182.25941531872</v>
      </c>
      <c r="BH4" s="427">
        <v>13063.836328450601</v>
      </c>
      <c r="BI4" s="427">
        <v>13386.798435317798</v>
      </c>
      <c r="BJ4" s="427">
        <v>14560.199880812777</v>
      </c>
      <c r="BK4" s="427">
        <v>12976.340279048389</v>
      </c>
      <c r="BL4" s="427">
        <v>14172.241080191134</v>
      </c>
      <c r="BM4" s="427">
        <v>14685.688135307433</v>
      </c>
      <c r="BN4" s="427">
        <v>15005.716175792335</v>
      </c>
      <c r="BO4" s="427">
        <v>15003.464583781033</v>
      </c>
      <c r="BP4" s="427">
        <v>14468.138209593166</v>
      </c>
      <c r="BQ4" s="427">
        <v>13689.370093494466</v>
      </c>
      <c r="BR4" s="427">
        <v>13876.200949639491</v>
      </c>
      <c r="BS4" s="427">
        <v>13919.254869353617</v>
      </c>
      <c r="BT4" s="427">
        <v>14594.908170461689</v>
      </c>
      <c r="BU4" s="427">
        <v>14388.642019590179</v>
      </c>
      <c r="BV4" s="427">
        <v>13726.883930169755</v>
      </c>
      <c r="BW4" s="427">
        <v>15353.413558884475</v>
      </c>
      <c r="BX4" s="427">
        <v>15699.156513783499</v>
      </c>
      <c r="BY4" s="427">
        <v>15795.0750797745</v>
      </c>
      <c r="BZ4" s="427">
        <v>15878.9</v>
      </c>
      <c r="CA4" s="427">
        <v>15789.186492460702</v>
      </c>
      <c r="CB4" s="427">
        <v>16126.0886783144</v>
      </c>
      <c r="CC4" s="427">
        <v>16599.675062896946</v>
      </c>
      <c r="CD4" s="427">
        <v>16340.584549594476</v>
      </c>
      <c r="CE4" s="427">
        <v>15017.889985251633</v>
      </c>
      <c r="CF4" s="427">
        <v>15029.613866499927</v>
      </c>
      <c r="CG4" s="427">
        <v>15369.276232010279</v>
      </c>
      <c r="CH4" s="427">
        <v>15681.410294747</v>
      </c>
      <c r="CI4" s="427">
        <v>16320.642602344422</v>
      </c>
      <c r="CJ4" s="427">
        <v>16412.937692386644</v>
      </c>
      <c r="CK4" s="427">
        <v>16795.060683477899</v>
      </c>
      <c r="CL4" s="427">
        <v>16473.038777185153</v>
      </c>
      <c r="CM4" s="427">
        <v>17314.672810717457</v>
      </c>
      <c r="CN4" s="427">
        <v>18064.141561415308</v>
      </c>
      <c r="CO4" s="427">
        <v>17507.095010699031</v>
      </c>
      <c r="CP4" s="428">
        <v>17151.629329744275</v>
      </c>
      <c r="CQ4" s="428">
        <v>17569.393295721475</v>
      </c>
      <c r="CR4" s="428">
        <v>17702.011842234984</v>
      </c>
      <c r="CS4" s="428">
        <v>16881.620324176922</v>
      </c>
      <c r="CT4" s="428">
        <v>17135.534504086343</v>
      </c>
      <c r="CU4" s="428">
        <v>17192.939233003413</v>
      </c>
      <c r="CV4" s="428">
        <v>17767.299772989772</v>
      </c>
      <c r="CW4" s="428">
        <v>18196.518901591691</v>
      </c>
      <c r="CX4" s="428">
        <v>18130.254285864259</v>
      </c>
      <c r="CY4" s="428">
        <v>18560.12981877823</v>
      </c>
      <c r="CZ4" s="428">
        <v>18963.31411910502</v>
      </c>
      <c r="DA4" s="428">
        <v>18910.28315050896</v>
      </c>
      <c r="DB4" s="429">
        <v>19375.502609499152</v>
      </c>
      <c r="DC4" s="429">
        <v>19662.870553718116</v>
      </c>
      <c r="DD4" s="429">
        <v>18743.12457340831</v>
      </c>
      <c r="DE4" s="429">
        <v>18487.378129915021</v>
      </c>
      <c r="DF4" s="429">
        <v>18347.194333163425</v>
      </c>
      <c r="DH4" s="430"/>
    </row>
    <row r="5" spans="1:112" ht="15.95" customHeight="1">
      <c r="A5" s="431" t="s">
        <v>275</v>
      </c>
      <c r="B5" s="432"/>
      <c r="C5" s="433"/>
      <c r="D5" s="433"/>
      <c r="E5" s="434"/>
      <c r="F5" s="433"/>
      <c r="G5" s="433"/>
      <c r="H5" s="433"/>
      <c r="I5" s="433"/>
      <c r="J5" s="433"/>
      <c r="K5" s="434"/>
      <c r="L5" s="433"/>
      <c r="M5" s="433"/>
      <c r="N5" s="433"/>
      <c r="O5" s="434"/>
      <c r="P5" s="433"/>
      <c r="Q5" s="433"/>
      <c r="R5" s="434"/>
      <c r="S5" s="433"/>
      <c r="T5" s="433"/>
      <c r="U5" s="435"/>
      <c r="V5" s="435"/>
      <c r="W5" s="435"/>
      <c r="X5" s="435"/>
      <c r="Y5" s="435"/>
      <c r="Z5" s="435"/>
      <c r="AA5" s="435"/>
      <c r="AB5" s="435"/>
      <c r="AC5" s="435"/>
      <c r="AD5" s="435"/>
      <c r="AE5" s="435"/>
      <c r="AF5" s="435"/>
      <c r="AG5" s="435"/>
      <c r="AH5" s="435"/>
      <c r="AI5" s="435"/>
      <c r="AJ5" s="435"/>
      <c r="AK5" s="435"/>
      <c r="AL5" s="435"/>
      <c r="AM5" s="426"/>
      <c r="AN5" s="426"/>
      <c r="AO5" s="426"/>
      <c r="AP5" s="426"/>
      <c r="AQ5" s="426"/>
      <c r="AR5" s="432"/>
      <c r="AS5" s="432"/>
      <c r="AT5" s="432"/>
      <c r="AU5" s="432"/>
      <c r="AV5" s="432"/>
      <c r="AW5" s="436"/>
      <c r="AX5" s="436"/>
      <c r="AY5" s="436"/>
      <c r="AZ5" s="436"/>
      <c r="BA5" s="436"/>
      <c r="BB5" s="436"/>
      <c r="BC5" s="436"/>
      <c r="BD5" s="436"/>
      <c r="BE5" s="436"/>
      <c r="BF5" s="436"/>
      <c r="BG5" s="436"/>
      <c r="BH5" s="436"/>
      <c r="BI5" s="436"/>
      <c r="BJ5" s="436"/>
      <c r="BK5" s="436"/>
      <c r="BL5" s="427"/>
      <c r="BM5" s="427"/>
      <c r="BN5" s="427"/>
      <c r="BO5" s="427"/>
      <c r="BP5" s="427"/>
      <c r="BQ5" s="427"/>
      <c r="BR5" s="427"/>
      <c r="BS5" s="427"/>
      <c r="BT5" s="427"/>
      <c r="BU5" s="427"/>
      <c r="BV5" s="427"/>
      <c r="BW5" s="427"/>
      <c r="BX5" s="427"/>
      <c r="BY5" s="427"/>
      <c r="BZ5" s="427"/>
      <c r="CA5" s="427"/>
      <c r="CB5" s="427"/>
      <c r="CC5" s="427"/>
      <c r="CD5" s="427"/>
      <c r="CE5" s="427"/>
      <c r="CF5" s="427"/>
      <c r="CG5" s="427"/>
      <c r="CH5" s="427"/>
      <c r="CI5" s="427"/>
      <c r="CJ5" s="427"/>
      <c r="CK5" s="427"/>
      <c r="CL5" s="427"/>
      <c r="CM5" s="427"/>
      <c r="CN5" s="427"/>
      <c r="CO5" s="427"/>
      <c r="CP5" s="427"/>
      <c r="CQ5" s="427"/>
      <c r="CR5" s="427"/>
      <c r="CS5" s="427"/>
      <c r="CT5" s="427"/>
      <c r="CU5" s="427"/>
      <c r="CV5" s="427"/>
      <c r="CW5" s="427"/>
      <c r="CX5" s="427"/>
      <c r="CY5" s="427"/>
      <c r="CZ5" s="427"/>
      <c r="DA5" s="427"/>
      <c r="DB5" s="437"/>
      <c r="DC5" s="437"/>
      <c r="DD5" s="437"/>
      <c r="DE5" s="437"/>
      <c r="DF5" s="437"/>
      <c r="DH5" s="430"/>
    </row>
    <row r="6" spans="1:112" ht="15.95" customHeight="1">
      <c r="A6" s="431" t="s">
        <v>276</v>
      </c>
      <c r="B6" s="432">
        <v>4370.7299203099992</v>
      </c>
      <c r="C6" s="433">
        <v>4323.8554170199995</v>
      </c>
      <c r="D6" s="433">
        <v>4292.1159254200002</v>
      </c>
      <c r="E6" s="434">
        <v>4689.9094079102006</v>
      </c>
      <c r="F6" s="433">
        <v>4495.6720426616002</v>
      </c>
      <c r="G6" s="433">
        <v>4366.3040840202875</v>
      </c>
      <c r="H6" s="433">
        <v>4786.4868422316003</v>
      </c>
      <c r="I6" s="433">
        <v>4993.8081464247598</v>
      </c>
      <c r="J6" s="433">
        <v>4790.7005062644994</v>
      </c>
      <c r="K6" s="434">
        <v>4914.2536862087991</v>
      </c>
      <c r="L6" s="433">
        <v>4881.4822933305941</v>
      </c>
      <c r="M6" s="433">
        <v>4854.6419675026727</v>
      </c>
      <c r="N6" s="433">
        <v>5105.3808355556384</v>
      </c>
      <c r="O6" s="434">
        <v>5474.2172920265921</v>
      </c>
      <c r="P6" s="433">
        <v>5536.0967956957229</v>
      </c>
      <c r="Q6" s="433">
        <v>4862.4684583595999</v>
      </c>
      <c r="R6" s="434">
        <v>4465.7456297024992</v>
      </c>
      <c r="S6" s="433">
        <v>4312.9186979797996</v>
      </c>
      <c r="T6" s="433">
        <v>4556.131249905</v>
      </c>
      <c r="U6" s="435">
        <v>4720.5797024283802</v>
      </c>
      <c r="V6" s="435">
        <v>4707.1345624486175</v>
      </c>
      <c r="W6" s="435">
        <v>4215.6078598466001</v>
      </c>
      <c r="X6" s="435">
        <v>4272.5918114948781</v>
      </c>
      <c r="Y6" s="435">
        <v>4035.038303729219</v>
      </c>
      <c r="Z6" s="435">
        <v>4128.9577768183999</v>
      </c>
      <c r="AA6" s="435">
        <v>4103.7642567882549</v>
      </c>
      <c r="AB6" s="435">
        <v>4025.1771553201324</v>
      </c>
      <c r="AC6" s="435">
        <v>3780.3828302116003</v>
      </c>
      <c r="AD6" s="435">
        <v>3899.8604576597004</v>
      </c>
      <c r="AE6" s="435">
        <v>3872.8509141516665</v>
      </c>
      <c r="AF6" s="435">
        <v>5375.2728675512508</v>
      </c>
      <c r="AG6" s="435">
        <v>5636.7090192952001</v>
      </c>
      <c r="AH6" s="435">
        <v>5201.4440444659995</v>
      </c>
      <c r="AI6" s="435">
        <v>4996.4140955471994</v>
      </c>
      <c r="AJ6" s="435">
        <v>5390.5534820503999</v>
      </c>
      <c r="AK6" s="435">
        <v>5377.043477706</v>
      </c>
      <c r="AL6" s="435">
        <v>5487.7118382393001</v>
      </c>
      <c r="AM6" s="438">
        <v>5552.1091964430007</v>
      </c>
      <c r="AN6" s="438">
        <v>5216.9822497083996</v>
      </c>
      <c r="AO6" s="438">
        <v>5447.3569319177004</v>
      </c>
      <c r="AP6" s="438">
        <v>5668.3898299978</v>
      </c>
      <c r="AQ6" s="438">
        <v>5930.9691786439998</v>
      </c>
      <c r="AR6" s="432">
        <v>6551.8138669764003</v>
      </c>
      <c r="AS6" s="432">
        <v>6479.8904258999992</v>
      </c>
      <c r="AT6" s="432">
        <v>6403.119384983599</v>
      </c>
      <c r="AU6" s="432">
        <v>7157.0655215983998</v>
      </c>
      <c r="AV6" s="432">
        <v>6882.3367099530014</v>
      </c>
      <c r="AW6" s="436">
        <v>6613.5759396931999</v>
      </c>
      <c r="AX6" s="436">
        <v>7036.3608777972004</v>
      </c>
      <c r="AY6" s="436">
        <v>7009.8077130161009</v>
      </c>
      <c r="AZ6" s="436">
        <v>7132.8145208325004</v>
      </c>
      <c r="BA6" s="436">
        <v>6251.2562820278008</v>
      </c>
      <c r="BB6" s="436">
        <v>6093.6134419927994</v>
      </c>
      <c r="BC6" s="436">
        <v>6100.6264666391999</v>
      </c>
      <c r="BD6" s="436">
        <v>6654.8429190156012</v>
      </c>
      <c r="BE6" s="436">
        <v>6943.3987936104013</v>
      </c>
      <c r="BF6" s="436">
        <v>6782.731771522499</v>
      </c>
      <c r="BG6" s="436">
        <v>6807.7454515099998</v>
      </c>
      <c r="BH6" s="436">
        <v>6475.6326600967004</v>
      </c>
      <c r="BI6" s="436">
        <v>6500.6610102193008</v>
      </c>
      <c r="BJ6" s="436">
        <v>6584.1377497066005</v>
      </c>
      <c r="BK6" s="436">
        <v>6329.3304995195995</v>
      </c>
      <c r="BL6" s="436">
        <v>6576.4615278647007</v>
      </c>
      <c r="BM6" s="436">
        <v>6479.6058624232001</v>
      </c>
      <c r="BN6" s="436">
        <v>6561.3156319817999</v>
      </c>
      <c r="BO6" s="436">
        <v>6477.0626906327998</v>
      </c>
      <c r="BP6" s="436">
        <v>6528.7985947214001</v>
      </c>
      <c r="BQ6" s="436">
        <v>6589.5129304363991</v>
      </c>
      <c r="BR6" s="436">
        <v>6559.5246140866993</v>
      </c>
      <c r="BS6" s="436">
        <v>6658.1929827439999</v>
      </c>
      <c r="BT6" s="436">
        <v>6662.0088622149497</v>
      </c>
      <c r="BU6" s="436">
        <v>6066.9568600943994</v>
      </c>
      <c r="BV6" s="436">
        <v>6124.3831808054001</v>
      </c>
      <c r="BW6" s="436">
        <v>6529.1913200449999</v>
      </c>
      <c r="BX6" s="436">
        <v>6600.9464487944997</v>
      </c>
      <c r="BY6" s="436">
        <v>6364.4998691746996</v>
      </c>
      <c r="BZ6" s="436">
        <v>6349.7</v>
      </c>
      <c r="CA6" s="436">
        <v>6308.0139900163995</v>
      </c>
      <c r="CB6" s="436">
        <v>6044.1974124824001</v>
      </c>
      <c r="CC6" s="436">
        <v>6341.9923835599993</v>
      </c>
      <c r="CD6" s="436">
        <v>6285.2277418739404</v>
      </c>
      <c r="CE6" s="436">
        <v>6082.926019859975</v>
      </c>
      <c r="CF6" s="436">
        <v>6335.7700357709609</v>
      </c>
      <c r="CG6" s="436">
        <v>6716.4708608245674</v>
      </c>
      <c r="CH6" s="436">
        <v>7097.3893903238404</v>
      </c>
      <c r="CI6" s="436">
        <v>7571.9813189940069</v>
      </c>
      <c r="CJ6" s="436">
        <v>7442.0839899803805</v>
      </c>
      <c r="CK6" s="436">
        <v>7142.8922370595901</v>
      </c>
      <c r="CL6" s="436">
        <v>6869.9380813100006</v>
      </c>
      <c r="CM6" s="436">
        <v>7192.52901587</v>
      </c>
      <c r="CN6" s="436">
        <v>7114.0137198900002</v>
      </c>
      <c r="CO6" s="436">
        <v>6883.8815633599988</v>
      </c>
      <c r="CP6" s="436">
        <v>6810.6534626441999</v>
      </c>
      <c r="CQ6" s="436">
        <v>7024.7370861399995</v>
      </c>
      <c r="CR6" s="436">
        <v>7264.7614756800003</v>
      </c>
      <c r="CS6" s="436">
        <v>7087.1171652499997</v>
      </c>
      <c r="CT6" s="436">
        <v>7247.2063637399997</v>
      </c>
      <c r="CU6" s="436">
        <v>6919.0764716300009</v>
      </c>
      <c r="CV6" s="436">
        <v>6676.0607484399998</v>
      </c>
      <c r="CW6" s="436">
        <v>6814.6567555399988</v>
      </c>
      <c r="CX6" s="436">
        <v>6825.7617843899989</v>
      </c>
      <c r="CY6" s="436">
        <v>6843.997188790001</v>
      </c>
      <c r="CZ6" s="436">
        <v>7002.1169684299994</v>
      </c>
      <c r="DA6" s="436">
        <v>7446.1643054899996</v>
      </c>
      <c r="DB6" s="439">
        <v>7529.3587611499997</v>
      </c>
      <c r="DC6" s="439">
        <v>7602.34439845</v>
      </c>
      <c r="DD6" s="439">
        <v>7694.6431382999999</v>
      </c>
      <c r="DE6" s="439">
        <v>7698.5189493499993</v>
      </c>
      <c r="DF6" s="439">
        <v>8000.7818561299991</v>
      </c>
      <c r="DH6" s="430"/>
    </row>
    <row r="7" spans="1:112" ht="15.95" customHeight="1">
      <c r="A7" s="431" t="s">
        <v>277</v>
      </c>
      <c r="B7" s="432">
        <v>947.71407808999993</v>
      </c>
      <c r="C7" s="433">
        <v>888.25672714999996</v>
      </c>
      <c r="D7" s="433">
        <v>894.59133156999997</v>
      </c>
      <c r="E7" s="434">
        <v>808.46376236000015</v>
      </c>
      <c r="F7" s="433">
        <v>760.30456875999994</v>
      </c>
      <c r="G7" s="433">
        <v>691.09963296000001</v>
      </c>
      <c r="H7" s="433">
        <v>703.49796226000001</v>
      </c>
      <c r="I7" s="433">
        <v>1100.5213783199999</v>
      </c>
      <c r="J7" s="433">
        <v>846.72288403999994</v>
      </c>
      <c r="K7" s="434">
        <v>880.52077351000003</v>
      </c>
      <c r="L7" s="433">
        <v>935.92604272000005</v>
      </c>
      <c r="M7" s="433">
        <v>722.06079064999994</v>
      </c>
      <c r="N7" s="433">
        <v>706.18664161000004</v>
      </c>
      <c r="O7" s="434">
        <v>813.69968423</v>
      </c>
      <c r="P7" s="433">
        <v>731.17343831999995</v>
      </c>
      <c r="Q7" s="433">
        <v>743.58479609000005</v>
      </c>
      <c r="R7" s="434">
        <v>670.50531777999993</v>
      </c>
      <c r="S7" s="433">
        <v>647.10581165999997</v>
      </c>
      <c r="T7" s="433">
        <v>899.91180695000003</v>
      </c>
      <c r="U7" s="435">
        <v>660.67174766999995</v>
      </c>
      <c r="V7" s="435">
        <v>595.99635827999998</v>
      </c>
      <c r="W7" s="435">
        <v>790.72846633999995</v>
      </c>
      <c r="X7" s="435">
        <v>768.83103670000003</v>
      </c>
      <c r="Y7" s="435">
        <v>760.86141576</v>
      </c>
      <c r="Z7" s="435">
        <v>608.70071227999995</v>
      </c>
      <c r="AA7" s="435">
        <v>686.03519133000009</v>
      </c>
      <c r="AB7" s="435">
        <v>638.57694258000004</v>
      </c>
      <c r="AC7" s="435">
        <v>625.02238913999997</v>
      </c>
      <c r="AD7" s="435">
        <v>572.14731293</v>
      </c>
      <c r="AE7" s="435">
        <v>588.39648282000019</v>
      </c>
      <c r="AF7" s="435">
        <v>561.94402072000003</v>
      </c>
      <c r="AG7" s="435">
        <v>491.69037447000005</v>
      </c>
      <c r="AH7" s="435">
        <v>404.17246085000005</v>
      </c>
      <c r="AI7" s="435">
        <v>1052.8532324</v>
      </c>
      <c r="AJ7" s="435">
        <v>1079.00945247</v>
      </c>
      <c r="AK7" s="435">
        <v>1028.23917175</v>
      </c>
      <c r="AL7" s="435">
        <v>992.26630272</v>
      </c>
      <c r="AM7" s="438">
        <v>1010.10531451</v>
      </c>
      <c r="AN7" s="438">
        <v>1056.9215584400001</v>
      </c>
      <c r="AO7" s="438">
        <v>1026.3791025200001</v>
      </c>
      <c r="AP7" s="438">
        <v>1210.84515521</v>
      </c>
      <c r="AQ7" s="438">
        <v>1417.8552750300003</v>
      </c>
      <c r="AR7" s="432">
        <v>666.98173649519993</v>
      </c>
      <c r="AS7" s="432">
        <v>762.87199767999994</v>
      </c>
      <c r="AT7" s="432">
        <v>736.79466325999999</v>
      </c>
      <c r="AU7" s="432">
        <v>1016.7911232228</v>
      </c>
      <c r="AV7" s="432">
        <v>1017.8522659400001</v>
      </c>
      <c r="AW7" s="436">
        <v>986.7281722724</v>
      </c>
      <c r="AX7" s="436">
        <v>1090.0841711399999</v>
      </c>
      <c r="AY7" s="436">
        <v>1117.5570805899999</v>
      </c>
      <c r="AZ7" s="436">
        <v>1242.1857621718998</v>
      </c>
      <c r="BA7" s="436">
        <v>1130.6207459157999</v>
      </c>
      <c r="BB7" s="436">
        <v>1180.9600675199999</v>
      </c>
      <c r="BC7" s="436">
        <v>1179.2927186999998</v>
      </c>
      <c r="BD7" s="436">
        <v>1194.4314657499999</v>
      </c>
      <c r="BE7" s="436">
        <v>1283.3959922957001</v>
      </c>
      <c r="BF7" s="436">
        <v>1170.1192027449999</v>
      </c>
      <c r="BG7" s="436">
        <v>1037.2159888900001</v>
      </c>
      <c r="BH7" s="436">
        <v>977.25371406560009</v>
      </c>
      <c r="BI7" s="436">
        <v>973.93286234000004</v>
      </c>
      <c r="BJ7" s="436">
        <v>1609.17291312</v>
      </c>
      <c r="BK7" s="436">
        <v>1343.6732333334</v>
      </c>
      <c r="BL7" s="436">
        <v>1380.5472245097001</v>
      </c>
      <c r="BM7" s="436">
        <v>1585.4924234523999</v>
      </c>
      <c r="BN7" s="436">
        <v>1401.6625373600002</v>
      </c>
      <c r="BO7" s="436">
        <v>1356.8478927136002</v>
      </c>
      <c r="BP7" s="436">
        <v>1259.7261644150999</v>
      </c>
      <c r="BQ7" s="436">
        <v>1236.5469993167001</v>
      </c>
      <c r="BR7" s="436">
        <v>1297.8113549047998</v>
      </c>
      <c r="BS7" s="436">
        <v>1254.7770420416</v>
      </c>
      <c r="BT7" s="436">
        <v>2359.4374312179998</v>
      </c>
      <c r="BU7" s="436">
        <v>2492.8735255574061</v>
      </c>
      <c r="BV7" s="436">
        <v>2596.1876437210285</v>
      </c>
      <c r="BW7" s="436">
        <v>2592.3674039123198</v>
      </c>
      <c r="BX7" s="436">
        <v>2737.081852884</v>
      </c>
      <c r="BY7" s="436">
        <v>2671.7097182817001</v>
      </c>
      <c r="BZ7" s="436">
        <v>2644.4</v>
      </c>
      <c r="CA7" s="436">
        <v>2608.12796746</v>
      </c>
      <c r="CB7" s="436">
        <v>2547.7241215800004</v>
      </c>
      <c r="CC7" s="436">
        <v>2605.7748322424</v>
      </c>
      <c r="CD7" s="436">
        <v>2581.5688966204902</v>
      </c>
      <c r="CE7" s="436">
        <v>1922.9857331599999</v>
      </c>
      <c r="CF7" s="436">
        <v>1851.1474936136021</v>
      </c>
      <c r="CG7" s="436">
        <v>1823.2372807956165</v>
      </c>
      <c r="CH7" s="436">
        <v>1863.3675000000001</v>
      </c>
      <c r="CI7" s="436">
        <v>1995.3255854899999</v>
      </c>
      <c r="CJ7" s="436">
        <v>1971.91117252</v>
      </c>
      <c r="CK7" s="436">
        <v>1869.7525880599999</v>
      </c>
      <c r="CL7" s="436">
        <v>1778.58311007</v>
      </c>
      <c r="CM7" s="436">
        <v>1799.8706586599997</v>
      </c>
      <c r="CN7" s="436">
        <v>1849.45383186</v>
      </c>
      <c r="CO7" s="436">
        <v>1850.2427751099999</v>
      </c>
      <c r="CP7" s="436">
        <v>1788.3412914</v>
      </c>
      <c r="CQ7" s="436">
        <v>1856.30235322</v>
      </c>
      <c r="CR7" s="436">
        <v>1848.6942909299999</v>
      </c>
      <c r="CS7" s="436">
        <v>1851.8845406800001</v>
      </c>
      <c r="CT7" s="436">
        <v>2437.9259930400003</v>
      </c>
      <c r="CU7" s="436">
        <v>2683.4749029</v>
      </c>
      <c r="CV7" s="436">
        <v>2873.5351473399996</v>
      </c>
      <c r="CW7" s="436">
        <v>2863.6323328399999</v>
      </c>
      <c r="CX7" s="436">
        <v>2932.6817921300003</v>
      </c>
      <c r="CY7" s="436">
        <v>2892.3364387200004</v>
      </c>
      <c r="CZ7" s="436">
        <v>3018.0717435300003</v>
      </c>
      <c r="DA7" s="436">
        <v>3040.81866416</v>
      </c>
      <c r="DB7" s="439">
        <v>3061.71292352</v>
      </c>
      <c r="DC7" s="439">
        <v>3017.5393533399997</v>
      </c>
      <c r="DD7" s="439">
        <v>3036.47316796</v>
      </c>
      <c r="DE7" s="439">
        <v>3082.6068864899999</v>
      </c>
      <c r="DF7" s="439">
        <v>2924.1876803240234</v>
      </c>
      <c r="DH7" s="430"/>
    </row>
    <row r="8" spans="1:112" ht="15.95" customHeight="1">
      <c r="A8" s="431" t="s">
        <v>278</v>
      </c>
      <c r="B8" s="432">
        <v>14.049424</v>
      </c>
      <c r="C8" s="433">
        <v>12.630751</v>
      </c>
      <c r="D8" s="433">
        <v>13.428654000000002</v>
      </c>
      <c r="E8" s="434">
        <v>15.132339000000002</v>
      </c>
      <c r="F8" s="433">
        <v>15.919357</v>
      </c>
      <c r="G8" s="433">
        <v>16.155488000000002</v>
      </c>
      <c r="H8" s="433">
        <v>18.95864688</v>
      </c>
      <c r="I8" s="433">
        <v>16.23104</v>
      </c>
      <c r="J8" s="433">
        <v>18.155421829999998</v>
      </c>
      <c r="K8" s="434">
        <v>19.179758240000002</v>
      </c>
      <c r="L8" s="433">
        <v>14.546299400000001</v>
      </c>
      <c r="M8" s="433">
        <v>18.68868582</v>
      </c>
      <c r="N8" s="433">
        <v>17.235568000000001</v>
      </c>
      <c r="O8" s="434">
        <v>19.27239694</v>
      </c>
      <c r="P8" s="433">
        <v>20.66539998</v>
      </c>
      <c r="Q8" s="433">
        <v>21.927378019999999</v>
      </c>
      <c r="R8" s="434">
        <v>22.397614709999999</v>
      </c>
      <c r="S8" s="433">
        <v>23.981740869999999</v>
      </c>
      <c r="T8" s="433">
        <v>20.001068149999998</v>
      </c>
      <c r="U8" s="435">
        <v>24.183884350000003</v>
      </c>
      <c r="V8" s="435">
        <v>24.915300250000001</v>
      </c>
      <c r="W8" s="435">
        <v>22.119072719999998</v>
      </c>
      <c r="X8" s="435">
        <v>21.157603429999998</v>
      </c>
      <c r="Y8" s="435">
        <v>19.039158240000003</v>
      </c>
      <c r="Z8" s="435">
        <v>17.498148050000001</v>
      </c>
      <c r="AA8" s="435">
        <v>19.131903319999999</v>
      </c>
      <c r="AB8" s="435">
        <v>20.453608450000001</v>
      </c>
      <c r="AC8" s="435">
        <v>14.772791420000001</v>
      </c>
      <c r="AD8" s="435">
        <v>15.45467451</v>
      </c>
      <c r="AE8" s="435">
        <v>17.127844370000002</v>
      </c>
      <c r="AF8" s="435">
        <v>17.43549646</v>
      </c>
      <c r="AG8" s="435">
        <v>16.568486069999999</v>
      </c>
      <c r="AH8" s="435">
        <v>19.166698499999999</v>
      </c>
      <c r="AI8" s="435">
        <v>18.96211533</v>
      </c>
      <c r="AJ8" s="435">
        <v>19.512489689999999</v>
      </c>
      <c r="AK8" s="435">
        <v>19.53939733</v>
      </c>
      <c r="AL8" s="435">
        <v>18.170410780000001</v>
      </c>
      <c r="AM8" s="438">
        <v>16.670075489999999</v>
      </c>
      <c r="AN8" s="438">
        <v>16.5553715</v>
      </c>
      <c r="AO8" s="438">
        <v>16.17877979</v>
      </c>
      <c r="AP8" s="438">
        <v>17.015526240000003</v>
      </c>
      <c r="AQ8" s="438">
        <v>17.004971179999998</v>
      </c>
      <c r="AR8" s="432">
        <v>16.321624359999998</v>
      </c>
      <c r="AS8" s="432">
        <v>15.42724069</v>
      </c>
      <c r="AT8" s="432">
        <v>14.555907769999999</v>
      </c>
      <c r="AU8" s="432">
        <v>15.6637319</v>
      </c>
      <c r="AV8" s="432">
        <v>15.142991530000002</v>
      </c>
      <c r="AW8" s="436">
        <v>62.480838718800001</v>
      </c>
      <c r="AX8" s="436">
        <v>62.640613819999999</v>
      </c>
      <c r="AY8" s="436">
        <v>64.983649409999998</v>
      </c>
      <c r="AZ8" s="436">
        <v>65.705261149999998</v>
      </c>
      <c r="BA8" s="436">
        <v>65.608467560000008</v>
      </c>
      <c r="BB8" s="436">
        <v>67.104993690000001</v>
      </c>
      <c r="BC8" s="436">
        <v>65.936608300000003</v>
      </c>
      <c r="BD8" s="436">
        <v>66.269063799999998</v>
      </c>
      <c r="BE8" s="436">
        <v>67.142427653699997</v>
      </c>
      <c r="BF8" s="436">
        <v>66.769846042500006</v>
      </c>
      <c r="BG8" s="436">
        <v>16.314983609999999</v>
      </c>
      <c r="BH8" s="436">
        <v>15.66918912</v>
      </c>
      <c r="BI8" s="436">
        <v>14.70712675</v>
      </c>
      <c r="BJ8" s="436">
        <v>14.14735907</v>
      </c>
      <c r="BK8" s="436">
        <v>12.02554349</v>
      </c>
      <c r="BL8" s="436">
        <v>11.767226539999999</v>
      </c>
      <c r="BM8" s="436">
        <v>12.49390421</v>
      </c>
      <c r="BN8" s="436">
        <v>10.334915929999999</v>
      </c>
      <c r="BO8" s="436">
        <v>11.426193269999999</v>
      </c>
      <c r="BP8" s="436">
        <v>11.68602375</v>
      </c>
      <c r="BQ8" s="436">
        <v>12.068280640000001</v>
      </c>
      <c r="BR8" s="436">
        <v>11.92550069</v>
      </c>
      <c r="BS8" s="436">
        <v>11.200466629999999</v>
      </c>
      <c r="BT8" s="436">
        <v>9.2935320500000014</v>
      </c>
      <c r="BU8" s="436">
        <v>10.469897289999999</v>
      </c>
      <c r="BV8" s="436">
        <v>11.684196596219998</v>
      </c>
      <c r="BW8" s="436">
        <v>11.23606889</v>
      </c>
      <c r="BX8" s="436">
        <v>10.350129000000001</v>
      </c>
      <c r="BY8" s="436">
        <v>11.4813106123</v>
      </c>
      <c r="BZ8" s="436">
        <v>11.5</v>
      </c>
      <c r="CA8" s="436">
        <v>9.9080165299999994</v>
      </c>
      <c r="CB8" s="436">
        <v>13.356135</v>
      </c>
      <c r="CC8" s="436">
        <v>13.194072049727998</v>
      </c>
      <c r="CD8" s="436">
        <v>13.667905460907999</v>
      </c>
      <c r="CE8" s="436">
        <v>14.509243358094825</v>
      </c>
      <c r="CF8" s="436">
        <v>15.483963649663997</v>
      </c>
      <c r="CG8" s="436">
        <v>12.491698636283333</v>
      </c>
      <c r="CH8" s="436">
        <v>12.567417749999999</v>
      </c>
      <c r="CI8" s="436">
        <v>11.97007224</v>
      </c>
      <c r="CJ8" s="436">
        <v>10.528653850000001</v>
      </c>
      <c r="CK8" s="436">
        <v>9.1565461500000005</v>
      </c>
      <c r="CL8" s="436">
        <v>8.4030496899999996</v>
      </c>
      <c r="CM8" s="436">
        <v>10.43707256442779</v>
      </c>
      <c r="CN8" s="436">
        <v>12.215941920000001</v>
      </c>
      <c r="CO8" s="436">
        <v>11.37133736</v>
      </c>
      <c r="CP8" s="436">
        <v>11.904212170000001</v>
      </c>
      <c r="CQ8" s="436">
        <v>10.313248960000001</v>
      </c>
      <c r="CR8" s="436">
        <v>11.145040190000001</v>
      </c>
      <c r="CS8" s="436">
        <v>10.38853761</v>
      </c>
      <c r="CT8" s="436">
        <v>10.063368109999999</v>
      </c>
      <c r="CU8" s="436">
        <v>10.23378862</v>
      </c>
      <c r="CV8" s="436">
        <v>10.28510065</v>
      </c>
      <c r="CW8" s="436">
        <v>10.065354390000001</v>
      </c>
      <c r="CX8" s="436">
        <v>9.8054173999999978</v>
      </c>
      <c r="CY8" s="436">
        <v>11.144426939999999</v>
      </c>
      <c r="CZ8" s="436">
        <v>11.79465038</v>
      </c>
      <c r="DA8" s="436">
        <v>10.78413991</v>
      </c>
      <c r="DB8" s="439">
        <v>10.59136505</v>
      </c>
      <c r="DC8" s="439">
        <v>8.2615560000000006</v>
      </c>
      <c r="DD8" s="439">
        <v>8.154205769999999</v>
      </c>
      <c r="DE8" s="439">
        <v>8.0235489999999992</v>
      </c>
      <c r="DF8" s="439">
        <v>8.8039190000000005</v>
      </c>
      <c r="DH8" s="430"/>
    </row>
    <row r="9" spans="1:112" ht="15.95" customHeight="1">
      <c r="A9" s="431" t="s">
        <v>279</v>
      </c>
      <c r="B9" s="432">
        <v>19.434546000000001</v>
      </c>
      <c r="C9" s="433">
        <v>21.991353700000001</v>
      </c>
      <c r="D9" s="433">
        <v>24.904605510000003</v>
      </c>
      <c r="E9" s="434">
        <v>20.44278006</v>
      </c>
      <c r="F9" s="433">
        <v>26.744178240000004</v>
      </c>
      <c r="G9" s="433">
        <v>27.471033890000001</v>
      </c>
      <c r="H9" s="433">
        <v>31.25423623</v>
      </c>
      <c r="I9" s="433">
        <v>14.37098275</v>
      </c>
      <c r="J9" s="433">
        <v>14.743625040000001</v>
      </c>
      <c r="K9" s="434">
        <v>15.38837155</v>
      </c>
      <c r="L9" s="433">
        <v>14.317133999999999</v>
      </c>
      <c r="M9" s="433">
        <v>15.369480529999999</v>
      </c>
      <c r="N9" s="433">
        <v>14.123897019999999</v>
      </c>
      <c r="O9" s="434">
        <v>13.827830909999999</v>
      </c>
      <c r="P9" s="433">
        <v>15.908692479999999</v>
      </c>
      <c r="Q9" s="433">
        <v>14.163014530000002</v>
      </c>
      <c r="R9" s="434">
        <v>15.938348299999999</v>
      </c>
      <c r="S9" s="433">
        <v>14.927327640000001</v>
      </c>
      <c r="T9" s="433">
        <v>15.37474287</v>
      </c>
      <c r="U9" s="435">
        <v>16.239639539999999</v>
      </c>
      <c r="V9" s="435">
        <v>15.00314176</v>
      </c>
      <c r="W9" s="435">
        <v>15.303271949999999</v>
      </c>
      <c r="X9" s="435">
        <v>13.790674790000001</v>
      </c>
      <c r="Y9" s="435">
        <v>12.73285454</v>
      </c>
      <c r="Z9" s="435">
        <v>13.541893530000001</v>
      </c>
      <c r="AA9" s="435">
        <v>12.95515335</v>
      </c>
      <c r="AB9" s="435">
        <v>16.082966370000001</v>
      </c>
      <c r="AC9" s="435">
        <v>14.496600379999999</v>
      </c>
      <c r="AD9" s="435">
        <v>12.776230910000001</v>
      </c>
      <c r="AE9" s="435">
        <v>15.368706900000001</v>
      </c>
      <c r="AF9" s="435">
        <v>13.117615220000001</v>
      </c>
      <c r="AG9" s="435">
        <v>12.448867310000001</v>
      </c>
      <c r="AH9" s="435">
        <v>11.553555950000002</v>
      </c>
      <c r="AI9" s="435">
        <v>13.22084695</v>
      </c>
      <c r="AJ9" s="435">
        <v>12.993818859999999</v>
      </c>
      <c r="AK9" s="435">
        <v>11.6259444</v>
      </c>
      <c r="AL9" s="435">
        <v>9.9342030099999992</v>
      </c>
      <c r="AM9" s="438">
        <v>8.7160712100000008</v>
      </c>
      <c r="AN9" s="438">
        <v>9.0718181500000004</v>
      </c>
      <c r="AO9" s="438">
        <v>8.9005056099999997</v>
      </c>
      <c r="AP9" s="438">
        <v>9.6434757500000003</v>
      </c>
      <c r="AQ9" s="438">
        <v>10.434982339999999</v>
      </c>
      <c r="AR9" s="432">
        <v>11.25451874</v>
      </c>
      <c r="AS9" s="432">
        <v>17.118735280000003</v>
      </c>
      <c r="AT9" s="432">
        <v>13.757401400000001</v>
      </c>
      <c r="AU9" s="432">
        <v>16.082168519999996</v>
      </c>
      <c r="AV9" s="432">
        <v>17.78960064</v>
      </c>
      <c r="AW9" s="436">
        <v>20.382275069999999</v>
      </c>
      <c r="AX9" s="436">
        <v>18.270174609999994</v>
      </c>
      <c r="AY9" s="436">
        <v>3.2451047400000004</v>
      </c>
      <c r="AZ9" s="436">
        <v>3.3936212000000001</v>
      </c>
      <c r="BA9" s="436">
        <v>3.9056801300000004</v>
      </c>
      <c r="BB9" s="436">
        <v>4.0478866499999997</v>
      </c>
      <c r="BC9" s="436">
        <v>0.98379643000000006</v>
      </c>
      <c r="BD9" s="436">
        <v>0.91681897000000001</v>
      </c>
      <c r="BE9" s="436">
        <v>0.90502258999999996</v>
      </c>
      <c r="BF9" s="436">
        <v>0.96775080000000002</v>
      </c>
      <c r="BG9" s="436">
        <v>0.94771501999999996</v>
      </c>
      <c r="BH9" s="436">
        <v>0.95334095000000008</v>
      </c>
      <c r="BI9" s="436">
        <v>2.5305252299999998</v>
      </c>
      <c r="BJ9" s="436">
        <v>2.8388067100000001</v>
      </c>
      <c r="BK9" s="436">
        <v>3.3241337799999999</v>
      </c>
      <c r="BL9" s="436">
        <v>3.9113232999999998</v>
      </c>
      <c r="BM9" s="436">
        <v>3.8188926200000002</v>
      </c>
      <c r="BN9" s="436">
        <v>4.0777373199999998</v>
      </c>
      <c r="BO9" s="436">
        <v>2.33587794</v>
      </c>
      <c r="BP9" s="436">
        <v>2.79008491</v>
      </c>
      <c r="BQ9" s="436">
        <v>2.7442425799999999</v>
      </c>
      <c r="BR9" s="436">
        <v>2.8827066400000003</v>
      </c>
      <c r="BS9" s="436">
        <v>2.5677454800000001</v>
      </c>
      <c r="BT9" s="436">
        <v>3.3443891299999997</v>
      </c>
      <c r="BU9" s="436">
        <v>3.4035821400000001</v>
      </c>
      <c r="BV9" s="436">
        <v>3.2135207000000001</v>
      </c>
      <c r="BW9" s="436">
        <v>3.0636965799999998</v>
      </c>
      <c r="BX9" s="436">
        <v>2.8388852999999998</v>
      </c>
      <c r="BY9" s="436">
        <v>3.4044560099999996</v>
      </c>
      <c r="BZ9" s="436">
        <v>2.5</v>
      </c>
      <c r="CA9" s="436">
        <v>0.30669008999999997</v>
      </c>
      <c r="CB9" s="436">
        <v>0.64684775000000005</v>
      </c>
      <c r="CC9" s="436">
        <v>2.1253180631701722</v>
      </c>
      <c r="CD9" s="436">
        <v>1.16510812</v>
      </c>
      <c r="CE9" s="436">
        <v>2.0125944200000001</v>
      </c>
      <c r="CF9" s="436">
        <v>1.3303883700000001</v>
      </c>
      <c r="CG9" s="436">
        <v>5.16278478</v>
      </c>
      <c r="CH9" s="436">
        <v>5.2631020900000003</v>
      </c>
      <c r="CI9" s="436">
        <v>4.95825491</v>
      </c>
      <c r="CJ9" s="436">
        <v>5.3599682500000005</v>
      </c>
      <c r="CK9" s="436">
        <v>5.4523421099999991</v>
      </c>
      <c r="CL9" s="436">
        <v>7.8116119999999983E-2</v>
      </c>
      <c r="CM9" s="436">
        <v>3.4598458700000001</v>
      </c>
      <c r="CN9" s="436">
        <v>4.1738916999999995</v>
      </c>
      <c r="CO9" s="436">
        <v>3.9772062699999999</v>
      </c>
      <c r="CP9" s="436">
        <v>4.1524078800000002</v>
      </c>
      <c r="CQ9" s="436">
        <v>4.7565606100000002</v>
      </c>
      <c r="CR9" s="436">
        <v>4.5584625499999998</v>
      </c>
      <c r="CS9" s="436">
        <v>5.2777096999999999</v>
      </c>
      <c r="CT9" s="436">
        <v>5.1532224100000006</v>
      </c>
      <c r="CU9" s="436">
        <v>4.6853471600000001</v>
      </c>
      <c r="CV9" s="436">
        <v>5.2171206900000007</v>
      </c>
      <c r="CW9" s="436">
        <v>4.9632806799999996</v>
      </c>
      <c r="CX9" s="436">
        <v>0.24762703</v>
      </c>
      <c r="CY9" s="436">
        <v>0.35176181000000001</v>
      </c>
      <c r="CZ9" s="436">
        <v>1.9020433700000001</v>
      </c>
      <c r="DA9" s="436">
        <v>2.3745214400000001</v>
      </c>
      <c r="DB9" s="439">
        <v>2.59855825</v>
      </c>
      <c r="DC9" s="439">
        <v>2.79837179</v>
      </c>
      <c r="DD9" s="439">
        <v>2.9983843800000001</v>
      </c>
      <c r="DE9" s="439">
        <v>3.3022728399999997</v>
      </c>
      <c r="DF9" s="439">
        <v>3.9923136699999993</v>
      </c>
      <c r="DH9" s="430"/>
    </row>
    <row r="10" spans="1:112" ht="15.95" customHeight="1">
      <c r="A10" s="431" t="s">
        <v>280</v>
      </c>
      <c r="B10" s="432">
        <v>680.74645148000002</v>
      </c>
      <c r="C10" s="433">
        <v>669.58498656000006</v>
      </c>
      <c r="D10" s="433">
        <v>721.68721933000006</v>
      </c>
      <c r="E10" s="434">
        <v>704.17222448999996</v>
      </c>
      <c r="F10" s="433">
        <v>689.42629768999996</v>
      </c>
      <c r="G10" s="433">
        <v>678.83808231000012</v>
      </c>
      <c r="H10" s="433">
        <v>671.85362325000006</v>
      </c>
      <c r="I10" s="433">
        <v>678.17775860999984</v>
      </c>
      <c r="J10" s="433">
        <v>659.00284986999998</v>
      </c>
      <c r="K10" s="434">
        <v>624.54959976999999</v>
      </c>
      <c r="L10" s="433">
        <v>623.39722935999998</v>
      </c>
      <c r="M10" s="433">
        <v>635.91024102999995</v>
      </c>
      <c r="N10" s="433">
        <v>626.03130603</v>
      </c>
      <c r="O10" s="434">
        <v>654.03063631000009</v>
      </c>
      <c r="P10" s="433">
        <v>667.06512477000001</v>
      </c>
      <c r="Q10" s="433">
        <v>637.90905760999999</v>
      </c>
      <c r="R10" s="434">
        <v>653.09075022000002</v>
      </c>
      <c r="S10" s="433">
        <v>666.38343436000014</v>
      </c>
      <c r="T10" s="433">
        <v>734.75414365000006</v>
      </c>
      <c r="U10" s="435">
        <v>704.01534222999999</v>
      </c>
      <c r="V10" s="435">
        <v>684.69541763999996</v>
      </c>
      <c r="W10" s="435">
        <v>691.91620799999998</v>
      </c>
      <c r="X10" s="435">
        <v>683.57086580999999</v>
      </c>
      <c r="Y10" s="435">
        <v>698.22884531999989</v>
      </c>
      <c r="Z10" s="435">
        <v>708.16269356999999</v>
      </c>
      <c r="AA10" s="435">
        <v>648.46042792000003</v>
      </c>
      <c r="AB10" s="435">
        <v>616.73928117999992</v>
      </c>
      <c r="AC10" s="435">
        <v>591.97554236999997</v>
      </c>
      <c r="AD10" s="435">
        <v>605.11727158000008</v>
      </c>
      <c r="AE10" s="435">
        <v>610.58692802999997</v>
      </c>
      <c r="AF10" s="435">
        <v>769.48864221000008</v>
      </c>
      <c r="AG10" s="435">
        <v>759.57411053999999</v>
      </c>
      <c r="AH10" s="435">
        <v>701.56265627999994</v>
      </c>
      <c r="AI10" s="435">
        <v>669.39741194999988</v>
      </c>
      <c r="AJ10" s="435">
        <v>740.11895875999994</v>
      </c>
      <c r="AK10" s="435">
        <v>698.99451021000004</v>
      </c>
      <c r="AL10" s="435">
        <v>692.32486569000002</v>
      </c>
      <c r="AM10" s="438">
        <v>764.58137678000003</v>
      </c>
      <c r="AN10" s="438">
        <v>761.36681661000011</v>
      </c>
      <c r="AO10" s="438">
        <v>796.97338425999999</v>
      </c>
      <c r="AP10" s="438">
        <v>858.12948381460001</v>
      </c>
      <c r="AQ10" s="438">
        <v>897.0049568206</v>
      </c>
      <c r="AR10" s="432">
        <v>1457.9946032740002</v>
      </c>
      <c r="AS10" s="432">
        <v>1296.6949313599998</v>
      </c>
      <c r="AT10" s="432">
        <v>1332.3579162115998</v>
      </c>
      <c r="AU10" s="432">
        <v>1317.9513012627999</v>
      </c>
      <c r="AV10" s="432">
        <v>1339.421396531</v>
      </c>
      <c r="AW10" s="436">
        <v>1357.3729559440001</v>
      </c>
      <c r="AX10" s="436">
        <v>1471.3503510420001</v>
      </c>
      <c r="AY10" s="436">
        <v>1404.8140691218998</v>
      </c>
      <c r="AZ10" s="436">
        <v>1434.9690486898999</v>
      </c>
      <c r="BA10" s="436">
        <v>1380.0718601475999</v>
      </c>
      <c r="BB10" s="436">
        <v>1407.801637795</v>
      </c>
      <c r="BC10" s="436">
        <v>1410.7351433904</v>
      </c>
      <c r="BD10" s="436">
        <v>1357.7031272818001</v>
      </c>
      <c r="BE10" s="436">
        <v>1425.9896374364002</v>
      </c>
      <c r="BF10" s="436">
        <v>1394.7213508025</v>
      </c>
      <c r="BG10" s="436">
        <v>1289.646278312</v>
      </c>
      <c r="BH10" s="436">
        <v>1279.9922310587999</v>
      </c>
      <c r="BI10" s="436">
        <v>1333.6415901597002</v>
      </c>
      <c r="BJ10" s="436">
        <v>1347.8243981810001</v>
      </c>
      <c r="BK10" s="436">
        <v>1333.1018977438002</v>
      </c>
      <c r="BL10" s="436">
        <v>1057.4966753783999</v>
      </c>
      <c r="BM10" s="436">
        <v>1085.7487767309999</v>
      </c>
      <c r="BN10" s="436">
        <v>1055.0548767943999</v>
      </c>
      <c r="BO10" s="436">
        <v>1055.8706959776</v>
      </c>
      <c r="BP10" s="436">
        <v>1062.2065091504001</v>
      </c>
      <c r="BQ10" s="436">
        <v>934.55127172570008</v>
      </c>
      <c r="BR10" s="436">
        <v>954.87956761839996</v>
      </c>
      <c r="BS10" s="436">
        <v>994.19406403279993</v>
      </c>
      <c r="BT10" s="436">
        <v>996.61983492583488</v>
      </c>
      <c r="BU10" s="436">
        <v>934.16697285658597</v>
      </c>
      <c r="BV10" s="436">
        <v>1038.2528140550039</v>
      </c>
      <c r="BW10" s="436">
        <v>1019.210718515685</v>
      </c>
      <c r="BX10" s="436">
        <v>982.39189505050001</v>
      </c>
      <c r="BY10" s="436">
        <v>1000.3535430119</v>
      </c>
      <c r="BZ10" s="436">
        <v>926.1</v>
      </c>
      <c r="CA10" s="436">
        <v>911.28902409290004</v>
      </c>
      <c r="CB10" s="436">
        <v>1415.3755182940001</v>
      </c>
      <c r="CC10" s="436">
        <v>1411.178157913281</v>
      </c>
      <c r="CD10" s="436">
        <v>1415.0680699612901</v>
      </c>
      <c r="CE10" s="436">
        <v>1512.4050718441963</v>
      </c>
      <c r="CF10" s="436">
        <v>1612.6384349413279</v>
      </c>
      <c r="CG10" s="436">
        <v>1560.1921296366065</v>
      </c>
      <c r="CH10" s="436">
        <v>1921.6772129017158</v>
      </c>
      <c r="CI10" s="436">
        <v>1889.8323416632547</v>
      </c>
      <c r="CJ10" s="436">
        <v>1929.002978808642</v>
      </c>
      <c r="CK10" s="436">
        <v>1860.8523967775998</v>
      </c>
      <c r="CL10" s="436">
        <v>1729.0895120966359</v>
      </c>
      <c r="CM10" s="436">
        <v>1871.0706141359376</v>
      </c>
      <c r="CN10" s="436">
        <v>1897.3329362216323</v>
      </c>
      <c r="CO10" s="436">
        <v>1783.0843833568979</v>
      </c>
      <c r="CP10" s="436">
        <v>1818.9197389677997</v>
      </c>
      <c r="CQ10" s="436">
        <v>1820.5650165017969</v>
      </c>
      <c r="CR10" s="436">
        <v>1905.03961284248</v>
      </c>
      <c r="CS10" s="436">
        <v>2035.454992654574</v>
      </c>
      <c r="CT10" s="436">
        <v>1977.9474160685861</v>
      </c>
      <c r="CU10" s="436">
        <v>2060.6577598549343</v>
      </c>
      <c r="CV10" s="436">
        <v>1998.1475605456549</v>
      </c>
      <c r="CW10" s="436">
        <v>1875.1870264667264</v>
      </c>
      <c r="CX10" s="436">
        <v>1927.302425281245</v>
      </c>
      <c r="CY10" s="436">
        <v>2040.8718431972336</v>
      </c>
      <c r="CZ10" s="436">
        <v>1685.5726706356654</v>
      </c>
      <c r="DA10" s="436">
        <v>1687.2878435593709</v>
      </c>
      <c r="DB10" s="439">
        <v>1641.9856447748562</v>
      </c>
      <c r="DC10" s="439">
        <v>1602.3277001903218</v>
      </c>
      <c r="DD10" s="439">
        <v>1741.4639121718922</v>
      </c>
      <c r="DE10" s="439">
        <v>1759.3451526683202</v>
      </c>
      <c r="DF10" s="439">
        <v>1954.2794249108147</v>
      </c>
      <c r="DH10" s="430"/>
    </row>
    <row r="11" spans="1:112" ht="15.95" customHeight="1">
      <c r="A11" s="431" t="s">
        <v>281</v>
      </c>
      <c r="B11" s="432">
        <v>57.798629949999999</v>
      </c>
      <c r="C11" s="433">
        <v>51.700971169999995</v>
      </c>
      <c r="D11" s="433">
        <v>49.256198470000008</v>
      </c>
      <c r="E11" s="434">
        <v>49.36767734</v>
      </c>
      <c r="F11" s="433">
        <v>50.872078359999996</v>
      </c>
      <c r="G11" s="433">
        <v>54.562780589999996</v>
      </c>
      <c r="H11" s="433">
        <v>58.534968980000002</v>
      </c>
      <c r="I11" s="433">
        <v>59.416303890000002</v>
      </c>
      <c r="J11" s="433">
        <v>63.125296670000004</v>
      </c>
      <c r="K11" s="434">
        <v>62.886076810000006</v>
      </c>
      <c r="L11" s="433">
        <v>50.058069839999987</v>
      </c>
      <c r="M11" s="433">
        <v>51.92119254</v>
      </c>
      <c r="N11" s="433">
        <v>48.029054439999996</v>
      </c>
      <c r="O11" s="434">
        <v>49.198509870000002</v>
      </c>
      <c r="P11" s="433">
        <v>48.009204990000001</v>
      </c>
      <c r="Q11" s="433">
        <v>43.050701940000003</v>
      </c>
      <c r="R11" s="434">
        <v>48.613263120000006</v>
      </c>
      <c r="S11" s="433">
        <v>47.472828039999996</v>
      </c>
      <c r="T11" s="433">
        <v>53.312322280000004</v>
      </c>
      <c r="U11" s="435">
        <v>51.812994189999998</v>
      </c>
      <c r="V11" s="435">
        <v>51.391255610000002</v>
      </c>
      <c r="W11" s="435">
        <v>44.031219050000004</v>
      </c>
      <c r="X11" s="435">
        <v>42.034925229999999</v>
      </c>
      <c r="Y11" s="435">
        <v>43.431987530000001</v>
      </c>
      <c r="Z11" s="435">
        <v>52.73871504000001</v>
      </c>
      <c r="AA11" s="435">
        <v>55.471890520000002</v>
      </c>
      <c r="AB11" s="435">
        <v>55.895976870000005</v>
      </c>
      <c r="AC11" s="435">
        <v>53.713909140000005</v>
      </c>
      <c r="AD11" s="435">
        <v>59.263937799999994</v>
      </c>
      <c r="AE11" s="435">
        <v>58.65993094000001</v>
      </c>
      <c r="AF11" s="435">
        <v>62.744424140000007</v>
      </c>
      <c r="AG11" s="435">
        <v>73.224120570000011</v>
      </c>
      <c r="AH11" s="435">
        <v>82.383440840000006</v>
      </c>
      <c r="AI11" s="435">
        <v>92.614042930000011</v>
      </c>
      <c r="AJ11" s="435">
        <v>96.124649969999993</v>
      </c>
      <c r="AK11" s="435">
        <v>99.667327090000001</v>
      </c>
      <c r="AL11" s="435">
        <v>114.18458379999998</v>
      </c>
      <c r="AM11" s="438">
        <v>110.61494218000001</v>
      </c>
      <c r="AN11" s="438">
        <v>108.29413239</v>
      </c>
      <c r="AO11" s="438">
        <v>117.71123702</v>
      </c>
      <c r="AP11" s="438">
        <v>122.22364185520001</v>
      </c>
      <c r="AQ11" s="438">
        <v>125.19706089</v>
      </c>
      <c r="AR11" s="432">
        <v>141.73660931560002</v>
      </c>
      <c r="AS11" s="432">
        <v>137.56350472</v>
      </c>
      <c r="AT11" s="432">
        <v>140.07364025999999</v>
      </c>
      <c r="AU11" s="432">
        <v>132.19475150380001</v>
      </c>
      <c r="AV11" s="432">
        <v>135.71728740900002</v>
      </c>
      <c r="AW11" s="436">
        <v>133.7734744384</v>
      </c>
      <c r="AX11" s="436">
        <v>135.0620454168</v>
      </c>
      <c r="AY11" s="436">
        <v>132.00445559080001</v>
      </c>
      <c r="AZ11" s="436">
        <v>130.7704204115</v>
      </c>
      <c r="BA11" s="436">
        <v>127.47570119480001</v>
      </c>
      <c r="BB11" s="436">
        <v>127.08448812859999</v>
      </c>
      <c r="BC11" s="436">
        <v>133.39653014960001</v>
      </c>
      <c r="BD11" s="436">
        <v>124.53656030579999</v>
      </c>
      <c r="BE11" s="436">
        <v>127.72038237570001</v>
      </c>
      <c r="BF11" s="436">
        <v>114.779105735</v>
      </c>
      <c r="BG11" s="436">
        <v>118.75586125600002</v>
      </c>
      <c r="BH11" s="436">
        <v>117.03129830920003</v>
      </c>
      <c r="BI11" s="436">
        <v>121.24610390220001</v>
      </c>
      <c r="BJ11" s="436">
        <v>138.6959368613</v>
      </c>
      <c r="BK11" s="436">
        <v>139.9814070255</v>
      </c>
      <c r="BL11" s="436">
        <v>142.58327622070001</v>
      </c>
      <c r="BM11" s="436">
        <v>142.02858426219998</v>
      </c>
      <c r="BN11" s="436">
        <v>211.901367908</v>
      </c>
      <c r="BO11" s="436">
        <v>216.39152313199997</v>
      </c>
      <c r="BP11" s="436">
        <v>222.77367906120003</v>
      </c>
      <c r="BQ11" s="436">
        <v>210.76319128770001</v>
      </c>
      <c r="BR11" s="436">
        <v>222.58779522530003</v>
      </c>
      <c r="BS11" s="436">
        <v>216.09899116839995</v>
      </c>
      <c r="BT11" s="436">
        <v>220.52534513946497</v>
      </c>
      <c r="BU11" s="436">
        <v>215.80126499413001</v>
      </c>
      <c r="BV11" s="436">
        <v>215.738260927336</v>
      </c>
      <c r="BW11" s="436">
        <v>224.41069014882004</v>
      </c>
      <c r="BX11" s="436">
        <v>231.87547430749999</v>
      </c>
      <c r="BY11" s="436">
        <v>212.5</v>
      </c>
      <c r="BZ11" s="436">
        <v>209.4</v>
      </c>
      <c r="CA11" s="436">
        <v>192.1683350234</v>
      </c>
      <c r="CB11" s="436">
        <v>192.10295291720001</v>
      </c>
      <c r="CC11" s="436">
        <v>188.83597411753999</v>
      </c>
      <c r="CD11" s="436">
        <v>194.081023142324</v>
      </c>
      <c r="CE11" s="436">
        <v>196.57433001807919</v>
      </c>
      <c r="CF11" s="436">
        <v>183.32370457449662</v>
      </c>
      <c r="CG11" s="436">
        <v>187.46372827056564</v>
      </c>
      <c r="CH11" s="436">
        <v>197.593067813549</v>
      </c>
      <c r="CI11" s="436">
        <v>191.01849727684083</v>
      </c>
      <c r="CJ11" s="436">
        <v>176.34674955509598</v>
      </c>
      <c r="CK11" s="436">
        <v>176.14991748109898</v>
      </c>
      <c r="CL11" s="436">
        <v>140.219479282344</v>
      </c>
      <c r="CM11" s="436">
        <v>140.80877388959249</v>
      </c>
      <c r="CN11" s="436">
        <v>136.64911419256532</v>
      </c>
      <c r="CO11" s="436">
        <v>169.48792703671199</v>
      </c>
      <c r="CP11" s="436">
        <v>218.912331893925</v>
      </c>
      <c r="CQ11" s="436">
        <v>227.78715636140552</v>
      </c>
      <c r="CR11" s="436">
        <v>190.45751965391005</v>
      </c>
      <c r="CS11" s="436">
        <v>202.9059953908349</v>
      </c>
      <c r="CT11" s="436">
        <v>116.58267620582745</v>
      </c>
      <c r="CU11" s="436">
        <v>119.00965620758149</v>
      </c>
      <c r="CV11" s="436">
        <v>120.44847847</v>
      </c>
      <c r="CW11" s="436">
        <v>112.66419506000001</v>
      </c>
      <c r="CX11" s="436">
        <v>103.52121041750294</v>
      </c>
      <c r="CY11" s="436">
        <v>102.79530289358992</v>
      </c>
      <c r="CZ11" s="436">
        <v>114.35201755838585</v>
      </c>
      <c r="DA11" s="436">
        <v>103.78674190568019</v>
      </c>
      <c r="DB11" s="439">
        <v>106.66028520171564</v>
      </c>
      <c r="DC11" s="439">
        <v>120.83106183548647</v>
      </c>
      <c r="DD11" s="439">
        <v>115.86672542413162</v>
      </c>
      <c r="DE11" s="439">
        <v>119.90542714872896</v>
      </c>
      <c r="DF11" s="439">
        <v>119.8113614616951</v>
      </c>
      <c r="DH11" s="430"/>
    </row>
    <row r="12" spans="1:112" ht="15.95" customHeight="1">
      <c r="A12" s="431" t="s">
        <v>282</v>
      </c>
      <c r="B12" s="432">
        <v>736.55948827000009</v>
      </c>
      <c r="C12" s="433">
        <v>733.52918764999993</v>
      </c>
      <c r="D12" s="433">
        <v>732.15930138999988</v>
      </c>
      <c r="E12" s="434">
        <v>718.26600730999996</v>
      </c>
      <c r="F12" s="433">
        <v>741.51070261999996</v>
      </c>
      <c r="G12" s="433">
        <v>699.68836633000012</v>
      </c>
      <c r="H12" s="433">
        <v>723.17987817999983</v>
      </c>
      <c r="I12" s="433">
        <v>715.33115117</v>
      </c>
      <c r="J12" s="433">
        <v>649.21072432000005</v>
      </c>
      <c r="K12" s="434">
        <v>662.48318692000009</v>
      </c>
      <c r="L12" s="433">
        <v>659.55422504000001</v>
      </c>
      <c r="M12" s="433">
        <v>652.43408654999996</v>
      </c>
      <c r="N12" s="433">
        <v>684.40910025000005</v>
      </c>
      <c r="O12" s="434">
        <v>681.76122988999998</v>
      </c>
      <c r="P12" s="433">
        <v>655.08935042999997</v>
      </c>
      <c r="Q12" s="433">
        <v>672.50805530000002</v>
      </c>
      <c r="R12" s="434">
        <v>629.89446720000001</v>
      </c>
      <c r="S12" s="433">
        <v>642.35362208000004</v>
      </c>
      <c r="T12" s="433">
        <v>645.46264953999992</v>
      </c>
      <c r="U12" s="435">
        <v>644.42085243999998</v>
      </c>
      <c r="V12" s="435">
        <v>659.30571644000008</v>
      </c>
      <c r="W12" s="435">
        <v>652.08803773</v>
      </c>
      <c r="X12" s="435">
        <v>666.60781406000001</v>
      </c>
      <c r="Y12" s="435">
        <v>612.23725543000012</v>
      </c>
      <c r="Z12" s="435">
        <v>606.74979399000006</v>
      </c>
      <c r="AA12" s="435">
        <v>658.20387760000017</v>
      </c>
      <c r="AB12" s="435">
        <v>634.25186406000012</v>
      </c>
      <c r="AC12" s="435">
        <v>621.77348896000001</v>
      </c>
      <c r="AD12" s="435">
        <v>597.18443334000017</v>
      </c>
      <c r="AE12" s="435">
        <v>604.06508178000001</v>
      </c>
      <c r="AF12" s="435">
        <v>592.73015972999997</v>
      </c>
      <c r="AG12" s="435">
        <v>586.53402099000004</v>
      </c>
      <c r="AH12" s="435">
        <v>559.58719701999996</v>
      </c>
      <c r="AI12" s="435">
        <v>476.72935605999993</v>
      </c>
      <c r="AJ12" s="435">
        <v>502.93494873999998</v>
      </c>
      <c r="AK12" s="435">
        <v>537.31934782999997</v>
      </c>
      <c r="AL12" s="435">
        <v>553.25571288000003</v>
      </c>
      <c r="AM12" s="438">
        <v>540.59114454999997</v>
      </c>
      <c r="AN12" s="438">
        <v>534.92488765999997</v>
      </c>
      <c r="AO12" s="438">
        <v>563.67607465000003</v>
      </c>
      <c r="AP12" s="438">
        <v>572.62253351940001</v>
      </c>
      <c r="AQ12" s="438">
        <v>620.83133577800004</v>
      </c>
      <c r="AR12" s="432">
        <v>635.01948180479997</v>
      </c>
      <c r="AS12" s="432">
        <v>629.05823623000003</v>
      </c>
      <c r="AT12" s="432">
        <v>636.79703982039985</v>
      </c>
      <c r="AU12" s="432">
        <v>647.02661767480004</v>
      </c>
      <c r="AV12" s="432">
        <v>684.62955795499988</v>
      </c>
      <c r="AW12" s="436">
        <v>719.73253946999989</v>
      </c>
      <c r="AX12" s="436">
        <v>742.39140043880013</v>
      </c>
      <c r="AY12" s="436">
        <v>731.42000312129994</v>
      </c>
      <c r="AZ12" s="436">
        <v>744.22710117619999</v>
      </c>
      <c r="BA12" s="436">
        <v>739.24643505360007</v>
      </c>
      <c r="BB12" s="436">
        <v>770.79922536080005</v>
      </c>
      <c r="BC12" s="436">
        <v>705.54872499199985</v>
      </c>
      <c r="BD12" s="436">
        <v>740.56789657180002</v>
      </c>
      <c r="BE12" s="436">
        <v>708.05870449049996</v>
      </c>
      <c r="BF12" s="436">
        <v>747.56181083499996</v>
      </c>
      <c r="BG12" s="436">
        <v>707.116794196</v>
      </c>
      <c r="BH12" s="436">
        <v>749.76267161210001</v>
      </c>
      <c r="BI12" s="436">
        <v>725.81760791569991</v>
      </c>
      <c r="BJ12" s="436">
        <v>709.43820582499995</v>
      </c>
      <c r="BK12" s="436">
        <v>712.46557459990015</v>
      </c>
      <c r="BL12" s="436">
        <v>725.25088453220008</v>
      </c>
      <c r="BM12" s="436">
        <v>727.1123359828</v>
      </c>
      <c r="BN12" s="436">
        <v>725.70540007039995</v>
      </c>
      <c r="BO12" s="436">
        <v>717.79814981079994</v>
      </c>
      <c r="BP12" s="436">
        <v>687.52573383869992</v>
      </c>
      <c r="BQ12" s="436">
        <v>702.98647806710005</v>
      </c>
      <c r="BR12" s="436">
        <v>715.6634967798999</v>
      </c>
      <c r="BS12" s="436">
        <v>670.98375989599992</v>
      </c>
      <c r="BT12" s="436">
        <v>682.25407335522493</v>
      </c>
      <c r="BU12" s="436">
        <v>648.51952493912597</v>
      </c>
      <c r="BV12" s="436">
        <v>680.94136569235604</v>
      </c>
      <c r="BW12" s="436">
        <v>668.99178862628514</v>
      </c>
      <c r="BX12" s="436">
        <v>672.07739708100007</v>
      </c>
      <c r="BY12" s="436">
        <v>668.64570158989989</v>
      </c>
      <c r="BZ12" s="436">
        <v>649.6</v>
      </c>
      <c r="CA12" s="436">
        <v>660.89445722499988</v>
      </c>
      <c r="CB12" s="436">
        <v>680.24610450759997</v>
      </c>
      <c r="CC12" s="436">
        <v>678.06300706501997</v>
      </c>
      <c r="CD12" s="436">
        <v>664.99371280055595</v>
      </c>
      <c r="CE12" s="436">
        <v>682.06778971792824</v>
      </c>
      <c r="CF12" s="436">
        <v>768.32163354912802</v>
      </c>
      <c r="CG12" s="436">
        <v>806.29086588268001</v>
      </c>
      <c r="CH12" s="436">
        <v>820.32353652082361</v>
      </c>
      <c r="CI12" s="436">
        <v>819.4342101903311</v>
      </c>
      <c r="CJ12" s="436">
        <v>842.94216275869996</v>
      </c>
      <c r="CK12" s="436">
        <v>879.73007721813997</v>
      </c>
      <c r="CL12" s="436">
        <v>982.22519685475902</v>
      </c>
      <c r="CM12" s="436">
        <v>1034.298166190423</v>
      </c>
      <c r="CN12" s="436">
        <v>1036.6675062895583</v>
      </c>
      <c r="CO12" s="436">
        <v>1005.5915681087619</v>
      </c>
      <c r="CP12" s="436">
        <v>891.66864325229983</v>
      </c>
      <c r="CQ12" s="436">
        <v>875.46833347534846</v>
      </c>
      <c r="CR12" s="436">
        <v>906.30182693497989</v>
      </c>
      <c r="CS12" s="436">
        <v>914.29830622496991</v>
      </c>
      <c r="CT12" s="436">
        <v>898.70724081440994</v>
      </c>
      <c r="CU12" s="436">
        <v>950.05777717988053</v>
      </c>
      <c r="CV12" s="436">
        <v>951.42601543539502</v>
      </c>
      <c r="CW12" s="436">
        <v>935.31379661003177</v>
      </c>
      <c r="CX12" s="436">
        <v>973.72164043961288</v>
      </c>
      <c r="CY12" s="436">
        <v>970.40394054576996</v>
      </c>
      <c r="CZ12" s="436">
        <v>1007.5184488307416</v>
      </c>
      <c r="DA12" s="436">
        <v>999.96493527729262</v>
      </c>
      <c r="DB12" s="439">
        <v>960.50794897962146</v>
      </c>
      <c r="DC12" s="439">
        <v>988.4980782215996</v>
      </c>
      <c r="DD12" s="439">
        <v>950.58382686681318</v>
      </c>
      <c r="DE12" s="439">
        <v>947.97168910487039</v>
      </c>
      <c r="DF12" s="439">
        <v>992.63086626953668</v>
      </c>
      <c r="DH12" s="430"/>
    </row>
    <row r="13" spans="1:112" ht="15.95" customHeight="1">
      <c r="A13" s="431" t="s">
        <v>283</v>
      </c>
      <c r="B13" s="432">
        <v>124.99176263000001</v>
      </c>
      <c r="C13" s="433">
        <v>100.59934063</v>
      </c>
      <c r="D13" s="433">
        <v>96.104119199999985</v>
      </c>
      <c r="E13" s="434">
        <v>96.434326549999994</v>
      </c>
      <c r="F13" s="433">
        <v>102.57009767999999</v>
      </c>
      <c r="G13" s="433">
        <v>111.20738567000002</v>
      </c>
      <c r="H13" s="433">
        <v>108.26677868</v>
      </c>
      <c r="I13" s="433">
        <v>95.878963939999991</v>
      </c>
      <c r="J13" s="433">
        <v>96.056776199999987</v>
      </c>
      <c r="K13" s="434">
        <v>82.736083859999979</v>
      </c>
      <c r="L13" s="433">
        <v>94.30735731</v>
      </c>
      <c r="M13" s="433">
        <v>85.249180559999999</v>
      </c>
      <c r="N13" s="433">
        <v>84.315589570000014</v>
      </c>
      <c r="O13" s="434">
        <v>81.524654609999999</v>
      </c>
      <c r="P13" s="433">
        <v>81.552380179999986</v>
      </c>
      <c r="Q13" s="433">
        <v>70.030845889999995</v>
      </c>
      <c r="R13" s="434">
        <v>82.14990997999999</v>
      </c>
      <c r="S13" s="433">
        <v>95.893809729999987</v>
      </c>
      <c r="T13" s="433">
        <v>99.634526409999992</v>
      </c>
      <c r="U13" s="435">
        <v>82.180210620000011</v>
      </c>
      <c r="V13" s="435">
        <v>85.123405480000002</v>
      </c>
      <c r="W13" s="435">
        <v>82.378181710000007</v>
      </c>
      <c r="X13" s="435">
        <v>83.383140409999996</v>
      </c>
      <c r="Y13" s="435">
        <v>83.189585030000003</v>
      </c>
      <c r="Z13" s="435">
        <v>203.43200723999999</v>
      </c>
      <c r="AA13" s="435">
        <v>210.60283288999997</v>
      </c>
      <c r="AB13" s="435">
        <v>327.30192291999998</v>
      </c>
      <c r="AC13" s="435">
        <v>340.70001848999999</v>
      </c>
      <c r="AD13" s="435">
        <v>364.2029410099999</v>
      </c>
      <c r="AE13" s="435">
        <v>414.12622721000002</v>
      </c>
      <c r="AF13" s="435">
        <v>366.37088190999998</v>
      </c>
      <c r="AG13" s="435">
        <v>366.22597855000004</v>
      </c>
      <c r="AH13" s="435">
        <v>376.10401789999997</v>
      </c>
      <c r="AI13" s="435">
        <v>261.87489035999999</v>
      </c>
      <c r="AJ13" s="435">
        <v>258.90894800000001</v>
      </c>
      <c r="AK13" s="435">
        <v>267.37542157000001</v>
      </c>
      <c r="AL13" s="435">
        <v>253.91107115</v>
      </c>
      <c r="AM13" s="438">
        <v>306.93055080999994</v>
      </c>
      <c r="AN13" s="438">
        <v>310.25036755000002</v>
      </c>
      <c r="AO13" s="438">
        <v>304.63853637</v>
      </c>
      <c r="AP13" s="438">
        <v>381.22095930250003</v>
      </c>
      <c r="AQ13" s="438">
        <v>375.82525960859999</v>
      </c>
      <c r="AR13" s="432">
        <v>397.97667611240007</v>
      </c>
      <c r="AS13" s="432">
        <v>345.01958476999999</v>
      </c>
      <c r="AT13" s="432">
        <v>383.71042763759999</v>
      </c>
      <c r="AU13" s="432">
        <v>392.25145249920001</v>
      </c>
      <c r="AV13" s="432">
        <v>394.06686827499999</v>
      </c>
      <c r="AW13" s="436">
        <v>396.89350050080003</v>
      </c>
      <c r="AX13" s="436">
        <v>381.26019078359997</v>
      </c>
      <c r="AY13" s="436">
        <v>432.2654234963</v>
      </c>
      <c r="AZ13" s="436">
        <v>462.09608323589998</v>
      </c>
      <c r="BA13" s="436">
        <v>432.05621180100002</v>
      </c>
      <c r="BB13" s="436">
        <v>432.62795254669999</v>
      </c>
      <c r="BC13" s="436">
        <v>424.6698621004</v>
      </c>
      <c r="BD13" s="436">
        <v>422.19112018859994</v>
      </c>
      <c r="BE13" s="436">
        <v>418.29761927589999</v>
      </c>
      <c r="BF13" s="436">
        <v>427.33094676999997</v>
      </c>
      <c r="BG13" s="436">
        <v>424.25368464000013</v>
      </c>
      <c r="BH13" s="436">
        <v>431.18664024780003</v>
      </c>
      <c r="BI13" s="436">
        <v>421.68830201479994</v>
      </c>
      <c r="BJ13" s="436">
        <v>404.74183823589999</v>
      </c>
      <c r="BK13" s="436">
        <v>382.35444202460002</v>
      </c>
      <c r="BL13" s="436">
        <v>367.32697576689992</v>
      </c>
      <c r="BM13" s="436">
        <v>369.04821826259996</v>
      </c>
      <c r="BN13" s="436">
        <v>367.74702733149934</v>
      </c>
      <c r="BO13" s="436">
        <v>353.2147062528</v>
      </c>
      <c r="BP13" s="436">
        <v>361.21162379259999</v>
      </c>
      <c r="BQ13" s="436">
        <v>360.46925125820002</v>
      </c>
      <c r="BR13" s="436">
        <v>364.30881772500004</v>
      </c>
      <c r="BS13" s="436">
        <v>364.58810433759999</v>
      </c>
      <c r="BT13" s="436">
        <v>349.76246279848658</v>
      </c>
      <c r="BU13" s="436">
        <v>371.95163168112396</v>
      </c>
      <c r="BV13" s="436">
        <v>355.24788302362998</v>
      </c>
      <c r="BW13" s="436">
        <v>358.34234129950005</v>
      </c>
      <c r="BX13" s="436">
        <v>349.4097120655</v>
      </c>
      <c r="BY13" s="436">
        <v>342.20560558789998</v>
      </c>
      <c r="BZ13" s="436">
        <v>331.7</v>
      </c>
      <c r="CA13" s="436">
        <v>339.21530205670007</v>
      </c>
      <c r="CB13" s="436">
        <v>313.04275183919992</v>
      </c>
      <c r="CC13" s="436">
        <v>421.38628428000004</v>
      </c>
      <c r="CD13" s="436">
        <v>431.76649684064597</v>
      </c>
      <c r="CE13" s="436">
        <v>412.15124626731057</v>
      </c>
      <c r="CF13" s="436">
        <v>443.99343500499992</v>
      </c>
      <c r="CG13" s="436">
        <v>435.97044923314991</v>
      </c>
      <c r="CH13" s="436">
        <v>390.56419416065233</v>
      </c>
      <c r="CI13" s="436">
        <v>376.15364261080305</v>
      </c>
      <c r="CJ13" s="436">
        <v>371.62584581360994</v>
      </c>
      <c r="CK13" s="436">
        <v>365.94107834347204</v>
      </c>
      <c r="CL13" s="436">
        <v>395.12587268021218</v>
      </c>
      <c r="CM13" s="436">
        <v>397.74819277674101</v>
      </c>
      <c r="CN13" s="436">
        <v>366.99379088711333</v>
      </c>
      <c r="CO13" s="436">
        <v>422.02499986979905</v>
      </c>
      <c r="CP13" s="436">
        <v>413.503276135075</v>
      </c>
      <c r="CQ13" s="436">
        <v>423.90404593540893</v>
      </c>
      <c r="CR13" s="436">
        <v>433.22844366882498</v>
      </c>
      <c r="CS13" s="436">
        <v>440.91617557981198</v>
      </c>
      <c r="CT13" s="436">
        <v>423.43850975871959</v>
      </c>
      <c r="CU13" s="436">
        <v>431.39361691292703</v>
      </c>
      <c r="CV13" s="436">
        <v>412.19564667041578</v>
      </c>
      <c r="CW13" s="436">
        <v>412.30273892722812</v>
      </c>
      <c r="CX13" s="436">
        <v>414.38086648057794</v>
      </c>
      <c r="CY13" s="436">
        <v>416.19998192350062</v>
      </c>
      <c r="CZ13" s="436">
        <v>417.25254964791799</v>
      </c>
      <c r="DA13" s="436">
        <v>413.08895877299142</v>
      </c>
      <c r="DB13" s="439">
        <v>412.49198634627476</v>
      </c>
      <c r="DC13" s="439">
        <v>408.00137499597787</v>
      </c>
      <c r="DD13" s="439">
        <v>409.91363689839898</v>
      </c>
      <c r="DE13" s="439">
        <v>403.39275494376005</v>
      </c>
      <c r="DF13" s="439">
        <v>399.48887823892949</v>
      </c>
      <c r="DH13" s="430"/>
    </row>
    <row r="14" spans="1:112" ht="15.95" customHeight="1">
      <c r="A14" s="431" t="s">
        <v>284</v>
      </c>
      <c r="B14" s="432">
        <v>393.46709796345954</v>
      </c>
      <c r="C14" s="433">
        <v>729.69083186856005</v>
      </c>
      <c r="D14" s="433">
        <v>511.53785234457001</v>
      </c>
      <c r="E14" s="434">
        <v>802.42416643500007</v>
      </c>
      <c r="F14" s="433">
        <v>965.73385734999999</v>
      </c>
      <c r="G14" s="433">
        <v>977.93131550452119</v>
      </c>
      <c r="H14" s="433">
        <v>887.56379279967996</v>
      </c>
      <c r="I14" s="433">
        <v>326.09958579455997</v>
      </c>
      <c r="J14" s="433">
        <v>461.00464797000001</v>
      </c>
      <c r="K14" s="434">
        <v>312.725037747275</v>
      </c>
      <c r="L14" s="433">
        <v>179.191174655</v>
      </c>
      <c r="M14" s="433">
        <v>402.0264935175</v>
      </c>
      <c r="N14" s="433">
        <v>558.69295613999998</v>
      </c>
      <c r="O14" s="434">
        <v>727.12938545000009</v>
      </c>
      <c r="P14" s="433">
        <v>784.7789453900001</v>
      </c>
      <c r="Q14" s="433">
        <v>805.04111314499994</v>
      </c>
      <c r="R14" s="434">
        <v>460.8896512099999</v>
      </c>
      <c r="S14" s="433">
        <v>796.52701348250002</v>
      </c>
      <c r="T14" s="433">
        <v>711.70315434999998</v>
      </c>
      <c r="U14" s="435">
        <v>419.0768104</v>
      </c>
      <c r="V14" s="435">
        <v>321.52887156999998</v>
      </c>
      <c r="W14" s="435">
        <v>208.92354759</v>
      </c>
      <c r="X14" s="435">
        <v>212.71905268999998</v>
      </c>
      <c r="Y14" s="435">
        <v>481.91439163000001</v>
      </c>
      <c r="Z14" s="435">
        <v>511.94235250999998</v>
      </c>
      <c r="AA14" s="435">
        <v>643.64260533999993</v>
      </c>
      <c r="AB14" s="435">
        <v>874.64490513999988</v>
      </c>
      <c r="AC14" s="435">
        <v>792.16982875999997</v>
      </c>
      <c r="AD14" s="435">
        <v>1221.0660514700003</v>
      </c>
      <c r="AE14" s="435">
        <v>1026.5149925400001</v>
      </c>
      <c r="AF14" s="435">
        <v>1745.7538207200002</v>
      </c>
      <c r="AG14" s="435">
        <v>1134.6272109400002</v>
      </c>
      <c r="AH14" s="435">
        <v>1011.93633002</v>
      </c>
      <c r="AI14" s="435">
        <v>1195.26132123</v>
      </c>
      <c r="AJ14" s="435">
        <v>1047.95106012</v>
      </c>
      <c r="AK14" s="435">
        <v>1101.6219828899998</v>
      </c>
      <c r="AL14" s="435">
        <v>1126.35383346</v>
      </c>
      <c r="AM14" s="438">
        <v>1515.79266517</v>
      </c>
      <c r="AN14" s="438">
        <v>1196.9240849099999</v>
      </c>
      <c r="AO14" s="438">
        <v>1758.7963019334002</v>
      </c>
      <c r="AP14" s="438">
        <v>2202.7347343635997</v>
      </c>
      <c r="AQ14" s="438">
        <v>1942.12620746831</v>
      </c>
      <c r="AR14" s="432">
        <v>2154.3927017862202</v>
      </c>
      <c r="AS14" s="432">
        <v>1920.0139504899998</v>
      </c>
      <c r="AT14" s="432">
        <v>1071.2390649091999</v>
      </c>
      <c r="AU14" s="432">
        <v>1073.2858248262</v>
      </c>
      <c r="AV14" s="432">
        <v>1010.4611043560001</v>
      </c>
      <c r="AW14" s="436">
        <v>1246.42286375</v>
      </c>
      <c r="AX14" s="436">
        <v>1284.198182528</v>
      </c>
      <c r="AY14" s="436">
        <v>1446.0681858925</v>
      </c>
      <c r="AZ14" s="436">
        <v>2042.6808912903</v>
      </c>
      <c r="BA14" s="436">
        <v>2169.5723581840002</v>
      </c>
      <c r="BB14" s="436">
        <v>2304.7318106588</v>
      </c>
      <c r="BC14" s="436">
        <v>2412.351016893841</v>
      </c>
      <c r="BD14" s="436">
        <v>2117.1079172946002</v>
      </c>
      <c r="BE14" s="436">
        <v>1992.8669095979999</v>
      </c>
      <c r="BF14" s="436">
        <v>2426.5414829052747</v>
      </c>
      <c r="BG14" s="436">
        <v>2780.2626578847203</v>
      </c>
      <c r="BH14" s="436">
        <v>3016.3545829903978</v>
      </c>
      <c r="BI14" s="436">
        <v>3292.5733067860956</v>
      </c>
      <c r="BJ14" s="436">
        <v>3749.202673102976</v>
      </c>
      <c r="BK14" s="436">
        <v>2720.0835475315939</v>
      </c>
      <c r="BL14" s="436">
        <v>3906.8959660785349</v>
      </c>
      <c r="BM14" s="436">
        <v>4280.3391373632367</v>
      </c>
      <c r="BN14" s="436">
        <v>4667.9166810962361</v>
      </c>
      <c r="BO14" s="436">
        <v>4812.5168540514314</v>
      </c>
      <c r="BP14" s="436">
        <v>4331.4197959537687</v>
      </c>
      <c r="BQ14" s="436">
        <v>3639.7274481826666</v>
      </c>
      <c r="BR14" s="436">
        <v>3746.6170959693918</v>
      </c>
      <c r="BS14" s="436">
        <v>3746.651713023216</v>
      </c>
      <c r="BT14" s="436">
        <v>3311.6622396297294</v>
      </c>
      <c r="BU14" s="436">
        <v>3644.4987600374097</v>
      </c>
      <c r="BV14" s="436">
        <v>2701.1350646487799</v>
      </c>
      <c r="BW14" s="436">
        <v>3946.4995308668658</v>
      </c>
      <c r="BX14" s="436">
        <v>4112.0847193005002</v>
      </c>
      <c r="BY14" s="436">
        <v>4520.2751633702992</v>
      </c>
      <c r="BZ14" s="436">
        <v>4753.8999999999996</v>
      </c>
      <c r="CA14" s="436">
        <v>4759.2627099663005</v>
      </c>
      <c r="CB14" s="436">
        <v>4919.3968339439998</v>
      </c>
      <c r="CC14" s="436">
        <v>4937.1250336058083</v>
      </c>
      <c r="CD14" s="436">
        <v>4753.0455947743221</v>
      </c>
      <c r="CE14" s="436">
        <v>4192.2579566060494</v>
      </c>
      <c r="CF14" s="436">
        <v>3817.6047770257474</v>
      </c>
      <c r="CG14" s="436">
        <v>3821.9964339508133</v>
      </c>
      <c r="CH14" s="436">
        <v>3372.6648731864179</v>
      </c>
      <c r="CI14" s="436">
        <v>3459.9686789691864</v>
      </c>
      <c r="CJ14" s="436">
        <v>3663.1361708502159</v>
      </c>
      <c r="CK14" s="436">
        <v>4485.1335002779979</v>
      </c>
      <c r="CL14" s="436">
        <v>4569.3763590812014</v>
      </c>
      <c r="CM14" s="436">
        <v>4864.4504707603373</v>
      </c>
      <c r="CN14" s="436">
        <v>5646.6408284544377</v>
      </c>
      <c r="CO14" s="436">
        <v>5377.4332502268617</v>
      </c>
      <c r="CP14" s="436">
        <v>5193.5739654009749</v>
      </c>
      <c r="CQ14" s="436">
        <v>5325.5594945175153</v>
      </c>
      <c r="CR14" s="436">
        <v>5137.82516978479</v>
      </c>
      <c r="CS14" s="436">
        <v>4333.3769010867318</v>
      </c>
      <c r="CT14" s="436">
        <v>4018.5097139388017</v>
      </c>
      <c r="CU14" s="436">
        <v>4014.3499125380899</v>
      </c>
      <c r="CV14" s="436">
        <v>4719.9839547483089</v>
      </c>
      <c r="CW14" s="436">
        <v>5167.7334210777035</v>
      </c>
      <c r="CX14" s="436">
        <v>4942.8315222953206</v>
      </c>
      <c r="CY14" s="436">
        <v>5282.0289339581359</v>
      </c>
      <c r="CZ14" s="436">
        <v>5704.7330267223051</v>
      </c>
      <c r="DA14" s="436">
        <v>5206.0130399936243</v>
      </c>
      <c r="DB14" s="439">
        <v>5649.5951362266851</v>
      </c>
      <c r="DC14" s="439">
        <v>5912.2686588947299</v>
      </c>
      <c r="DD14" s="439">
        <v>4783.0275756370729</v>
      </c>
      <c r="DE14" s="439">
        <v>4464.3114483693407</v>
      </c>
      <c r="DF14" s="439">
        <v>3943.2180331584295</v>
      </c>
      <c r="DH14" s="430"/>
    </row>
    <row r="15" spans="1:112" ht="7.7" customHeight="1">
      <c r="A15" s="419"/>
      <c r="B15" s="420"/>
      <c r="C15" s="422"/>
      <c r="D15" s="422"/>
      <c r="E15" s="423"/>
      <c r="F15" s="422"/>
      <c r="G15" s="422"/>
      <c r="H15" s="433"/>
      <c r="I15" s="433"/>
      <c r="J15" s="433"/>
      <c r="K15" s="434"/>
      <c r="L15" s="433"/>
      <c r="M15" s="433"/>
      <c r="N15" s="433"/>
      <c r="O15" s="434"/>
      <c r="P15" s="433"/>
      <c r="Q15" s="433"/>
      <c r="R15" s="434"/>
      <c r="S15" s="433"/>
      <c r="T15" s="433"/>
      <c r="U15" s="435"/>
      <c r="V15" s="435"/>
      <c r="W15" s="435"/>
      <c r="X15" s="435"/>
      <c r="Y15" s="435"/>
      <c r="Z15" s="435"/>
      <c r="AA15" s="435"/>
      <c r="AB15" s="435"/>
      <c r="AC15" s="435"/>
      <c r="AD15" s="435"/>
      <c r="AE15" s="435"/>
      <c r="AF15" s="435"/>
      <c r="AG15" s="435"/>
      <c r="AH15" s="435"/>
      <c r="AI15" s="435"/>
      <c r="AJ15" s="435"/>
      <c r="AK15" s="435"/>
      <c r="AL15" s="435"/>
      <c r="AM15" s="426"/>
      <c r="AN15" s="426"/>
      <c r="AO15" s="426"/>
      <c r="AP15" s="426"/>
      <c r="AQ15" s="426"/>
      <c r="AR15" s="420"/>
      <c r="AS15" s="420"/>
      <c r="AT15" s="420"/>
      <c r="AU15" s="420"/>
      <c r="AV15" s="420"/>
      <c r="AW15" s="427"/>
      <c r="AX15" s="427"/>
      <c r="AY15" s="427"/>
      <c r="AZ15" s="427"/>
      <c r="BA15" s="427"/>
      <c r="BB15" s="427"/>
      <c r="BC15" s="427"/>
      <c r="BD15" s="427"/>
      <c r="BE15" s="427"/>
      <c r="BF15" s="427"/>
      <c r="BG15" s="427"/>
      <c r="BH15" s="427"/>
      <c r="BI15" s="427"/>
      <c r="BJ15" s="427"/>
      <c r="BK15" s="427"/>
      <c r="BL15" s="427"/>
      <c r="BM15" s="427"/>
      <c r="BN15" s="427"/>
      <c r="BO15" s="427"/>
      <c r="BP15" s="427"/>
      <c r="BQ15" s="427"/>
      <c r="BR15" s="427"/>
      <c r="BS15" s="427"/>
      <c r="BT15" s="427"/>
      <c r="BU15" s="427"/>
      <c r="BV15" s="427"/>
      <c r="BW15" s="427"/>
      <c r="BX15" s="427"/>
      <c r="BY15" s="427"/>
      <c r="BZ15" s="427"/>
      <c r="CA15" s="427"/>
      <c r="CB15" s="427"/>
      <c r="CC15" s="427"/>
      <c r="CD15" s="427"/>
      <c r="CE15" s="427"/>
      <c r="CF15" s="427"/>
      <c r="CG15" s="427"/>
      <c r="CH15" s="427"/>
      <c r="CI15" s="427"/>
      <c r="CJ15" s="427"/>
      <c r="CK15" s="427"/>
      <c r="CL15" s="427"/>
      <c r="CM15" s="427"/>
      <c r="CN15" s="427"/>
      <c r="CO15" s="427"/>
      <c r="CP15" s="427"/>
      <c r="CQ15" s="427"/>
      <c r="CR15" s="427"/>
      <c r="CS15" s="427"/>
      <c r="CT15" s="427"/>
      <c r="CU15" s="427"/>
      <c r="CV15" s="427"/>
      <c r="CW15" s="427"/>
      <c r="CX15" s="427"/>
      <c r="CY15" s="427"/>
      <c r="CZ15" s="427"/>
      <c r="DA15" s="427"/>
      <c r="DB15" s="439"/>
      <c r="DC15" s="439"/>
      <c r="DD15" s="439"/>
      <c r="DE15" s="439"/>
      <c r="DF15" s="439"/>
      <c r="DH15" s="430"/>
    </row>
    <row r="16" spans="1:112">
      <c r="A16" s="419" t="s">
        <v>285</v>
      </c>
      <c r="B16" s="420">
        <f>SUM(B18:B34)</f>
        <v>14397.702758701704</v>
      </c>
      <c r="C16" s="422">
        <f>SUM(C18:C34)</f>
        <v>14563.462937684602</v>
      </c>
      <c r="D16" s="422">
        <f>SUM(D18:D34)</f>
        <v>14472.510563321543</v>
      </c>
      <c r="E16" s="423">
        <f>SUM(E18:E34)</f>
        <v>14474.722307242801</v>
      </c>
      <c r="F16" s="422">
        <v>14676.282794245801</v>
      </c>
      <c r="G16" s="422">
        <v>14528.859925789762</v>
      </c>
      <c r="H16" s="422">
        <v>14752.448025040005</v>
      </c>
      <c r="I16" s="422">
        <v>14765.763216959047</v>
      </c>
      <c r="J16" s="422">
        <v>14912.580981303501</v>
      </c>
      <c r="K16" s="423">
        <v>14682.895543182678</v>
      </c>
      <c r="L16" s="422">
        <v>14882.106521112893</v>
      </c>
      <c r="M16" s="422">
        <v>15050.517765799295</v>
      </c>
      <c r="N16" s="422">
        <v>14975.836911448299</v>
      </c>
      <c r="O16" s="423">
        <v>15133.933188828225</v>
      </c>
      <c r="P16" s="422">
        <v>15122.114728785033</v>
      </c>
      <c r="Q16" s="422">
        <v>15077.721255990416</v>
      </c>
      <c r="R16" s="423">
        <v>15025.212989781701</v>
      </c>
      <c r="S16" s="422">
        <v>15041.424354925799</v>
      </c>
      <c r="T16" s="422">
        <v>15217.004064520437</v>
      </c>
      <c r="U16" s="425">
        <v>15241.599663304485</v>
      </c>
      <c r="V16" s="425">
        <v>15498.465158734349</v>
      </c>
      <c r="W16" s="425">
        <v>15270.149565517795</v>
      </c>
      <c r="X16" s="425">
        <v>15615.984538204531</v>
      </c>
      <c r="Y16" s="425">
        <v>15224.697446500923</v>
      </c>
      <c r="Z16" s="425">
        <v>14944.946969909397</v>
      </c>
      <c r="AA16" s="425">
        <v>14548.691784253941</v>
      </c>
      <c r="AB16" s="425">
        <v>14921.44589574569</v>
      </c>
      <c r="AC16" s="425">
        <v>14607.599237262431</v>
      </c>
      <c r="AD16" s="425">
        <v>15290.082207660482</v>
      </c>
      <c r="AE16" s="425">
        <v>15167.591749738871</v>
      </c>
      <c r="AF16" s="425">
        <v>16091.480954991712</v>
      </c>
      <c r="AG16" s="425">
        <v>16556.187443218758</v>
      </c>
      <c r="AH16" s="425">
        <v>16794.42328766064</v>
      </c>
      <c r="AI16" s="425">
        <v>17055.484155719409</v>
      </c>
      <c r="AJ16" s="425">
        <v>17284.657231407644</v>
      </c>
      <c r="AK16" s="425">
        <v>17240.73411076728</v>
      </c>
      <c r="AL16" s="425">
        <v>17304.474743809158</v>
      </c>
      <c r="AM16" s="426">
        <v>17566.017126143288</v>
      </c>
      <c r="AN16" s="426">
        <v>17744.17903489892</v>
      </c>
      <c r="AO16" s="426">
        <v>17813.335701909473</v>
      </c>
      <c r="AP16" s="426">
        <v>18173.430967658791</v>
      </c>
      <c r="AQ16" s="426">
        <v>17710.176963903075</v>
      </c>
      <c r="AR16" s="420">
        <v>18312.458554939876</v>
      </c>
      <c r="AS16" s="420">
        <v>18362.431617292001</v>
      </c>
      <c r="AT16" s="420">
        <v>18040.682518560487</v>
      </c>
      <c r="AU16" s="420">
        <v>18332.824024042882</v>
      </c>
      <c r="AV16" s="420">
        <v>18418.686036869203</v>
      </c>
      <c r="AW16" s="427">
        <v>18304.094176246159</v>
      </c>
      <c r="AX16" s="427">
        <v>18042.488859817357</v>
      </c>
      <c r="AY16" s="427">
        <v>18380.367824377303</v>
      </c>
      <c r="AZ16" s="427">
        <v>17689.675412525783</v>
      </c>
      <c r="BA16" s="427">
        <v>16794.68587281249</v>
      </c>
      <c r="BB16" s="427">
        <v>16663.181123100254</v>
      </c>
      <c r="BC16" s="427">
        <v>16832.802247679443</v>
      </c>
      <c r="BD16" s="427">
        <v>17641.896696754182</v>
      </c>
      <c r="BE16" s="427">
        <v>17337.28331738713</v>
      </c>
      <c r="BF16" s="427">
        <v>17027.196857685653</v>
      </c>
      <c r="BG16" s="427">
        <v>17208.825495829649</v>
      </c>
      <c r="BH16" s="427">
        <v>17328.763866388719</v>
      </c>
      <c r="BI16" s="427">
        <v>17732.235850287918</v>
      </c>
      <c r="BJ16" s="427">
        <v>17667.271328935018</v>
      </c>
      <c r="BK16" s="427">
        <v>17368.374724600464</v>
      </c>
      <c r="BL16" s="427">
        <v>17439.685550028644</v>
      </c>
      <c r="BM16" s="427">
        <v>16571.563763933595</v>
      </c>
      <c r="BN16" s="427">
        <v>16581.344802860585</v>
      </c>
      <c r="BO16" s="427">
        <v>17318.910047721074</v>
      </c>
      <c r="BP16" s="427">
        <v>17889.427473524574</v>
      </c>
      <c r="BQ16" s="427">
        <v>17666.337489129019</v>
      </c>
      <c r="BR16" s="427">
        <v>17897.869212677637</v>
      </c>
      <c r="BS16" s="427">
        <v>17239.688573105897</v>
      </c>
      <c r="BT16" s="427">
        <v>17689.790007494168</v>
      </c>
      <c r="BU16" s="427">
        <v>17370.685373160471</v>
      </c>
      <c r="BV16" s="427">
        <v>18187.009044939608</v>
      </c>
      <c r="BW16" s="427">
        <v>17969.011446690689</v>
      </c>
      <c r="BX16" s="427">
        <v>17894.282418790499</v>
      </c>
      <c r="BY16" s="427">
        <v>17887.590081791597</v>
      </c>
      <c r="BZ16" s="427">
        <v>17730.8</v>
      </c>
      <c r="CA16" s="427">
        <v>18238.233616766498</v>
      </c>
      <c r="CB16" s="427">
        <v>18200.154738766221</v>
      </c>
      <c r="CC16" s="427">
        <v>18225.265376002375</v>
      </c>
      <c r="CD16" s="427">
        <v>17911.535468539587</v>
      </c>
      <c r="CE16" s="440">
        <v>18336.599999999999</v>
      </c>
      <c r="CF16" s="440">
        <v>18860.857220203667</v>
      </c>
      <c r="CG16" s="440">
        <v>18724.284276744344</v>
      </c>
      <c r="CH16" s="440">
        <v>18993.828575017273</v>
      </c>
      <c r="CI16" s="440">
        <v>18856.082224317812</v>
      </c>
      <c r="CJ16" s="440">
        <v>18226.248924643169</v>
      </c>
      <c r="CK16" s="440">
        <v>17922.009393716118</v>
      </c>
      <c r="CL16" s="440">
        <v>18449.240533725009</v>
      </c>
      <c r="CM16" s="440">
        <v>18406.742793950925</v>
      </c>
      <c r="CN16" s="440">
        <v>18851.370357228552</v>
      </c>
      <c r="CO16" s="440">
        <v>18820.777822266718</v>
      </c>
      <c r="CP16" s="440">
        <v>18693.191711211723</v>
      </c>
      <c r="CQ16" s="440">
        <v>18183.992482762478</v>
      </c>
      <c r="CR16" s="440">
        <v>17877.751643222364</v>
      </c>
      <c r="CS16" s="440">
        <v>17823.429700260869</v>
      </c>
      <c r="CT16" s="440">
        <v>18351.830482071215</v>
      </c>
      <c r="CU16" s="440">
        <v>18598.848188523989</v>
      </c>
      <c r="CV16" s="440">
        <v>18379.344708436111</v>
      </c>
      <c r="CW16" s="440">
        <v>18330.238589575372</v>
      </c>
      <c r="CX16" s="440">
        <v>18440.358206516274</v>
      </c>
      <c r="CY16" s="440">
        <v>18894.183212561518</v>
      </c>
      <c r="CZ16" s="440">
        <v>19259.761815730901</v>
      </c>
      <c r="DA16" s="440">
        <v>18997.031180972597</v>
      </c>
      <c r="DB16" s="441">
        <v>18898.470708671637</v>
      </c>
      <c r="DC16" s="441">
        <v>18945.616429488109</v>
      </c>
      <c r="DD16" s="441">
        <v>17912.264895579603</v>
      </c>
      <c r="DE16" s="441">
        <v>17496.837767628309</v>
      </c>
      <c r="DF16" s="441">
        <v>18108.74757185343</v>
      </c>
      <c r="DH16" s="430"/>
    </row>
    <row r="17" spans="1:112" ht="15.95" customHeight="1">
      <c r="A17" s="431" t="s">
        <v>275</v>
      </c>
      <c r="B17" s="420"/>
      <c r="C17" s="422"/>
      <c r="D17" s="422"/>
      <c r="E17" s="423"/>
      <c r="F17" s="422"/>
      <c r="G17" s="422"/>
      <c r="H17" s="433"/>
      <c r="I17" s="433"/>
      <c r="J17" s="433"/>
      <c r="K17" s="434"/>
      <c r="L17" s="433"/>
      <c r="M17" s="433"/>
      <c r="N17" s="433"/>
      <c r="O17" s="434"/>
      <c r="P17" s="433"/>
      <c r="Q17" s="433"/>
      <c r="R17" s="434"/>
      <c r="S17" s="433"/>
      <c r="T17" s="433"/>
      <c r="U17" s="435"/>
      <c r="V17" s="435"/>
      <c r="W17" s="435"/>
      <c r="X17" s="435"/>
      <c r="Y17" s="435"/>
      <c r="Z17" s="435"/>
      <c r="AA17" s="435"/>
      <c r="AB17" s="435"/>
      <c r="AC17" s="435"/>
      <c r="AD17" s="435"/>
      <c r="AE17" s="435"/>
      <c r="AF17" s="435"/>
      <c r="AG17" s="435"/>
      <c r="AH17" s="435"/>
      <c r="AI17" s="435"/>
      <c r="AJ17" s="435"/>
      <c r="AK17" s="435"/>
      <c r="AL17" s="435"/>
      <c r="AM17" s="426"/>
      <c r="AN17" s="426"/>
      <c r="AO17" s="426"/>
      <c r="AP17" s="426"/>
      <c r="AQ17" s="426"/>
      <c r="AR17" s="420"/>
      <c r="AS17" s="420"/>
      <c r="AT17" s="420"/>
      <c r="AU17" s="420"/>
      <c r="AV17" s="420"/>
      <c r="AW17" s="427"/>
      <c r="AX17" s="427"/>
      <c r="AY17" s="427"/>
      <c r="AZ17" s="427"/>
      <c r="BA17" s="427"/>
      <c r="BB17" s="427"/>
      <c r="BC17" s="427"/>
      <c r="BD17" s="427"/>
      <c r="BE17" s="427"/>
      <c r="BF17" s="427"/>
      <c r="BG17" s="427"/>
      <c r="BH17" s="427"/>
      <c r="BI17" s="427"/>
      <c r="BJ17" s="427"/>
      <c r="BK17" s="427"/>
      <c r="BL17" s="427"/>
      <c r="BM17" s="427"/>
      <c r="BN17" s="427"/>
      <c r="BO17" s="427"/>
      <c r="BP17" s="427"/>
      <c r="BQ17" s="427"/>
      <c r="BR17" s="427"/>
      <c r="BS17" s="427"/>
      <c r="BT17" s="427"/>
      <c r="BU17" s="427"/>
      <c r="BV17" s="427"/>
      <c r="BW17" s="427"/>
      <c r="BX17" s="427"/>
      <c r="BY17" s="427"/>
      <c r="BZ17" s="427"/>
      <c r="CA17" s="427"/>
      <c r="CB17" s="427"/>
      <c r="CC17" s="427"/>
      <c r="CD17" s="427"/>
      <c r="CE17" s="427"/>
      <c r="CF17" s="427"/>
      <c r="CG17" s="427"/>
      <c r="CH17" s="427"/>
      <c r="CI17" s="427"/>
      <c r="CJ17" s="427"/>
      <c r="CK17" s="427"/>
      <c r="CL17" s="427"/>
      <c r="CM17" s="427"/>
      <c r="CN17" s="427"/>
      <c r="CO17" s="427"/>
      <c r="CP17" s="427"/>
      <c r="CQ17" s="427"/>
      <c r="CR17" s="427"/>
      <c r="CS17" s="427"/>
      <c r="CT17" s="427"/>
      <c r="CU17" s="427"/>
      <c r="CV17" s="427"/>
      <c r="CW17" s="427"/>
      <c r="CX17" s="427"/>
      <c r="CY17" s="427"/>
      <c r="CZ17" s="427"/>
      <c r="DA17" s="427"/>
      <c r="DB17" s="439"/>
      <c r="DC17" s="439"/>
      <c r="DD17" s="439"/>
      <c r="DE17" s="439"/>
      <c r="DF17" s="439"/>
      <c r="DH17" s="430"/>
    </row>
    <row r="18" spans="1:112" ht="15.95" customHeight="1">
      <c r="A18" s="431" t="s">
        <v>286</v>
      </c>
      <c r="B18" s="432">
        <v>6421.5669358070018</v>
      </c>
      <c r="C18" s="433">
        <v>6324.8184922919991</v>
      </c>
      <c r="D18" s="433">
        <v>6371.0477290004001</v>
      </c>
      <c r="E18" s="434">
        <v>6554.8259338320004</v>
      </c>
      <c r="F18" s="433">
        <v>6648.9115428212008</v>
      </c>
      <c r="G18" s="433">
        <v>6566.3850310941998</v>
      </c>
      <c r="H18" s="433">
        <v>6642.6921455748006</v>
      </c>
      <c r="I18" s="433">
        <v>6604.9865242252445</v>
      </c>
      <c r="J18" s="433">
        <v>6822.0359224335007</v>
      </c>
      <c r="K18" s="434">
        <v>6689.3096847376</v>
      </c>
      <c r="L18" s="433">
        <v>6721.9565971809998</v>
      </c>
      <c r="M18" s="433">
        <v>6862.5780050755002</v>
      </c>
      <c r="N18" s="433">
        <v>6820.5352194177094</v>
      </c>
      <c r="O18" s="434">
        <v>6819.1119500296691</v>
      </c>
      <c r="P18" s="433">
        <v>6886.3012160430526</v>
      </c>
      <c r="Q18" s="433">
        <v>6843.6949376955008</v>
      </c>
      <c r="R18" s="434">
        <v>6554.6688527165006</v>
      </c>
      <c r="S18" s="433">
        <v>6517.0629405798009</v>
      </c>
      <c r="T18" s="433">
        <v>6568.8573449567493</v>
      </c>
      <c r="U18" s="435">
        <v>6516.1230905130424</v>
      </c>
      <c r="V18" s="435">
        <v>6520.1931501356066</v>
      </c>
      <c r="W18" s="435">
        <v>6629.6218291027453</v>
      </c>
      <c r="X18" s="435">
        <v>6810.5689520588994</v>
      </c>
      <c r="Y18" s="435">
        <v>6700.0719927361843</v>
      </c>
      <c r="Z18" s="435">
        <v>6548.0026839607963</v>
      </c>
      <c r="AA18" s="435">
        <v>6314.7983003977479</v>
      </c>
      <c r="AB18" s="435">
        <v>6408.6252358217107</v>
      </c>
      <c r="AC18" s="435">
        <v>6255.3272419045661</v>
      </c>
      <c r="AD18" s="435">
        <v>6429.6105864651399</v>
      </c>
      <c r="AE18" s="435">
        <v>6357.2907393572859</v>
      </c>
      <c r="AF18" s="435">
        <v>7361.6034084000376</v>
      </c>
      <c r="AG18" s="435">
        <v>7270.1615865240356</v>
      </c>
      <c r="AH18" s="435">
        <v>7623.1731606270005</v>
      </c>
      <c r="AI18" s="435">
        <v>8037.3410016076441</v>
      </c>
      <c r="AJ18" s="435">
        <v>8212.9837632107647</v>
      </c>
      <c r="AK18" s="435">
        <v>8161.7759606005493</v>
      </c>
      <c r="AL18" s="435">
        <v>8152.5967676630316</v>
      </c>
      <c r="AM18" s="438">
        <v>8059.8936745689307</v>
      </c>
      <c r="AN18" s="438">
        <v>8031.350902160355</v>
      </c>
      <c r="AO18" s="438">
        <v>7974.3109327657749</v>
      </c>
      <c r="AP18" s="438">
        <v>7821.4871787800812</v>
      </c>
      <c r="AQ18" s="438">
        <v>7787.2960040641483</v>
      </c>
      <c r="AR18" s="432">
        <v>7867.5998575879366</v>
      </c>
      <c r="AS18" s="432">
        <v>8061.4666057450013</v>
      </c>
      <c r="AT18" s="432">
        <v>7780.0449218222884</v>
      </c>
      <c r="AU18" s="432">
        <v>8106.7174095898663</v>
      </c>
      <c r="AV18" s="432">
        <v>7937.2986054946632</v>
      </c>
      <c r="AW18" s="436">
        <v>8007.4023657049584</v>
      </c>
      <c r="AX18" s="436">
        <v>7529.9051182653884</v>
      </c>
      <c r="AY18" s="436">
        <v>7214.8248920225087</v>
      </c>
      <c r="AZ18" s="436">
        <v>6927.5923620349549</v>
      </c>
      <c r="BA18" s="436">
        <v>5994.527374635627</v>
      </c>
      <c r="BB18" s="436">
        <v>6045.0747059950345</v>
      </c>
      <c r="BC18" s="436">
        <v>6085.9102960288637</v>
      </c>
      <c r="BD18" s="436">
        <v>6405.9975328534301</v>
      </c>
      <c r="BE18" s="436">
        <v>6244.6843003303948</v>
      </c>
      <c r="BF18" s="436">
        <v>6397.8654384449483</v>
      </c>
      <c r="BG18" s="436">
        <v>6226.9517763919494</v>
      </c>
      <c r="BH18" s="436">
        <v>6190.4963562449038</v>
      </c>
      <c r="BI18" s="436">
        <v>6810.3479113568246</v>
      </c>
      <c r="BJ18" s="436">
        <v>6590.4276584183735</v>
      </c>
      <c r="BK18" s="436">
        <v>6442.2696922167615</v>
      </c>
      <c r="BL18" s="436">
        <v>6455.2528551067753</v>
      </c>
      <c r="BM18" s="436">
        <v>5759.2007563906336</v>
      </c>
      <c r="BN18" s="436">
        <v>5721.1899039115324</v>
      </c>
      <c r="BO18" s="436">
        <v>5817.4626954150817</v>
      </c>
      <c r="BP18" s="436">
        <v>5971.2514640402314</v>
      </c>
      <c r="BQ18" s="436">
        <v>5788.0685281992774</v>
      </c>
      <c r="BR18" s="436">
        <v>6156.854308899965</v>
      </c>
      <c r="BS18" s="436">
        <v>5401.1851574942084</v>
      </c>
      <c r="BT18" s="436">
        <v>5531.6975477769574</v>
      </c>
      <c r="BU18" s="436">
        <v>5626.458207612528</v>
      </c>
      <c r="BV18" s="436">
        <v>5766.7220968955589</v>
      </c>
      <c r="BW18" s="436">
        <v>5590.0182437192234</v>
      </c>
      <c r="BX18" s="436">
        <v>5567.5620432105006</v>
      </c>
      <c r="BY18" s="436">
        <v>5364.3451603548001</v>
      </c>
      <c r="BZ18" s="436">
        <v>5557.7</v>
      </c>
      <c r="CA18" s="436">
        <v>5629.8125112545495</v>
      </c>
      <c r="CB18" s="436">
        <v>5588.2290762989933</v>
      </c>
      <c r="CC18" s="436">
        <v>5999.9534053156622</v>
      </c>
      <c r="CD18" s="436">
        <v>6027.8838510367423</v>
      </c>
      <c r="CE18" s="436">
        <v>6017.9516201170054</v>
      </c>
      <c r="CF18" s="436">
        <v>5970.0875244988547</v>
      </c>
      <c r="CG18" s="436">
        <v>6078.982363871939</v>
      </c>
      <c r="CH18" s="436">
        <v>5906.6396216331241</v>
      </c>
      <c r="CI18" s="436">
        <v>5754.7191249039515</v>
      </c>
      <c r="CJ18" s="436">
        <v>5437.9036514713725</v>
      </c>
      <c r="CK18" s="436">
        <v>5522.3246382217003</v>
      </c>
      <c r="CL18" s="436">
        <v>5409.1874846480841</v>
      </c>
      <c r="CM18" s="436">
        <v>5621.3093491614281</v>
      </c>
      <c r="CN18" s="436">
        <v>5628.5579339821779</v>
      </c>
      <c r="CO18" s="436">
        <v>5577.9067141799442</v>
      </c>
      <c r="CP18" s="436">
        <v>5846.4138055297499</v>
      </c>
      <c r="CQ18" s="436">
        <v>5376.6466365788601</v>
      </c>
      <c r="CR18" s="436">
        <v>5268.9813880271158</v>
      </c>
      <c r="CS18" s="436">
        <v>5515.3447045863149</v>
      </c>
      <c r="CT18" s="436">
        <v>5332.0431792948821</v>
      </c>
      <c r="CU18" s="436">
        <v>5548.9957340258079</v>
      </c>
      <c r="CV18" s="436">
        <v>5240.8112366379055</v>
      </c>
      <c r="CW18" s="436">
        <v>5508.0639393387619</v>
      </c>
      <c r="CX18" s="436">
        <v>5845.6062411162366</v>
      </c>
      <c r="CY18" s="436">
        <v>5716.2689330805952</v>
      </c>
      <c r="CZ18" s="436">
        <v>5987.1794932808461</v>
      </c>
      <c r="DA18" s="436">
        <v>5943.3327978067628</v>
      </c>
      <c r="DB18" s="439">
        <v>6022.3232889861911</v>
      </c>
      <c r="DC18" s="439">
        <v>6014.3638641690941</v>
      </c>
      <c r="DD18" s="439">
        <v>5640.1668837138841</v>
      </c>
      <c r="DE18" s="439">
        <v>5477.9973898309509</v>
      </c>
      <c r="DF18" s="439">
        <v>5507.6387590288032</v>
      </c>
      <c r="DH18" s="430"/>
    </row>
    <row r="19" spans="1:112" ht="15.95" customHeight="1">
      <c r="A19" s="431" t="s">
        <v>287</v>
      </c>
      <c r="B19" s="432">
        <v>138.85489210999998</v>
      </c>
      <c r="C19" s="433">
        <v>148.27613513999998</v>
      </c>
      <c r="D19" s="433">
        <v>134.61671380000001</v>
      </c>
      <c r="E19" s="434">
        <v>212.21990994000004</v>
      </c>
      <c r="F19" s="433">
        <v>203.86604867000003</v>
      </c>
      <c r="G19" s="433">
        <v>195.07282011000001</v>
      </c>
      <c r="H19" s="433">
        <v>194.46434327</v>
      </c>
      <c r="I19" s="433">
        <v>182.35921720000002</v>
      </c>
      <c r="J19" s="433">
        <v>187.11961367000001</v>
      </c>
      <c r="K19" s="434">
        <v>186.248871044634</v>
      </c>
      <c r="L19" s="433">
        <v>186.83081534621698</v>
      </c>
      <c r="M19" s="433">
        <v>261.26687662272701</v>
      </c>
      <c r="N19" s="433">
        <v>251.97590023405999</v>
      </c>
      <c r="O19" s="434">
        <v>250.42081688153598</v>
      </c>
      <c r="P19" s="433">
        <v>245.74961753455798</v>
      </c>
      <c r="Q19" s="433">
        <v>253.9876882717553</v>
      </c>
      <c r="R19" s="434">
        <v>246.27251674849072</v>
      </c>
      <c r="S19" s="433">
        <v>258.24201954692779</v>
      </c>
      <c r="T19" s="433">
        <v>285.54596537306321</v>
      </c>
      <c r="U19" s="435">
        <v>291.70370172516505</v>
      </c>
      <c r="V19" s="435">
        <v>289.30634968537498</v>
      </c>
      <c r="W19" s="435">
        <v>281.54203621612021</v>
      </c>
      <c r="X19" s="435">
        <v>277.71979933924433</v>
      </c>
      <c r="Y19" s="435">
        <v>273.06253809039998</v>
      </c>
      <c r="Z19" s="435">
        <v>275.55471638</v>
      </c>
      <c r="AA19" s="435">
        <v>279.48515727999995</v>
      </c>
      <c r="AB19" s="435">
        <v>273.79721754000002</v>
      </c>
      <c r="AC19" s="435">
        <v>274.85158557</v>
      </c>
      <c r="AD19" s="435">
        <v>277.61515961999999</v>
      </c>
      <c r="AE19" s="435">
        <v>280.64877481000002</v>
      </c>
      <c r="AF19" s="435">
        <v>259.23729545999998</v>
      </c>
      <c r="AG19" s="435">
        <v>263.80886972000002</v>
      </c>
      <c r="AH19" s="435">
        <v>278.75498353999996</v>
      </c>
      <c r="AI19" s="435">
        <v>272.14435952999997</v>
      </c>
      <c r="AJ19" s="435">
        <v>284.53463255999998</v>
      </c>
      <c r="AK19" s="435">
        <v>292.99033835</v>
      </c>
      <c r="AL19" s="435">
        <v>301.15040127000003</v>
      </c>
      <c r="AM19" s="438">
        <v>303.41409723999999</v>
      </c>
      <c r="AN19" s="438">
        <v>313.75466595999995</v>
      </c>
      <c r="AO19" s="438">
        <v>333.50107079999998</v>
      </c>
      <c r="AP19" s="438">
        <v>333.93883268000002</v>
      </c>
      <c r="AQ19" s="438">
        <v>336.66601273999999</v>
      </c>
      <c r="AR19" s="432">
        <v>347.86006934999995</v>
      </c>
      <c r="AS19" s="432">
        <v>343.27714986000001</v>
      </c>
      <c r="AT19" s="432">
        <v>351.28159313999998</v>
      </c>
      <c r="AU19" s="432">
        <v>353.17584396999996</v>
      </c>
      <c r="AV19" s="432">
        <v>329.26821924000001</v>
      </c>
      <c r="AW19" s="436">
        <v>319.52140267999999</v>
      </c>
      <c r="AX19" s="436">
        <v>318.31586227999998</v>
      </c>
      <c r="AY19" s="436">
        <v>299.70672017999999</v>
      </c>
      <c r="AZ19" s="436">
        <v>296.46223694999998</v>
      </c>
      <c r="BA19" s="436">
        <v>346.90650737999999</v>
      </c>
      <c r="BB19" s="436">
        <v>334.84625619000008</v>
      </c>
      <c r="BC19" s="436">
        <v>332.80006118000006</v>
      </c>
      <c r="BD19" s="436">
        <v>328.18962663000002</v>
      </c>
      <c r="BE19" s="436">
        <v>329.87078210999994</v>
      </c>
      <c r="BF19" s="436">
        <v>330.90261285000003</v>
      </c>
      <c r="BG19" s="436">
        <v>321.10917204000003</v>
      </c>
      <c r="BH19" s="436">
        <v>313.49613416000005</v>
      </c>
      <c r="BI19" s="436">
        <v>318.70521374000003</v>
      </c>
      <c r="BJ19" s="436">
        <v>319.53355345000006</v>
      </c>
      <c r="BK19" s="436">
        <v>323.04984411999999</v>
      </c>
      <c r="BL19" s="436">
        <v>316.07159110000003</v>
      </c>
      <c r="BM19" s="436">
        <v>312.38706424999998</v>
      </c>
      <c r="BN19" s="436">
        <v>304.43262015000005</v>
      </c>
      <c r="BO19" s="436">
        <v>319.20538561000001</v>
      </c>
      <c r="BP19" s="436">
        <v>313.23055116</v>
      </c>
      <c r="BQ19" s="436">
        <v>308.35861617</v>
      </c>
      <c r="BR19" s="436">
        <v>305.43852349000002</v>
      </c>
      <c r="BS19" s="436">
        <v>292.23232858999995</v>
      </c>
      <c r="BT19" s="436">
        <v>314.92990200999998</v>
      </c>
      <c r="BU19" s="436">
        <v>303.39258532999997</v>
      </c>
      <c r="BV19" s="436">
        <v>302.99810619000004</v>
      </c>
      <c r="BW19" s="436">
        <v>308.04860961000003</v>
      </c>
      <c r="BX19" s="436">
        <v>300.13066400000002</v>
      </c>
      <c r="BY19" s="436">
        <v>298.19146899999998</v>
      </c>
      <c r="BZ19" s="436">
        <v>300.2</v>
      </c>
      <c r="CA19" s="436">
        <v>290.87225574000001</v>
      </c>
      <c r="CB19" s="436">
        <v>298.00061706999998</v>
      </c>
      <c r="CC19" s="436">
        <v>308.50319135000007</v>
      </c>
      <c r="CD19" s="436">
        <v>280.54186390000007</v>
      </c>
      <c r="CE19" s="436">
        <v>277.91630965339851</v>
      </c>
      <c r="CF19" s="436">
        <v>280.25982320999998</v>
      </c>
      <c r="CG19" s="436">
        <v>287.12474550000007</v>
      </c>
      <c r="CH19" s="436">
        <v>290.47107575000001</v>
      </c>
      <c r="CI19" s="436">
        <v>280.67816888999999</v>
      </c>
      <c r="CJ19" s="436">
        <v>289.21275774999998</v>
      </c>
      <c r="CK19" s="436">
        <v>293.32046170000001</v>
      </c>
      <c r="CL19" s="436">
        <v>290.97091080000001</v>
      </c>
      <c r="CM19" s="436">
        <v>337.16702921000001</v>
      </c>
      <c r="CN19" s="436">
        <v>332.18999671</v>
      </c>
      <c r="CO19" s="436">
        <v>320.54604092999995</v>
      </c>
      <c r="CP19" s="436">
        <v>332.86818944999999</v>
      </c>
      <c r="CQ19" s="436">
        <v>336.57144024000002</v>
      </c>
      <c r="CR19" s="436">
        <v>335.99884419</v>
      </c>
      <c r="CS19" s="436">
        <v>328.35041749999999</v>
      </c>
      <c r="CT19" s="436">
        <v>333.62281708</v>
      </c>
      <c r="CU19" s="436">
        <v>343.08930430000004</v>
      </c>
      <c r="CV19" s="436">
        <v>341.66049967000004</v>
      </c>
      <c r="CW19" s="436">
        <v>421.73452457000002</v>
      </c>
      <c r="CX19" s="436">
        <v>396.39289667795003</v>
      </c>
      <c r="CY19" s="436">
        <v>360.80222709000077</v>
      </c>
      <c r="CZ19" s="436">
        <v>355.14369025999997</v>
      </c>
      <c r="DA19" s="436">
        <v>355.13411808999996</v>
      </c>
      <c r="DB19" s="439">
        <v>344.58496890999999</v>
      </c>
      <c r="DC19" s="439">
        <v>343.31268928999998</v>
      </c>
      <c r="DD19" s="439">
        <v>345.48150771999997</v>
      </c>
      <c r="DE19" s="439">
        <v>345.53046938</v>
      </c>
      <c r="DF19" s="439">
        <v>439.13224400809634</v>
      </c>
      <c r="DH19" s="430"/>
    </row>
    <row r="20" spans="1:112" ht="15.95" customHeight="1">
      <c r="A20" s="431" t="s">
        <v>288</v>
      </c>
      <c r="B20" s="432">
        <v>276.44491083000003</v>
      </c>
      <c r="C20" s="433">
        <v>306.37750648000002</v>
      </c>
      <c r="D20" s="433">
        <v>243.57221333999999</v>
      </c>
      <c r="E20" s="434">
        <v>312.08794169000004</v>
      </c>
      <c r="F20" s="433">
        <v>257.62005626000001</v>
      </c>
      <c r="G20" s="433">
        <v>258.52928133999995</v>
      </c>
      <c r="H20" s="433">
        <v>241.98951268000002</v>
      </c>
      <c r="I20" s="433">
        <v>268.19179783999999</v>
      </c>
      <c r="J20" s="433">
        <v>271.56523262999997</v>
      </c>
      <c r="K20" s="434">
        <v>275.36472774999999</v>
      </c>
      <c r="L20" s="433">
        <v>273.00855947000002</v>
      </c>
      <c r="M20" s="433">
        <v>251.21573462999999</v>
      </c>
      <c r="N20" s="433">
        <v>261.69274497999999</v>
      </c>
      <c r="O20" s="434">
        <v>244.57882626999998</v>
      </c>
      <c r="P20" s="433">
        <v>247.15877481999999</v>
      </c>
      <c r="Q20" s="433">
        <v>242.4983488</v>
      </c>
      <c r="R20" s="434">
        <v>215.29967088999999</v>
      </c>
      <c r="S20" s="433">
        <v>231.59919538999998</v>
      </c>
      <c r="T20" s="433">
        <v>221.87802015</v>
      </c>
      <c r="U20" s="435">
        <v>221.94243396999997</v>
      </c>
      <c r="V20" s="435">
        <v>218.45564302999998</v>
      </c>
      <c r="W20" s="435">
        <v>225.60243971</v>
      </c>
      <c r="X20" s="435">
        <v>243.12970761999998</v>
      </c>
      <c r="Y20" s="435">
        <v>208.83149059000002</v>
      </c>
      <c r="Z20" s="435">
        <v>213.14265925999999</v>
      </c>
      <c r="AA20" s="435">
        <v>193.02688688999999</v>
      </c>
      <c r="AB20" s="435">
        <v>184.71315658999998</v>
      </c>
      <c r="AC20" s="435">
        <v>184.38120856</v>
      </c>
      <c r="AD20" s="435">
        <v>196.54537557</v>
      </c>
      <c r="AE20" s="435">
        <v>175.26371760000001</v>
      </c>
      <c r="AF20" s="435">
        <v>180.53157415999999</v>
      </c>
      <c r="AG20" s="435">
        <v>176.39680085000001</v>
      </c>
      <c r="AH20" s="435">
        <v>161.96219213000001</v>
      </c>
      <c r="AI20" s="435">
        <v>146.83943991000001</v>
      </c>
      <c r="AJ20" s="435">
        <v>140.25392563</v>
      </c>
      <c r="AK20" s="435">
        <v>169.75915180999999</v>
      </c>
      <c r="AL20" s="435">
        <v>122.29730456999999</v>
      </c>
      <c r="AM20" s="438">
        <v>129.57640012000002</v>
      </c>
      <c r="AN20" s="438">
        <v>138.44886511999999</v>
      </c>
      <c r="AO20" s="438">
        <v>131.93976994000002</v>
      </c>
      <c r="AP20" s="438">
        <v>190.75842560640001</v>
      </c>
      <c r="AQ20" s="438">
        <v>145.63941756559998</v>
      </c>
      <c r="AR20" s="432">
        <v>180.75238203399999</v>
      </c>
      <c r="AS20" s="432">
        <v>199.89060917</v>
      </c>
      <c r="AT20" s="432">
        <v>157.22392909279998</v>
      </c>
      <c r="AU20" s="432">
        <v>148.55100460719999</v>
      </c>
      <c r="AV20" s="432">
        <v>141.68522031500001</v>
      </c>
      <c r="AW20" s="436">
        <v>138.00797469919996</v>
      </c>
      <c r="AX20" s="436">
        <v>144.03070833840002</v>
      </c>
      <c r="AY20" s="436">
        <v>132.16810322700002</v>
      </c>
      <c r="AZ20" s="436">
        <v>132.93069107860001</v>
      </c>
      <c r="BA20" s="436">
        <v>120.0495119334</v>
      </c>
      <c r="BB20" s="436">
        <v>143.6611872606</v>
      </c>
      <c r="BC20" s="436">
        <v>125.2573348836</v>
      </c>
      <c r="BD20" s="436">
        <v>129.90427214179999</v>
      </c>
      <c r="BE20" s="436">
        <v>131.7232828464</v>
      </c>
      <c r="BF20" s="436">
        <v>138.23574976499998</v>
      </c>
      <c r="BG20" s="436">
        <v>134.48523317600001</v>
      </c>
      <c r="BH20" s="436">
        <v>131.6389728966</v>
      </c>
      <c r="BI20" s="436">
        <v>133.76119466109998</v>
      </c>
      <c r="BJ20" s="436">
        <v>132.67537961599999</v>
      </c>
      <c r="BK20" s="436">
        <v>122.1311442624</v>
      </c>
      <c r="BL20" s="436">
        <v>120.9588318551</v>
      </c>
      <c r="BM20" s="436">
        <v>165.34910955439997</v>
      </c>
      <c r="BN20" s="436">
        <v>127.77340628764999</v>
      </c>
      <c r="BO20" s="436">
        <v>141.08880407999999</v>
      </c>
      <c r="BP20" s="436">
        <v>133.22813752940002</v>
      </c>
      <c r="BQ20" s="436">
        <v>146.51341037620003</v>
      </c>
      <c r="BR20" s="436">
        <v>127.8827389123</v>
      </c>
      <c r="BS20" s="436">
        <v>105.11272488319999</v>
      </c>
      <c r="BT20" s="436">
        <v>136.940728540815</v>
      </c>
      <c r="BU20" s="436">
        <v>136.51535997118</v>
      </c>
      <c r="BV20" s="436">
        <v>106.550901257608</v>
      </c>
      <c r="BW20" s="436">
        <v>102.339795572185</v>
      </c>
      <c r="BX20" s="436">
        <v>155.47867213699999</v>
      </c>
      <c r="BY20" s="436">
        <v>91.68703838479999</v>
      </c>
      <c r="BZ20" s="436">
        <v>98.7</v>
      </c>
      <c r="CA20" s="436">
        <v>128.0294903315</v>
      </c>
      <c r="CB20" s="436">
        <v>137.38499084599999</v>
      </c>
      <c r="CC20" s="436">
        <v>114.37812670229999</v>
      </c>
      <c r="CD20" s="436">
        <v>117.72582863228601</v>
      </c>
      <c r="CE20" s="436">
        <v>172.62476131544253</v>
      </c>
      <c r="CF20" s="436">
        <v>175.64843573153996</v>
      </c>
      <c r="CG20" s="436">
        <v>181.36596354</v>
      </c>
      <c r="CH20" s="436">
        <v>170.23130646999999</v>
      </c>
      <c r="CI20" s="436">
        <v>184.36512755999996</v>
      </c>
      <c r="CJ20" s="436">
        <v>173.68868190999999</v>
      </c>
      <c r="CK20" s="436">
        <v>143.40061158999998</v>
      </c>
      <c r="CL20" s="436">
        <v>149.84601866</v>
      </c>
      <c r="CM20" s="436">
        <v>136.75497342</v>
      </c>
      <c r="CN20" s="436">
        <v>134.60706868</v>
      </c>
      <c r="CO20" s="436">
        <v>135.42411009</v>
      </c>
      <c r="CP20" s="436">
        <v>135.70315432000001</v>
      </c>
      <c r="CQ20" s="436">
        <v>136.04548943</v>
      </c>
      <c r="CR20" s="436">
        <v>137.84617222999998</v>
      </c>
      <c r="CS20" s="436">
        <v>124.14902909</v>
      </c>
      <c r="CT20" s="436">
        <v>41.954821370000005</v>
      </c>
      <c r="CU20" s="436">
        <v>38.448148930000002</v>
      </c>
      <c r="CV20" s="436">
        <v>43.288369060000001</v>
      </c>
      <c r="CW20" s="436">
        <v>49.770474329999999</v>
      </c>
      <c r="CX20" s="436">
        <v>39.737164829999998</v>
      </c>
      <c r="CY20" s="436">
        <v>44.202998799999996</v>
      </c>
      <c r="CZ20" s="436">
        <v>48.233946809999999</v>
      </c>
      <c r="DA20" s="436">
        <v>50.665850950000006</v>
      </c>
      <c r="DB20" s="439">
        <v>43.092771230000004</v>
      </c>
      <c r="DC20" s="439">
        <v>41.055546120000002</v>
      </c>
      <c r="DD20" s="439">
        <v>40.725070420000002</v>
      </c>
      <c r="DE20" s="439">
        <v>39.299167329999996</v>
      </c>
      <c r="DF20" s="439">
        <v>43.473477240000001</v>
      </c>
      <c r="DH20" s="430"/>
    </row>
    <row r="21" spans="1:112" ht="15.95" customHeight="1">
      <c r="A21" s="431" t="s">
        <v>289</v>
      </c>
      <c r="B21" s="432">
        <v>104.40851929999999</v>
      </c>
      <c r="C21" s="433">
        <v>104.55040751</v>
      </c>
      <c r="D21" s="433">
        <v>99.609989259999992</v>
      </c>
      <c r="E21" s="434">
        <v>105.21279042999998</v>
      </c>
      <c r="F21" s="433">
        <v>106.52636661</v>
      </c>
      <c r="G21" s="433">
        <v>101.78248473000001</v>
      </c>
      <c r="H21" s="433">
        <v>88.594561300000009</v>
      </c>
      <c r="I21" s="433">
        <v>88.440827249999998</v>
      </c>
      <c r="J21" s="433">
        <v>93.159487220000003</v>
      </c>
      <c r="K21" s="434">
        <v>90.942473019999994</v>
      </c>
      <c r="L21" s="433">
        <v>92.302947590000002</v>
      </c>
      <c r="M21" s="433">
        <v>86.172839010000004</v>
      </c>
      <c r="N21" s="433">
        <v>89.038623099999995</v>
      </c>
      <c r="O21" s="434">
        <v>89.623108579999993</v>
      </c>
      <c r="P21" s="433">
        <v>90.958911860000001</v>
      </c>
      <c r="Q21" s="433">
        <v>92.694062560000006</v>
      </c>
      <c r="R21" s="434">
        <v>101.79013646000001</v>
      </c>
      <c r="S21" s="433">
        <v>105.82229007000001</v>
      </c>
      <c r="T21" s="433">
        <v>101.88911985999999</v>
      </c>
      <c r="U21" s="435">
        <v>103.65953629999998</v>
      </c>
      <c r="V21" s="435">
        <v>105.28219946000002</v>
      </c>
      <c r="W21" s="435">
        <v>103.44274334000001</v>
      </c>
      <c r="X21" s="435">
        <v>117.68621528999999</v>
      </c>
      <c r="Y21" s="435">
        <v>116.94500146999999</v>
      </c>
      <c r="Z21" s="435">
        <v>107.16600543000001</v>
      </c>
      <c r="AA21" s="435">
        <v>120.31747409011601</v>
      </c>
      <c r="AB21" s="435">
        <v>104.43781644999999</v>
      </c>
      <c r="AC21" s="435">
        <v>105.22339774000001</v>
      </c>
      <c r="AD21" s="435">
        <v>113.11469551999998</v>
      </c>
      <c r="AE21" s="435">
        <v>106.51552876</v>
      </c>
      <c r="AF21" s="435">
        <v>99.130529420000016</v>
      </c>
      <c r="AG21" s="435">
        <v>90.549549930000012</v>
      </c>
      <c r="AH21" s="435">
        <v>103.08974633</v>
      </c>
      <c r="AI21" s="435">
        <v>104.77013700000001</v>
      </c>
      <c r="AJ21" s="435">
        <v>103.78381627999998</v>
      </c>
      <c r="AK21" s="435">
        <v>106.40519684</v>
      </c>
      <c r="AL21" s="435">
        <v>110.62750362</v>
      </c>
      <c r="AM21" s="438">
        <v>109.99691215999999</v>
      </c>
      <c r="AN21" s="438">
        <v>119.24129906</v>
      </c>
      <c r="AO21" s="438">
        <v>126.19268574000002</v>
      </c>
      <c r="AP21" s="438">
        <v>130.19509137890003</v>
      </c>
      <c r="AQ21" s="438">
        <v>137.41955950100001</v>
      </c>
      <c r="AR21" s="432">
        <v>134.95348494439997</v>
      </c>
      <c r="AS21" s="432">
        <v>119.36787475999999</v>
      </c>
      <c r="AT21" s="432">
        <v>138.80503167159998</v>
      </c>
      <c r="AU21" s="432">
        <v>160.85609504920001</v>
      </c>
      <c r="AV21" s="432">
        <v>187.89963060700001</v>
      </c>
      <c r="AW21" s="436">
        <v>198.8907039792</v>
      </c>
      <c r="AX21" s="436">
        <v>208.31462698159999</v>
      </c>
      <c r="AY21" s="436">
        <v>214.79564748409999</v>
      </c>
      <c r="AZ21" s="436">
        <v>223.45061589190004</v>
      </c>
      <c r="BA21" s="436">
        <v>240.51518051020003</v>
      </c>
      <c r="BB21" s="436">
        <v>242.07196230279999</v>
      </c>
      <c r="BC21" s="436">
        <v>262.89564620319999</v>
      </c>
      <c r="BD21" s="436">
        <v>263.97111212239997</v>
      </c>
      <c r="BE21" s="436">
        <v>153.41545305390002</v>
      </c>
      <c r="BF21" s="436">
        <v>187.27949836500002</v>
      </c>
      <c r="BG21" s="436">
        <v>185.63011042000002</v>
      </c>
      <c r="BH21" s="436">
        <v>221.1950818848</v>
      </c>
      <c r="BI21" s="436">
        <v>233.47199871740003</v>
      </c>
      <c r="BJ21" s="436">
        <v>253.37233183610002</v>
      </c>
      <c r="BK21" s="436">
        <v>310.5742006365</v>
      </c>
      <c r="BL21" s="436">
        <v>339.23365504960003</v>
      </c>
      <c r="BM21" s="436">
        <v>328.87973178179999</v>
      </c>
      <c r="BN21" s="436">
        <v>302.32173629719995</v>
      </c>
      <c r="BO21" s="436">
        <v>293.95450070480001</v>
      </c>
      <c r="BP21" s="436">
        <v>297.48632536280002</v>
      </c>
      <c r="BQ21" s="436">
        <v>324.12527294900002</v>
      </c>
      <c r="BR21" s="436">
        <v>316.87560830360002</v>
      </c>
      <c r="BS21" s="436">
        <v>330.63767776919997</v>
      </c>
      <c r="BT21" s="436">
        <v>327.65265361113501</v>
      </c>
      <c r="BU21" s="436">
        <v>331.20310557582002</v>
      </c>
      <c r="BV21" s="436">
        <v>334.06467780099598</v>
      </c>
      <c r="BW21" s="436">
        <v>330.22554825527504</v>
      </c>
      <c r="BX21" s="436">
        <v>330.05576037399999</v>
      </c>
      <c r="BY21" s="436">
        <v>312.96608815159993</v>
      </c>
      <c r="BZ21" s="436">
        <v>297.39999999999998</v>
      </c>
      <c r="CA21" s="436">
        <v>299.28382770249993</v>
      </c>
      <c r="CB21" s="436">
        <v>199.54072833200001</v>
      </c>
      <c r="CC21" s="436">
        <v>194.22678723857496</v>
      </c>
      <c r="CD21" s="436">
        <v>200.81396609369997</v>
      </c>
      <c r="CE21" s="436">
        <v>282.79977310974158</v>
      </c>
      <c r="CF21" s="436">
        <v>288.90716723071398</v>
      </c>
      <c r="CG21" s="436">
        <v>284.26708552843002</v>
      </c>
      <c r="CH21" s="436">
        <v>285.86565267000003</v>
      </c>
      <c r="CI21" s="436">
        <v>316.78720421000003</v>
      </c>
      <c r="CJ21" s="436">
        <v>318.78490196999996</v>
      </c>
      <c r="CK21" s="436">
        <v>322.03550030999997</v>
      </c>
      <c r="CL21" s="436">
        <v>317.66498896000002</v>
      </c>
      <c r="CM21" s="436">
        <v>290.90532217999998</v>
      </c>
      <c r="CN21" s="436">
        <v>279.58508832000001</v>
      </c>
      <c r="CO21" s="436">
        <v>292.5331597</v>
      </c>
      <c r="CP21" s="436">
        <v>280.61683574</v>
      </c>
      <c r="CQ21" s="436">
        <v>283.48370676000002</v>
      </c>
      <c r="CR21" s="436">
        <v>283.52283692999998</v>
      </c>
      <c r="CS21" s="436">
        <v>269.65853236000004</v>
      </c>
      <c r="CT21" s="436">
        <v>260.40572817999998</v>
      </c>
      <c r="CU21" s="436">
        <v>283.00367335999999</v>
      </c>
      <c r="CV21" s="436">
        <v>280.90835049999998</v>
      </c>
      <c r="CW21" s="436">
        <v>313.37198799999999</v>
      </c>
      <c r="CX21" s="436">
        <v>276.44471893999997</v>
      </c>
      <c r="CY21" s="436">
        <v>240.29859966000004</v>
      </c>
      <c r="CZ21" s="436">
        <v>229.32059407999998</v>
      </c>
      <c r="DA21" s="436">
        <v>227.33415633000001</v>
      </c>
      <c r="DB21" s="439">
        <v>249.40577575999998</v>
      </c>
      <c r="DC21" s="439">
        <v>247.17154316000003</v>
      </c>
      <c r="DD21" s="439">
        <v>226.72742823999997</v>
      </c>
      <c r="DE21" s="439">
        <v>233.86841428000002</v>
      </c>
      <c r="DF21" s="439">
        <v>251.12313660999999</v>
      </c>
      <c r="DH21" s="430"/>
    </row>
    <row r="22" spans="1:112" ht="15.95" customHeight="1">
      <c r="A22" s="431" t="s">
        <v>290</v>
      </c>
      <c r="B22" s="432">
        <v>0.80228100000000002</v>
      </c>
      <c r="C22" s="433">
        <v>30.47741418</v>
      </c>
      <c r="D22" s="433">
        <v>28.236809300000001</v>
      </c>
      <c r="E22" s="434">
        <v>34.175090300000001</v>
      </c>
      <c r="F22" s="433">
        <v>34.517989890000003</v>
      </c>
      <c r="G22" s="433">
        <v>30.331252599999999</v>
      </c>
      <c r="H22" s="433">
        <v>6.4989061799999996</v>
      </c>
      <c r="I22" s="433">
        <v>0.82735038000000005</v>
      </c>
      <c r="J22" s="433">
        <v>0.83010527000000001</v>
      </c>
      <c r="K22" s="434">
        <v>0.84329633999999998</v>
      </c>
      <c r="L22" s="433">
        <v>2.6548009999999997E-2</v>
      </c>
      <c r="M22" s="433">
        <v>0</v>
      </c>
      <c r="N22" s="433">
        <v>1.0000000000000001E-5</v>
      </c>
      <c r="O22" s="434">
        <v>1.0000000000000001E-5</v>
      </c>
      <c r="P22" s="433">
        <v>1.0000000000000001E-5</v>
      </c>
      <c r="Q22" s="433">
        <v>1.0000000000000001E-5</v>
      </c>
      <c r="R22" s="434">
        <v>1.0000000000000001E-5</v>
      </c>
      <c r="S22" s="433">
        <v>0</v>
      </c>
      <c r="T22" s="433">
        <v>0</v>
      </c>
      <c r="U22" s="435">
        <v>1.0000000000000001E-5</v>
      </c>
      <c r="V22" s="435">
        <v>0</v>
      </c>
      <c r="W22" s="435">
        <v>0</v>
      </c>
      <c r="X22" s="435">
        <v>1.9000000000000001E-5</v>
      </c>
      <c r="Y22" s="435">
        <v>4.5000000000000003E-5</v>
      </c>
      <c r="Z22" s="435">
        <v>1.0000000000000001E-5</v>
      </c>
      <c r="AA22" s="435">
        <v>1.0000000000000001E-5</v>
      </c>
      <c r="AB22" s="435">
        <v>1.0000000000000001E-5</v>
      </c>
      <c r="AC22" s="435">
        <v>1.0000000000000001E-5</v>
      </c>
      <c r="AD22" s="435">
        <v>6.0000000000000002E-5</v>
      </c>
      <c r="AE22" s="435">
        <v>1.0000000000000001E-5</v>
      </c>
      <c r="AF22" s="435">
        <v>1.0000000000000001E-5</v>
      </c>
      <c r="AG22" s="435">
        <v>1.3000100000000001</v>
      </c>
      <c r="AH22" s="435">
        <v>1.8382238500000001</v>
      </c>
      <c r="AI22" s="435">
        <v>1.7880243399999998</v>
      </c>
      <c r="AJ22" s="435">
        <v>1.8053049500000002</v>
      </c>
      <c r="AK22" s="435">
        <v>1.7497909599999999</v>
      </c>
      <c r="AL22" s="435">
        <v>1.7736643999999999</v>
      </c>
      <c r="AM22" s="438">
        <v>1.75069304</v>
      </c>
      <c r="AN22" s="438">
        <v>2.4556074100000003</v>
      </c>
      <c r="AO22" s="438">
        <v>1.6972376400000002</v>
      </c>
      <c r="AP22" s="438">
        <v>1.6654160999999998</v>
      </c>
      <c r="AQ22" s="438">
        <v>1.6799050499999999</v>
      </c>
      <c r="AR22" s="432">
        <v>1.63032793</v>
      </c>
      <c r="AS22" s="432">
        <v>1.59566527</v>
      </c>
      <c r="AT22" s="432">
        <v>3.4489414299999996</v>
      </c>
      <c r="AU22" s="432">
        <v>5.1512396599999999</v>
      </c>
      <c r="AV22" s="432">
        <v>5.2326767599999995</v>
      </c>
      <c r="AW22" s="436">
        <v>5.2159201699999995</v>
      </c>
      <c r="AX22" s="436">
        <v>5.04778196</v>
      </c>
      <c r="AY22" s="436">
        <v>5.0302559599999999</v>
      </c>
      <c r="AZ22" s="436">
        <v>4.765384870000001</v>
      </c>
      <c r="BA22" s="436">
        <v>4.8406996500000004</v>
      </c>
      <c r="BB22" s="436">
        <v>3.6540787400000001</v>
      </c>
      <c r="BC22" s="436">
        <v>3.2082282000000002</v>
      </c>
      <c r="BD22" s="436">
        <v>3.4738220000000002</v>
      </c>
      <c r="BE22" s="436">
        <v>3.8759674699999995</v>
      </c>
      <c r="BF22" s="436">
        <v>3.3882234799999997</v>
      </c>
      <c r="BG22" s="436">
        <v>2.5465515700000001</v>
      </c>
      <c r="BH22" s="436">
        <v>2.5474292000000003</v>
      </c>
      <c r="BI22" s="436">
        <v>2.56356121</v>
      </c>
      <c r="BJ22" s="436">
        <v>2.4115855900000001</v>
      </c>
      <c r="BK22" s="436">
        <v>3.73856067</v>
      </c>
      <c r="BL22" s="436">
        <v>2.7912285300000002</v>
      </c>
      <c r="BM22" s="436">
        <v>2.5167162800000002</v>
      </c>
      <c r="BN22" s="436">
        <v>2.2000520799999999</v>
      </c>
      <c r="BO22" s="436">
        <v>2.3533573399999996</v>
      </c>
      <c r="BP22" s="436">
        <v>1.7544579100000002</v>
      </c>
      <c r="BQ22" s="436">
        <v>2.2750947699999999</v>
      </c>
      <c r="BR22" s="436">
        <v>1.76657446</v>
      </c>
      <c r="BS22" s="436">
        <v>1.2005348900000001</v>
      </c>
      <c r="BT22" s="436">
        <v>1.19714582</v>
      </c>
      <c r="BU22" s="436">
        <v>1.2018406500000001</v>
      </c>
      <c r="BV22" s="436">
        <v>1.15193429</v>
      </c>
      <c r="BW22" s="436">
        <v>1.1729191800000001</v>
      </c>
      <c r="BX22" s="436">
        <v>1.1391100000000001</v>
      </c>
      <c r="BY22" s="436">
        <v>0.97723400000000005</v>
      </c>
      <c r="BZ22" s="436">
        <v>1</v>
      </c>
      <c r="CA22" s="436">
        <v>0.96363017000000006</v>
      </c>
      <c r="CB22" s="436">
        <v>5.1566000000000001E-2</v>
      </c>
      <c r="CC22" s="436">
        <v>2.5902000000000001E-2</v>
      </c>
      <c r="CD22" s="436">
        <v>0.65682448000000004</v>
      </c>
      <c r="CE22" s="436">
        <v>0.64907747999999998</v>
      </c>
      <c r="CF22" s="436">
        <v>0.64907747999999998</v>
      </c>
      <c r="CG22" s="436">
        <v>0.64907747999999998</v>
      </c>
      <c r="CH22" s="436">
        <v>9.9999999999999995E-7</v>
      </c>
      <c r="CI22" s="436">
        <v>9.9999999999999995E-7</v>
      </c>
      <c r="CJ22" s="436">
        <v>9.9999999999999995E-7</v>
      </c>
      <c r="CK22" s="436">
        <v>9.9999999999999995E-7</v>
      </c>
      <c r="CL22" s="436">
        <v>9.9999999999999995E-7</v>
      </c>
      <c r="CM22" s="436">
        <v>9.9999999999999995E-7</v>
      </c>
      <c r="CN22" s="436">
        <v>9.9999999999999995E-7</v>
      </c>
      <c r="CO22" s="436">
        <v>9.9999999999999995E-7</v>
      </c>
      <c r="CP22" s="436">
        <v>9.9999999999999995E-7</v>
      </c>
      <c r="CQ22" s="436">
        <v>9.9999999999999995E-7</v>
      </c>
      <c r="CR22" s="436">
        <v>9.9999999999999995E-7</v>
      </c>
      <c r="CS22" s="436">
        <v>9.9999999999999995E-7</v>
      </c>
      <c r="CT22" s="436">
        <v>9.9999999999999995E-7</v>
      </c>
      <c r="CU22" s="436">
        <v>9.9999999999999995E-7</v>
      </c>
      <c r="CV22" s="436">
        <v>9.9999999999999995E-7</v>
      </c>
      <c r="CW22" s="436">
        <v>0</v>
      </c>
      <c r="CX22" s="436">
        <v>0</v>
      </c>
      <c r="CY22" s="436">
        <v>0</v>
      </c>
      <c r="CZ22" s="436">
        <v>0</v>
      </c>
      <c r="DA22" s="436">
        <v>0</v>
      </c>
      <c r="DB22" s="439">
        <v>0</v>
      </c>
      <c r="DC22" s="439">
        <v>0</v>
      </c>
      <c r="DD22" s="439">
        <v>2.0100000000000001E-4</v>
      </c>
      <c r="DE22" s="439">
        <v>2.0100000000000001E-4</v>
      </c>
      <c r="DF22" s="439">
        <v>4.0099999999999999E-4</v>
      </c>
      <c r="DH22" s="430"/>
    </row>
    <row r="23" spans="1:112" ht="15.95" customHeight="1">
      <c r="A23" s="431" t="s">
        <v>291</v>
      </c>
      <c r="B23" s="432">
        <v>397.37325458999999</v>
      </c>
      <c r="C23" s="433">
        <v>440.0416755466</v>
      </c>
      <c r="D23" s="433">
        <v>416.84627105280003</v>
      </c>
      <c r="E23" s="434">
        <v>403.43990376530002</v>
      </c>
      <c r="F23" s="433">
        <v>389.61606318360003</v>
      </c>
      <c r="G23" s="433">
        <v>387.40364539940271</v>
      </c>
      <c r="H23" s="433">
        <v>380.80788193368005</v>
      </c>
      <c r="I23" s="433">
        <v>401.92548791999991</v>
      </c>
      <c r="J23" s="433">
        <v>417.49977844</v>
      </c>
      <c r="K23" s="434">
        <v>411.77040956999991</v>
      </c>
      <c r="L23" s="433">
        <v>421.01123243000001</v>
      </c>
      <c r="M23" s="433">
        <v>414.16137191000001</v>
      </c>
      <c r="N23" s="433">
        <v>406.80213193999998</v>
      </c>
      <c r="O23" s="434">
        <v>448.87123583999994</v>
      </c>
      <c r="P23" s="433">
        <v>434.71602054999994</v>
      </c>
      <c r="Q23" s="433">
        <v>439.26353495000001</v>
      </c>
      <c r="R23" s="434">
        <v>446.04778716999999</v>
      </c>
      <c r="S23" s="433">
        <v>424.80619050000007</v>
      </c>
      <c r="T23" s="433">
        <v>386.41341379999994</v>
      </c>
      <c r="U23" s="435">
        <v>404.75871373000001</v>
      </c>
      <c r="V23" s="435">
        <v>451.34536354999995</v>
      </c>
      <c r="W23" s="435">
        <v>432.90256550999999</v>
      </c>
      <c r="X23" s="435">
        <v>433.91339428000009</v>
      </c>
      <c r="Y23" s="435">
        <v>430.06845709000004</v>
      </c>
      <c r="Z23" s="435">
        <v>451.58788683000006</v>
      </c>
      <c r="AA23" s="435">
        <v>462.30552366000006</v>
      </c>
      <c r="AB23" s="435">
        <v>476.50485927999989</v>
      </c>
      <c r="AC23" s="435">
        <v>487.83124775000005</v>
      </c>
      <c r="AD23" s="435">
        <v>474.28347342000006</v>
      </c>
      <c r="AE23" s="435">
        <v>481.91130635000002</v>
      </c>
      <c r="AF23" s="435">
        <v>450.66651252000003</v>
      </c>
      <c r="AG23" s="435">
        <v>476.29153692999995</v>
      </c>
      <c r="AH23" s="435">
        <v>481.82690164999997</v>
      </c>
      <c r="AI23" s="435">
        <v>450.63480302999994</v>
      </c>
      <c r="AJ23" s="435">
        <v>456.31691065000007</v>
      </c>
      <c r="AK23" s="435">
        <v>442.74806686999995</v>
      </c>
      <c r="AL23" s="435">
        <v>435.75535047000011</v>
      </c>
      <c r="AM23" s="438">
        <v>434.12344214999996</v>
      </c>
      <c r="AN23" s="438">
        <v>392.83384061000004</v>
      </c>
      <c r="AO23" s="438">
        <v>300.06065562000009</v>
      </c>
      <c r="AP23" s="438">
        <v>313.47057155270005</v>
      </c>
      <c r="AQ23" s="438">
        <v>301.66235242680006</v>
      </c>
      <c r="AR23" s="432">
        <v>289.3890851868</v>
      </c>
      <c r="AS23" s="432">
        <v>299.20155597000002</v>
      </c>
      <c r="AT23" s="432">
        <v>307.84168060039997</v>
      </c>
      <c r="AU23" s="432">
        <v>315.39379493960013</v>
      </c>
      <c r="AV23" s="432">
        <v>329.30126683200001</v>
      </c>
      <c r="AW23" s="436">
        <v>288.9383625808</v>
      </c>
      <c r="AX23" s="436">
        <v>285.6641759904</v>
      </c>
      <c r="AY23" s="436">
        <v>285.52321575740001</v>
      </c>
      <c r="AZ23" s="436">
        <v>265.38096317279997</v>
      </c>
      <c r="BA23" s="436">
        <v>273.23339098180008</v>
      </c>
      <c r="BB23" s="436">
        <v>253.19607303139998</v>
      </c>
      <c r="BC23" s="436">
        <v>255.30524102480001</v>
      </c>
      <c r="BD23" s="436">
        <v>237.30354997120003</v>
      </c>
      <c r="BE23" s="436">
        <v>229.02613880929994</v>
      </c>
      <c r="BF23" s="436">
        <v>235.64916328749999</v>
      </c>
      <c r="BG23" s="436">
        <v>253.051802662</v>
      </c>
      <c r="BH23" s="436">
        <v>264.62823741969999</v>
      </c>
      <c r="BI23" s="436">
        <v>271.7334230427</v>
      </c>
      <c r="BJ23" s="436">
        <v>294.55360238010002</v>
      </c>
      <c r="BK23" s="436">
        <v>289.9087328201</v>
      </c>
      <c r="BL23" s="436">
        <v>274.11675496870004</v>
      </c>
      <c r="BM23" s="436">
        <v>271.40652114020003</v>
      </c>
      <c r="BN23" s="436">
        <v>285.87902104239998</v>
      </c>
      <c r="BO23" s="436">
        <v>293.76630642160001</v>
      </c>
      <c r="BP23" s="436">
        <v>265.2829050583</v>
      </c>
      <c r="BQ23" s="436">
        <v>275.26740752710003</v>
      </c>
      <c r="BR23" s="436">
        <v>270.47845282630004</v>
      </c>
      <c r="BS23" s="436">
        <v>271.17107371319997</v>
      </c>
      <c r="BT23" s="436">
        <v>266.89291761395998</v>
      </c>
      <c r="BU23" s="436">
        <v>260.05588035618399</v>
      </c>
      <c r="BV23" s="436">
        <v>246.45162972027003</v>
      </c>
      <c r="BW23" s="436">
        <v>236.05168733431498</v>
      </c>
      <c r="BX23" s="436">
        <v>229.08141812849999</v>
      </c>
      <c r="BY23" s="436">
        <v>212.44440123770002</v>
      </c>
      <c r="BZ23" s="436">
        <v>204.2</v>
      </c>
      <c r="CA23" s="436">
        <v>205.43826764050002</v>
      </c>
      <c r="CB23" s="436">
        <v>207.23729352519996</v>
      </c>
      <c r="CC23" s="436">
        <v>207.67818392268404</v>
      </c>
      <c r="CD23" s="436">
        <v>228.54023590715195</v>
      </c>
      <c r="CE23" s="436">
        <v>225.77899969316297</v>
      </c>
      <c r="CF23" s="436">
        <v>232.17427038175236</v>
      </c>
      <c r="CG23" s="436">
        <v>220.97420564333663</v>
      </c>
      <c r="CH23" s="436">
        <v>236.23857048615312</v>
      </c>
      <c r="CI23" s="436">
        <v>235.40662781709332</v>
      </c>
      <c r="CJ23" s="436">
        <v>219.78260889760602</v>
      </c>
      <c r="CK23" s="436">
        <v>231.18659102806001</v>
      </c>
      <c r="CL23" s="436">
        <v>232.779097414874</v>
      </c>
      <c r="CM23" s="436">
        <v>243.011401699998</v>
      </c>
      <c r="CN23" s="436">
        <v>224.30223216611734</v>
      </c>
      <c r="CO23" s="436">
        <v>249.46328228032903</v>
      </c>
      <c r="CP23" s="436">
        <v>240.853246802375</v>
      </c>
      <c r="CQ23" s="436">
        <v>234.42752488128596</v>
      </c>
      <c r="CR23" s="436">
        <v>232.81053519210499</v>
      </c>
      <c r="CS23" s="436">
        <v>225.98361406514533</v>
      </c>
      <c r="CT23" s="436">
        <v>225.7539971593485</v>
      </c>
      <c r="CU23" s="436">
        <v>217.62427764800339</v>
      </c>
      <c r="CV23" s="436">
        <v>215.38199068759542</v>
      </c>
      <c r="CW23" s="436">
        <v>211.58169805915267</v>
      </c>
      <c r="CX23" s="436">
        <v>221.3002667419012</v>
      </c>
      <c r="CY23" s="436">
        <v>265.31517758185714</v>
      </c>
      <c r="CZ23" s="436">
        <v>223.53915568379665</v>
      </c>
      <c r="DA23" s="436">
        <v>218.79633464507259</v>
      </c>
      <c r="DB23" s="439">
        <v>226.54181846133767</v>
      </c>
      <c r="DC23" s="439">
        <v>224.82256488914118</v>
      </c>
      <c r="DD23" s="439">
        <v>211.09492027164794</v>
      </c>
      <c r="DE23" s="439">
        <v>221.8107750668749</v>
      </c>
      <c r="DF23" s="439">
        <v>235.47768227692043</v>
      </c>
      <c r="DH23" s="430"/>
    </row>
    <row r="24" spans="1:112" ht="15.95" customHeight="1">
      <c r="A24" s="431" t="s">
        <v>292</v>
      </c>
      <c r="B24" s="432">
        <v>910.52295066000011</v>
      </c>
      <c r="C24" s="433">
        <v>946.23703324999997</v>
      </c>
      <c r="D24" s="433">
        <v>946.07028086000003</v>
      </c>
      <c r="E24" s="434">
        <v>778.97302276999994</v>
      </c>
      <c r="F24" s="433">
        <v>780.76738892999992</v>
      </c>
      <c r="G24" s="433">
        <v>836.92314060000001</v>
      </c>
      <c r="H24" s="433">
        <v>853.03320702999997</v>
      </c>
      <c r="I24" s="433">
        <v>899.80568004999998</v>
      </c>
      <c r="J24" s="433">
        <v>913.01527264000015</v>
      </c>
      <c r="K24" s="434">
        <v>895.70124750000025</v>
      </c>
      <c r="L24" s="433">
        <v>879.75268698000014</v>
      </c>
      <c r="M24" s="433">
        <v>873.79155099000002</v>
      </c>
      <c r="N24" s="433">
        <v>854.11602243000004</v>
      </c>
      <c r="O24" s="434">
        <v>871.43537901000013</v>
      </c>
      <c r="P24" s="433">
        <v>836.13967690999993</v>
      </c>
      <c r="Q24" s="433">
        <v>807.90934457999992</v>
      </c>
      <c r="R24" s="434">
        <v>795.93072956000003</v>
      </c>
      <c r="S24" s="433">
        <v>769.29634325999996</v>
      </c>
      <c r="T24" s="433">
        <v>790.82085855000003</v>
      </c>
      <c r="U24" s="435">
        <v>813.43019205999997</v>
      </c>
      <c r="V24" s="435">
        <v>804.49209078000013</v>
      </c>
      <c r="W24" s="435">
        <v>772.5942690600001</v>
      </c>
      <c r="X24" s="435">
        <v>754.09949637999989</v>
      </c>
      <c r="Y24" s="435">
        <v>711.97998602999996</v>
      </c>
      <c r="Z24" s="435">
        <v>713.79004568000005</v>
      </c>
      <c r="AA24" s="435">
        <v>750.02149987999996</v>
      </c>
      <c r="AB24" s="435">
        <v>736.94564173999993</v>
      </c>
      <c r="AC24" s="435">
        <v>724.60248029999991</v>
      </c>
      <c r="AD24" s="435">
        <v>711.62751149999986</v>
      </c>
      <c r="AE24" s="435">
        <v>714.89963088999991</v>
      </c>
      <c r="AF24" s="435">
        <v>724.10077414</v>
      </c>
      <c r="AG24" s="435">
        <v>713.7732903399999</v>
      </c>
      <c r="AH24" s="435">
        <v>693.68404306000002</v>
      </c>
      <c r="AI24" s="435">
        <v>649.31595695999999</v>
      </c>
      <c r="AJ24" s="435">
        <v>658.43852566999999</v>
      </c>
      <c r="AK24" s="435">
        <v>616.49682905999987</v>
      </c>
      <c r="AL24" s="435">
        <v>614.57651317999978</v>
      </c>
      <c r="AM24" s="438">
        <v>602.62944450999998</v>
      </c>
      <c r="AN24" s="438">
        <v>626.56622527000002</v>
      </c>
      <c r="AO24" s="438">
        <v>641.2660831799999</v>
      </c>
      <c r="AP24" s="438">
        <v>814.35686249420007</v>
      </c>
      <c r="AQ24" s="438">
        <v>793.48873911499993</v>
      </c>
      <c r="AR24" s="432">
        <v>824.42682403920003</v>
      </c>
      <c r="AS24" s="432">
        <v>805.64309489999982</v>
      </c>
      <c r="AT24" s="432">
        <v>807.38785070400002</v>
      </c>
      <c r="AU24" s="432">
        <v>806.47307684359987</v>
      </c>
      <c r="AV24" s="432">
        <v>853.60913497000001</v>
      </c>
      <c r="AW24" s="436">
        <v>830.17530601880003</v>
      </c>
      <c r="AX24" s="436">
        <v>832.71961218279989</v>
      </c>
      <c r="AY24" s="436">
        <v>812.25391012479997</v>
      </c>
      <c r="AZ24" s="436">
        <v>807.95125932830001</v>
      </c>
      <c r="BA24" s="436">
        <v>817.13474315760004</v>
      </c>
      <c r="BB24" s="436">
        <v>790.40151680539998</v>
      </c>
      <c r="BC24" s="436">
        <v>819.53788119359979</v>
      </c>
      <c r="BD24" s="436">
        <v>971.62186614059999</v>
      </c>
      <c r="BE24" s="436">
        <v>982.66974293440001</v>
      </c>
      <c r="BF24" s="436">
        <v>990.1482344499999</v>
      </c>
      <c r="BG24" s="436">
        <v>955.79545839400009</v>
      </c>
      <c r="BH24" s="436">
        <v>1022.5976903499001</v>
      </c>
      <c r="BI24" s="436">
        <v>1038.2356263586</v>
      </c>
      <c r="BJ24" s="436">
        <v>1008.6153885551998</v>
      </c>
      <c r="BK24" s="436">
        <v>999.80705009930011</v>
      </c>
      <c r="BL24" s="436">
        <v>1033.5171342601004</v>
      </c>
      <c r="BM24" s="436">
        <v>1043.3940282200001</v>
      </c>
      <c r="BN24" s="436">
        <v>1023.3434777845001</v>
      </c>
      <c r="BO24" s="436">
        <v>1035.3106493512003</v>
      </c>
      <c r="BP24" s="436">
        <v>1031.3313668433</v>
      </c>
      <c r="BQ24" s="436">
        <v>1033.5339158576999</v>
      </c>
      <c r="BR24" s="436">
        <v>1015.1898079394</v>
      </c>
      <c r="BS24" s="436">
        <v>1011.87914269</v>
      </c>
      <c r="BT24" s="436">
        <v>1033.8272659149718</v>
      </c>
      <c r="BU24" s="436">
        <v>1018.5757075495941</v>
      </c>
      <c r="BV24" s="436">
        <v>1018.850536995846</v>
      </c>
      <c r="BW24" s="436">
        <v>1041.345205824035</v>
      </c>
      <c r="BX24" s="436">
        <v>1077.4130218140001</v>
      </c>
      <c r="BY24" s="436">
        <v>1065.3526947838</v>
      </c>
      <c r="BZ24" s="436">
        <v>1076.7</v>
      </c>
      <c r="CA24" s="436">
        <v>1053.2084324807001</v>
      </c>
      <c r="CB24" s="436">
        <v>1033.8153763808</v>
      </c>
      <c r="CC24" s="436">
        <v>1056.9001107786103</v>
      </c>
      <c r="CD24" s="436">
        <v>1053.8271978771359</v>
      </c>
      <c r="CE24" s="436">
        <v>1101.8588021599999</v>
      </c>
      <c r="CF24" s="436">
        <v>1101.7069342499999</v>
      </c>
      <c r="CG24" s="436">
        <v>1131.2434705999999</v>
      </c>
      <c r="CH24" s="436">
        <v>1139.5048297899996</v>
      </c>
      <c r="CI24" s="436">
        <v>1170.7630978100001</v>
      </c>
      <c r="CJ24" s="436">
        <v>1213.6160808700001</v>
      </c>
      <c r="CK24" s="436">
        <v>1243.3684314300003</v>
      </c>
      <c r="CL24" s="436">
        <v>1203.81601452</v>
      </c>
      <c r="CM24" s="436">
        <v>1119.0341412</v>
      </c>
      <c r="CN24" s="436">
        <v>1106.4422757700002</v>
      </c>
      <c r="CO24" s="436">
        <v>1109.2194839599999</v>
      </c>
      <c r="CP24" s="436">
        <v>1068.0377483500001</v>
      </c>
      <c r="CQ24" s="436">
        <v>1049.9934026000001</v>
      </c>
      <c r="CR24" s="436">
        <v>1052.3091175100001</v>
      </c>
      <c r="CS24" s="436">
        <v>1051.8807513100001</v>
      </c>
      <c r="CT24" s="436">
        <v>1040.2209888</v>
      </c>
      <c r="CU24" s="436">
        <v>1067.7482000000002</v>
      </c>
      <c r="CV24" s="436">
        <v>1193.76401728</v>
      </c>
      <c r="CW24" s="436">
        <v>1216.6512270200001</v>
      </c>
      <c r="CX24" s="436">
        <v>1196.33047756</v>
      </c>
      <c r="CY24" s="436">
        <v>1151.7621939100002</v>
      </c>
      <c r="CZ24" s="436">
        <v>1102.8077466399998</v>
      </c>
      <c r="DA24" s="436">
        <v>1115.8683898799998</v>
      </c>
      <c r="DB24" s="439">
        <v>1147.7219951100001</v>
      </c>
      <c r="DC24" s="439">
        <v>1120.0761980699999</v>
      </c>
      <c r="DD24" s="439">
        <v>1094.9677360900002</v>
      </c>
      <c r="DE24" s="439">
        <v>1109.09746969</v>
      </c>
      <c r="DF24" s="439">
        <v>1114.30152838</v>
      </c>
      <c r="DH24" s="430"/>
    </row>
    <row r="25" spans="1:112" ht="15.95" customHeight="1">
      <c r="A25" s="431" t="s">
        <v>293</v>
      </c>
      <c r="B25" s="432">
        <v>349.5838636200001</v>
      </c>
      <c r="C25" s="433">
        <v>381.58419513000007</v>
      </c>
      <c r="D25" s="433">
        <v>345.22730449000005</v>
      </c>
      <c r="E25" s="434">
        <v>364.20730191000001</v>
      </c>
      <c r="F25" s="433">
        <v>392.64291809999997</v>
      </c>
      <c r="G25" s="433">
        <v>371.64065326000002</v>
      </c>
      <c r="H25" s="433">
        <v>386.69017022000003</v>
      </c>
      <c r="I25" s="433">
        <v>389.08370517999992</v>
      </c>
      <c r="J25" s="433">
        <v>388.04698978000005</v>
      </c>
      <c r="K25" s="434">
        <v>374.94031618000002</v>
      </c>
      <c r="L25" s="433">
        <v>387.34871066000011</v>
      </c>
      <c r="M25" s="433">
        <v>391.21954827000002</v>
      </c>
      <c r="N25" s="433">
        <v>394.95257374000005</v>
      </c>
      <c r="O25" s="434">
        <v>449.73408968000001</v>
      </c>
      <c r="P25" s="433">
        <v>425.44409610000002</v>
      </c>
      <c r="Q25" s="433">
        <v>419.98520794000001</v>
      </c>
      <c r="R25" s="434">
        <v>448.72128531999999</v>
      </c>
      <c r="S25" s="433">
        <v>499.72984506</v>
      </c>
      <c r="T25" s="433">
        <v>444.33647447999994</v>
      </c>
      <c r="U25" s="435">
        <v>476.79070765</v>
      </c>
      <c r="V25" s="435">
        <v>474.86611438000006</v>
      </c>
      <c r="W25" s="435">
        <v>434.19925030000007</v>
      </c>
      <c r="X25" s="435">
        <v>387.23735848999996</v>
      </c>
      <c r="Y25" s="435">
        <v>398.30967823999993</v>
      </c>
      <c r="Z25" s="435">
        <v>394.06549207</v>
      </c>
      <c r="AA25" s="435">
        <v>419.92197926999989</v>
      </c>
      <c r="AB25" s="435">
        <v>347.96323026000005</v>
      </c>
      <c r="AC25" s="435">
        <v>344.51752061000008</v>
      </c>
      <c r="AD25" s="435">
        <v>330.12536820000003</v>
      </c>
      <c r="AE25" s="435">
        <v>341.35883003999999</v>
      </c>
      <c r="AF25" s="435">
        <v>345.52169050999998</v>
      </c>
      <c r="AG25" s="435">
        <v>392.53185898999999</v>
      </c>
      <c r="AH25" s="435">
        <v>394.26805704999992</v>
      </c>
      <c r="AI25" s="435">
        <v>444.21185464000001</v>
      </c>
      <c r="AJ25" s="435">
        <v>440.41348549000003</v>
      </c>
      <c r="AK25" s="435">
        <v>452.15205901899998</v>
      </c>
      <c r="AL25" s="435">
        <v>449.38061389329999</v>
      </c>
      <c r="AM25" s="438">
        <v>459.80072096712502</v>
      </c>
      <c r="AN25" s="438">
        <v>446.795973086728</v>
      </c>
      <c r="AO25" s="438">
        <v>503.21548736248496</v>
      </c>
      <c r="AP25" s="438">
        <v>533.62951280253299</v>
      </c>
      <c r="AQ25" s="438">
        <v>560.89018828217399</v>
      </c>
      <c r="AR25" s="432">
        <v>634.15570742199998</v>
      </c>
      <c r="AS25" s="432">
        <v>627.16898501300011</v>
      </c>
      <c r="AT25" s="432">
        <v>674.09105965683204</v>
      </c>
      <c r="AU25" s="432">
        <v>640.58055344027207</v>
      </c>
      <c r="AV25" s="432">
        <v>629.07751012096014</v>
      </c>
      <c r="AW25" s="436">
        <v>575.82417927239999</v>
      </c>
      <c r="AX25" s="436">
        <v>575.22101026040002</v>
      </c>
      <c r="AY25" s="436">
        <v>661.61724320280007</v>
      </c>
      <c r="AZ25" s="436">
        <v>630.88827327939998</v>
      </c>
      <c r="BA25" s="436">
        <v>645.15228053479996</v>
      </c>
      <c r="BB25" s="436">
        <v>676.26767594210003</v>
      </c>
      <c r="BC25" s="436">
        <v>650.42292694159994</v>
      </c>
      <c r="BD25" s="436">
        <v>711.52481523260008</v>
      </c>
      <c r="BE25" s="436">
        <v>778.96898550130004</v>
      </c>
      <c r="BF25" s="436">
        <v>813.61437877499998</v>
      </c>
      <c r="BG25" s="436">
        <v>801.08239368400007</v>
      </c>
      <c r="BH25" s="436">
        <v>846.6308202936001</v>
      </c>
      <c r="BI25" s="436">
        <v>880.04170309370022</v>
      </c>
      <c r="BJ25" s="436">
        <v>916.31820387300002</v>
      </c>
      <c r="BK25" s="436">
        <v>847.34622856279998</v>
      </c>
      <c r="BL25" s="436">
        <v>858.13637922550004</v>
      </c>
      <c r="BM25" s="436">
        <v>865.50869905139996</v>
      </c>
      <c r="BN25" s="436">
        <v>838.35208333573848</v>
      </c>
      <c r="BO25" s="436">
        <v>840.41745006050007</v>
      </c>
      <c r="BP25" s="436">
        <v>786.84377799060007</v>
      </c>
      <c r="BQ25" s="436">
        <v>878.99880511160018</v>
      </c>
      <c r="BR25" s="436">
        <v>902.82385893909998</v>
      </c>
      <c r="BS25" s="436">
        <v>932.54664263200004</v>
      </c>
      <c r="BT25" s="436">
        <v>945.32580996797503</v>
      </c>
      <c r="BU25" s="436">
        <v>993.57863903124598</v>
      </c>
      <c r="BV25" s="436">
        <v>977.37493899353012</v>
      </c>
      <c r="BW25" s="436">
        <v>951.70568371354011</v>
      </c>
      <c r="BX25" s="436">
        <v>948.21345411100003</v>
      </c>
      <c r="BY25" s="436">
        <v>982.79033317299991</v>
      </c>
      <c r="BZ25" s="436">
        <v>997.9</v>
      </c>
      <c r="CA25" s="436">
        <v>999.75565409100011</v>
      </c>
      <c r="CB25" s="436">
        <v>998.83943063159995</v>
      </c>
      <c r="CC25" s="436">
        <v>1009.7262123204999</v>
      </c>
      <c r="CD25" s="436">
        <v>992.10993666511797</v>
      </c>
      <c r="CE25" s="436">
        <v>1153.702097918572</v>
      </c>
      <c r="CF25" s="436">
        <v>1160.0101035208684</v>
      </c>
      <c r="CG25" s="436">
        <v>1208.7401356203966</v>
      </c>
      <c r="CH25" s="436">
        <v>1342.8787727604213</v>
      </c>
      <c r="CI25" s="436">
        <v>1192.2574060846823</v>
      </c>
      <c r="CJ25" s="436">
        <v>1194.5438976470539</v>
      </c>
      <c r="CK25" s="436">
        <v>1193.9307357339412</v>
      </c>
      <c r="CL25" s="436">
        <v>1359.3799376390964</v>
      </c>
      <c r="CM25" s="436">
        <v>1341.8404377858965</v>
      </c>
      <c r="CN25" s="436">
        <v>1355.0331538285266</v>
      </c>
      <c r="CO25" s="436">
        <v>1403.395074962842</v>
      </c>
      <c r="CP25" s="436">
        <v>1372.7892620637001</v>
      </c>
      <c r="CQ25" s="436">
        <v>1351.5578419620574</v>
      </c>
      <c r="CR25" s="436">
        <v>1357.68229224014</v>
      </c>
      <c r="CS25" s="436">
        <v>1548.1253335600945</v>
      </c>
      <c r="CT25" s="436">
        <v>1561.7792182682738</v>
      </c>
      <c r="CU25" s="436">
        <v>1535.1447297524569</v>
      </c>
      <c r="CV25" s="436">
        <v>1524.9667740184552</v>
      </c>
      <c r="CW25" s="436">
        <v>1513.8188471687711</v>
      </c>
      <c r="CX25" s="436">
        <v>1596.0035096327615</v>
      </c>
      <c r="CY25" s="436">
        <v>1611.2110725925545</v>
      </c>
      <c r="CZ25" s="436">
        <v>1580.435413418664</v>
      </c>
      <c r="DA25" s="436">
        <v>1603.0743669590804</v>
      </c>
      <c r="DB25" s="439">
        <v>1545.7193157950067</v>
      </c>
      <c r="DC25" s="439">
        <v>1577.4558771907261</v>
      </c>
      <c r="DD25" s="439">
        <v>1616.0253295947994</v>
      </c>
      <c r="DE25" s="439">
        <v>1574.7389989473122</v>
      </c>
      <c r="DF25" s="439">
        <v>1701.9029612204668</v>
      </c>
      <c r="DH25" s="430"/>
    </row>
    <row r="26" spans="1:112" ht="15.95" customHeight="1">
      <c r="A26" s="431" t="s">
        <v>294</v>
      </c>
      <c r="B26" s="432">
        <v>2363.6979685556757</v>
      </c>
      <c r="C26" s="433">
        <v>2490.2006593228002</v>
      </c>
      <c r="D26" s="433">
        <v>2384.9380532999999</v>
      </c>
      <c r="E26" s="434">
        <v>2443.5400831499996</v>
      </c>
      <c r="F26" s="433">
        <v>2562.59365411</v>
      </c>
      <c r="G26" s="433">
        <v>2515.3131755599998</v>
      </c>
      <c r="H26" s="433">
        <v>2857.7457099200001</v>
      </c>
      <c r="I26" s="433">
        <v>2727.07123512</v>
      </c>
      <c r="J26" s="433">
        <v>2572.29923285</v>
      </c>
      <c r="K26" s="434">
        <v>2523.8280641275001</v>
      </c>
      <c r="L26" s="433">
        <v>2714.2746140874997</v>
      </c>
      <c r="M26" s="433">
        <v>2690.15770634</v>
      </c>
      <c r="N26" s="433">
        <v>2779.1720238299999</v>
      </c>
      <c r="O26" s="434">
        <v>2758.4331251500003</v>
      </c>
      <c r="P26" s="433">
        <v>2663.0990472900003</v>
      </c>
      <c r="Q26" s="433">
        <v>2641.1541482299999</v>
      </c>
      <c r="R26" s="434">
        <v>2748.5789794799998</v>
      </c>
      <c r="S26" s="433">
        <v>2778.9492123799996</v>
      </c>
      <c r="T26" s="433">
        <v>2893.6518598800003</v>
      </c>
      <c r="U26" s="435">
        <v>2871.17907255</v>
      </c>
      <c r="V26" s="435">
        <v>2932.26702097</v>
      </c>
      <c r="W26" s="435">
        <v>2754.9733427299993</v>
      </c>
      <c r="X26" s="435">
        <v>2871.3124255999996</v>
      </c>
      <c r="Y26" s="435">
        <v>2711.0704768999999</v>
      </c>
      <c r="Z26" s="435">
        <v>2760.9661566299997</v>
      </c>
      <c r="AA26" s="435">
        <v>2454.5476632399996</v>
      </c>
      <c r="AB26" s="435">
        <v>2717.0946421299996</v>
      </c>
      <c r="AC26" s="435">
        <v>2681.1607323600001</v>
      </c>
      <c r="AD26" s="435">
        <v>3040.2554009700002</v>
      </c>
      <c r="AE26" s="435">
        <v>3101.2892397099999</v>
      </c>
      <c r="AF26" s="435">
        <v>3079.2995641399998</v>
      </c>
      <c r="AG26" s="435">
        <v>3400.1454348299999</v>
      </c>
      <c r="AH26" s="435">
        <v>3340.8715155300001</v>
      </c>
      <c r="AI26" s="435">
        <v>3483.7399008900002</v>
      </c>
      <c r="AJ26" s="435">
        <v>3433.9557724599999</v>
      </c>
      <c r="AK26" s="435">
        <v>3370.6981678899997</v>
      </c>
      <c r="AL26" s="435">
        <v>3418.6193387499993</v>
      </c>
      <c r="AM26" s="438">
        <v>3644.5871086299994</v>
      </c>
      <c r="AN26" s="438">
        <v>3768.7207680599995</v>
      </c>
      <c r="AO26" s="438">
        <v>3737.56939121</v>
      </c>
      <c r="AP26" s="438">
        <v>3941.5406501008006</v>
      </c>
      <c r="AQ26" s="438">
        <v>3536.4350238832008</v>
      </c>
      <c r="AR26" s="432">
        <v>3642.5338103963995</v>
      </c>
      <c r="AS26" s="432">
        <v>3493.7771045</v>
      </c>
      <c r="AT26" s="432">
        <v>3340.7957776932003</v>
      </c>
      <c r="AU26" s="432">
        <v>3203.9466502721998</v>
      </c>
      <c r="AV26" s="432">
        <v>3312.9222928489994</v>
      </c>
      <c r="AW26" s="436">
        <v>3211.3458633143996</v>
      </c>
      <c r="AX26" s="436">
        <v>3178.7274950044002</v>
      </c>
      <c r="AY26" s="436">
        <v>3599.6290979411001</v>
      </c>
      <c r="AZ26" s="436">
        <v>3441.4286314036003</v>
      </c>
      <c r="BA26" s="436">
        <v>3381.0350028454</v>
      </c>
      <c r="BB26" s="436">
        <v>3292.3944738406994</v>
      </c>
      <c r="BC26" s="436">
        <v>3237.7080664887999</v>
      </c>
      <c r="BD26" s="436">
        <v>3380.7336175388004</v>
      </c>
      <c r="BE26" s="436">
        <v>3206.1246475112002</v>
      </c>
      <c r="BF26" s="436">
        <v>2809.5316792800004</v>
      </c>
      <c r="BG26" s="436">
        <v>3048.3363028500003</v>
      </c>
      <c r="BH26" s="436">
        <v>2944.4484472599001</v>
      </c>
      <c r="BI26" s="436">
        <v>2888.7957699859999</v>
      </c>
      <c r="BJ26" s="436">
        <v>3219.7583810821002</v>
      </c>
      <c r="BK26" s="436">
        <v>3046.9909263137001</v>
      </c>
      <c r="BL26" s="436">
        <v>2938.3740002628997</v>
      </c>
      <c r="BM26" s="436">
        <v>2696.1059933732004</v>
      </c>
      <c r="BN26" s="436">
        <v>2804.6461911065003</v>
      </c>
      <c r="BO26" s="436">
        <v>3142.0902128212001</v>
      </c>
      <c r="BP26" s="436">
        <v>3583.8641318090999</v>
      </c>
      <c r="BQ26" s="436">
        <v>3358.4287600749003</v>
      </c>
      <c r="BR26" s="436">
        <v>3252.1962490735</v>
      </c>
      <c r="BS26" s="436">
        <v>3189.3708814188003</v>
      </c>
      <c r="BT26" s="436">
        <v>3330.9031613059201</v>
      </c>
      <c r="BU26" s="436">
        <v>2957.3563713709837</v>
      </c>
      <c r="BV26" s="436">
        <v>3671.0438955459963</v>
      </c>
      <c r="BW26" s="436">
        <v>3606.6569796742206</v>
      </c>
      <c r="BX26" s="436">
        <v>3521.8149184145</v>
      </c>
      <c r="BY26" s="436">
        <v>3594.8836878897991</v>
      </c>
      <c r="BZ26" s="436">
        <v>3544.1</v>
      </c>
      <c r="CA26" s="436">
        <v>3773.1625763252996</v>
      </c>
      <c r="CB26" s="436">
        <v>3865.0737581836001</v>
      </c>
      <c r="CC26" s="436">
        <v>3630.7657072709767</v>
      </c>
      <c r="CD26" s="436">
        <v>3369.4383622078481</v>
      </c>
      <c r="CE26" s="436">
        <v>3358.6691236622587</v>
      </c>
      <c r="CF26" s="436">
        <v>3647.6030256101285</v>
      </c>
      <c r="CG26" s="436">
        <v>3618.3747553283333</v>
      </c>
      <c r="CH26" s="436">
        <v>3995.4466879357951</v>
      </c>
      <c r="CI26" s="436">
        <v>3935.4932035916463</v>
      </c>
      <c r="CJ26" s="436">
        <v>3711.3314375502018</v>
      </c>
      <c r="CK26" s="436">
        <v>3370.778237534686</v>
      </c>
      <c r="CL26" s="436">
        <v>3663.2413532621367</v>
      </c>
      <c r="CM26" s="436">
        <v>3553.5031679239587</v>
      </c>
      <c r="CN26" s="436">
        <v>4054.7225420760014</v>
      </c>
      <c r="CO26" s="436">
        <v>3961.2851472260427</v>
      </c>
      <c r="CP26" s="436">
        <v>3514.6277913910003</v>
      </c>
      <c r="CQ26" s="436">
        <v>3395.0508909787372</v>
      </c>
      <c r="CR26" s="436">
        <v>3286.4115694819352</v>
      </c>
      <c r="CS26" s="436">
        <v>3284.5306978335675</v>
      </c>
      <c r="CT26" s="436">
        <v>3854.945034659464</v>
      </c>
      <c r="CU26" s="436">
        <v>3852.9279532701771</v>
      </c>
      <c r="CV26" s="436">
        <v>3862.3376215499575</v>
      </c>
      <c r="CW26" s="436">
        <v>3562.0088421948308</v>
      </c>
      <c r="CX26" s="436">
        <v>3314.0402051890119</v>
      </c>
      <c r="CY26" s="436">
        <v>3856.8173349844351</v>
      </c>
      <c r="CZ26" s="436">
        <v>3865.8997007998619</v>
      </c>
      <c r="DA26" s="436">
        <v>3435.0737026536722</v>
      </c>
      <c r="DB26" s="439">
        <v>3246.1208150499324</v>
      </c>
      <c r="DC26" s="439">
        <v>3381.2584374390499</v>
      </c>
      <c r="DD26" s="439">
        <v>3050.9555620400602</v>
      </c>
      <c r="DE26" s="439">
        <v>2889.8700172028862</v>
      </c>
      <c r="DF26" s="439">
        <v>3098.1481756435619</v>
      </c>
      <c r="DH26" s="430"/>
    </row>
    <row r="27" spans="1:112" ht="15.95" customHeight="1">
      <c r="A27" s="431" t="s">
        <v>295</v>
      </c>
      <c r="B27" s="432">
        <v>176.59226850081083</v>
      </c>
      <c r="C27" s="433">
        <v>201.93284895424</v>
      </c>
      <c r="D27" s="433">
        <v>193.29467437603</v>
      </c>
      <c r="E27" s="434">
        <v>168.56809528800002</v>
      </c>
      <c r="F27" s="433">
        <v>189.21288308400003</v>
      </c>
      <c r="G27" s="433">
        <v>185.95629152000001</v>
      </c>
      <c r="H27" s="433">
        <v>183.29567885000003</v>
      </c>
      <c r="I27" s="433">
        <v>203.48886256660001</v>
      </c>
      <c r="J27" s="433">
        <v>207.32335457999997</v>
      </c>
      <c r="K27" s="434">
        <v>203.12131497559997</v>
      </c>
      <c r="L27" s="433">
        <v>179.06845641000001</v>
      </c>
      <c r="M27" s="433">
        <v>184.52059422899998</v>
      </c>
      <c r="N27" s="433">
        <v>172.58193402000001</v>
      </c>
      <c r="O27" s="434">
        <v>189.47010082</v>
      </c>
      <c r="P27" s="433">
        <v>182.45768701</v>
      </c>
      <c r="Q27" s="433">
        <v>189.07941648300002</v>
      </c>
      <c r="R27" s="434">
        <v>196.66622902899999</v>
      </c>
      <c r="S27" s="433">
        <v>209.51591063000001</v>
      </c>
      <c r="T27" s="433">
        <v>226.54121509000001</v>
      </c>
      <c r="U27" s="435">
        <v>210.21094289800001</v>
      </c>
      <c r="V27" s="435">
        <v>220.83309419999995</v>
      </c>
      <c r="W27" s="435">
        <v>207.80221347999998</v>
      </c>
      <c r="X27" s="435">
        <v>204.10965881999999</v>
      </c>
      <c r="Y27" s="435">
        <v>198.33765414999996</v>
      </c>
      <c r="Z27" s="435">
        <v>192.41302737999999</v>
      </c>
      <c r="AA27" s="435">
        <v>196.42294497</v>
      </c>
      <c r="AB27" s="435">
        <v>194.26834905000001</v>
      </c>
      <c r="AC27" s="435">
        <v>197.66117403000001</v>
      </c>
      <c r="AD27" s="435">
        <v>189.06569009999998</v>
      </c>
      <c r="AE27" s="435">
        <v>194.87130588999997</v>
      </c>
      <c r="AF27" s="435">
        <v>188.29923076000003</v>
      </c>
      <c r="AG27" s="435">
        <v>181.17597109999997</v>
      </c>
      <c r="AH27" s="435">
        <v>163.04760561000001</v>
      </c>
      <c r="AI27" s="435">
        <v>154.31566275999998</v>
      </c>
      <c r="AJ27" s="435">
        <v>150.55489198000001</v>
      </c>
      <c r="AK27" s="435">
        <v>149.15617316000004</v>
      </c>
      <c r="AL27" s="435">
        <v>150.49432431</v>
      </c>
      <c r="AM27" s="438">
        <v>139.38545445</v>
      </c>
      <c r="AN27" s="438">
        <v>151.17183906</v>
      </c>
      <c r="AO27" s="438">
        <v>175.53539634999998</v>
      </c>
      <c r="AP27" s="438">
        <v>180.67720570170002</v>
      </c>
      <c r="AQ27" s="438">
        <v>183.02640676960002</v>
      </c>
      <c r="AR27" s="432">
        <v>180.7005194756</v>
      </c>
      <c r="AS27" s="432">
        <v>192.51933147000003</v>
      </c>
      <c r="AT27" s="432">
        <v>182.59103222439998</v>
      </c>
      <c r="AU27" s="432">
        <v>197.28146025260003</v>
      </c>
      <c r="AV27" s="432">
        <v>190.64512558999996</v>
      </c>
      <c r="AW27" s="436">
        <v>191.7951092644</v>
      </c>
      <c r="AX27" s="436">
        <v>186.0658834372</v>
      </c>
      <c r="AY27" s="436">
        <v>198.6709644133</v>
      </c>
      <c r="AZ27" s="436">
        <v>195.74388839629998</v>
      </c>
      <c r="BA27" s="436">
        <v>190.36370776880003</v>
      </c>
      <c r="BB27" s="436">
        <v>192.79535142199998</v>
      </c>
      <c r="BC27" s="436">
        <v>190.22880498879999</v>
      </c>
      <c r="BD27" s="436">
        <v>199.1007554434</v>
      </c>
      <c r="BE27" s="436">
        <v>201.48615796489997</v>
      </c>
      <c r="BF27" s="436">
        <v>240.0386187</v>
      </c>
      <c r="BG27" s="436">
        <v>236.60507316599998</v>
      </c>
      <c r="BH27" s="436">
        <v>233.8183665544</v>
      </c>
      <c r="BI27" s="436">
        <v>232.86536036460001</v>
      </c>
      <c r="BJ27" s="436">
        <v>222.36638881499997</v>
      </c>
      <c r="BK27" s="436">
        <v>237.55416839999998</v>
      </c>
      <c r="BL27" s="436">
        <v>226.73996263000001</v>
      </c>
      <c r="BM27" s="436">
        <v>243.52150372</v>
      </c>
      <c r="BN27" s="436">
        <v>235.20743038524998</v>
      </c>
      <c r="BO27" s="436">
        <v>234.94317896000001</v>
      </c>
      <c r="BP27" s="436">
        <v>246.85239048</v>
      </c>
      <c r="BQ27" s="436">
        <v>238.83289897999995</v>
      </c>
      <c r="BR27" s="436">
        <v>238.23718378000001</v>
      </c>
      <c r="BS27" s="436">
        <v>242.02547070000003</v>
      </c>
      <c r="BT27" s="436">
        <v>281.36017123190999</v>
      </c>
      <c r="BU27" s="436">
        <v>233.26205171999999</v>
      </c>
      <c r="BV27" s="436">
        <v>223.61475667000002</v>
      </c>
      <c r="BW27" s="436">
        <v>224.39622494999998</v>
      </c>
      <c r="BX27" s="436">
        <v>235.83869653999997</v>
      </c>
      <c r="BY27" s="436">
        <v>232.04889793000001</v>
      </c>
      <c r="BZ27" s="436">
        <v>237.3</v>
      </c>
      <c r="CA27" s="436">
        <v>235.64973496999997</v>
      </c>
      <c r="CB27" s="436">
        <v>231.13577302000002</v>
      </c>
      <c r="CC27" s="436">
        <v>239.42636635000002</v>
      </c>
      <c r="CD27" s="436">
        <v>238.94853953280798</v>
      </c>
      <c r="CE27" s="436">
        <v>243.15800648000001</v>
      </c>
      <c r="CF27" s="436">
        <v>234.10488827270771</v>
      </c>
      <c r="CG27" s="436">
        <v>226.54181328858999</v>
      </c>
      <c r="CH27" s="436">
        <v>213.95242040521168</v>
      </c>
      <c r="CI27" s="436">
        <v>233.84193406841652</v>
      </c>
      <c r="CJ27" s="436">
        <v>235.38473750784399</v>
      </c>
      <c r="CK27" s="436">
        <v>247.05226537561902</v>
      </c>
      <c r="CL27" s="436">
        <v>238.09755187232236</v>
      </c>
      <c r="CM27" s="436">
        <v>244.24631655819704</v>
      </c>
      <c r="CN27" s="436">
        <v>240.59277677735736</v>
      </c>
      <c r="CO27" s="436">
        <v>240.18387720309801</v>
      </c>
      <c r="CP27" s="436">
        <v>237.31509417252502</v>
      </c>
      <c r="CQ27" s="436">
        <v>236.13402552341648</v>
      </c>
      <c r="CR27" s="436">
        <v>229.12621355739995</v>
      </c>
      <c r="CS27" s="436">
        <v>237.77774410023397</v>
      </c>
      <c r="CT27" s="436">
        <v>240.14683632467603</v>
      </c>
      <c r="CU27" s="436">
        <v>250.64360829185699</v>
      </c>
      <c r="CV27" s="436">
        <v>237.3238288733651</v>
      </c>
      <c r="CW27" s="436">
        <v>235.45631769599035</v>
      </c>
      <c r="CX27" s="436">
        <v>241.2083515181024</v>
      </c>
      <c r="CY27" s="436">
        <v>248.37719486737072</v>
      </c>
      <c r="CZ27" s="436">
        <v>248.777935416605</v>
      </c>
      <c r="DA27" s="436">
        <v>255.72849986560851</v>
      </c>
      <c r="DB27" s="439">
        <v>258.46664286352035</v>
      </c>
      <c r="DC27" s="439">
        <v>268.15224447709295</v>
      </c>
      <c r="DD27" s="439">
        <v>258.85357965145022</v>
      </c>
      <c r="DE27" s="439">
        <v>252.15356645662189</v>
      </c>
      <c r="DF27" s="439">
        <v>265.38474106099841</v>
      </c>
      <c r="DH27" s="430"/>
    </row>
    <row r="28" spans="1:112" ht="15.95" customHeight="1">
      <c r="A28" s="431" t="s">
        <v>296</v>
      </c>
      <c r="B28" s="432">
        <v>97.614408969999999</v>
      </c>
      <c r="C28" s="433">
        <v>102.61530317999998</v>
      </c>
      <c r="D28" s="433">
        <v>100.63026966999999</v>
      </c>
      <c r="E28" s="434">
        <v>102.4541332</v>
      </c>
      <c r="F28" s="433">
        <v>98.261361329999986</v>
      </c>
      <c r="G28" s="433">
        <v>104.39886517000001</v>
      </c>
      <c r="H28" s="433">
        <v>96.68848552</v>
      </c>
      <c r="I28" s="433">
        <v>94.396002659999994</v>
      </c>
      <c r="J28" s="433">
        <v>89.32269466999999</v>
      </c>
      <c r="K28" s="434">
        <v>81.484388158517987</v>
      </c>
      <c r="L28" s="433">
        <v>75.448553338173994</v>
      </c>
      <c r="M28" s="433">
        <v>81.411835095809991</v>
      </c>
      <c r="N28" s="433">
        <v>69.397369005400989</v>
      </c>
      <c r="O28" s="434">
        <v>68.996006079051995</v>
      </c>
      <c r="P28" s="433">
        <v>72.817767338860008</v>
      </c>
      <c r="Q28" s="433">
        <v>78.667016665579737</v>
      </c>
      <c r="R28" s="434">
        <v>97.081972062534604</v>
      </c>
      <c r="S28" s="433">
        <v>104.36980495326826</v>
      </c>
      <c r="T28" s="433">
        <v>115.9669075457704</v>
      </c>
      <c r="U28" s="435">
        <v>118.1064868258315</v>
      </c>
      <c r="V28" s="435">
        <v>115.329142452735</v>
      </c>
      <c r="W28" s="435">
        <v>112.71279911566002</v>
      </c>
      <c r="X28" s="435">
        <v>105.90337220691613</v>
      </c>
      <c r="Y28" s="435">
        <v>106.497880595642</v>
      </c>
      <c r="Z28" s="435">
        <v>119.02716917999999</v>
      </c>
      <c r="AA28" s="435">
        <v>125.65828155000001</v>
      </c>
      <c r="AB28" s="435">
        <v>126.07304412000001</v>
      </c>
      <c r="AC28" s="435">
        <v>148.01151609999999</v>
      </c>
      <c r="AD28" s="435">
        <v>155.50539436999998</v>
      </c>
      <c r="AE28" s="435">
        <v>147.91883977000001</v>
      </c>
      <c r="AF28" s="435">
        <v>137.37193866999999</v>
      </c>
      <c r="AG28" s="435">
        <v>138.02645962</v>
      </c>
      <c r="AH28" s="435">
        <v>120.93262728000001</v>
      </c>
      <c r="AI28" s="435">
        <v>115.23435868999999</v>
      </c>
      <c r="AJ28" s="435">
        <v>120.96642899</v>
      </c>
      <c r="AK28" s="435">
        <v>144.77964678999999</v>
      </c>
      <c r="AL28" s="435">
        <v>166.28851318</v>
      </c>
      <c r="AM28" s="438">
        <v>155.64705203</v>
      </c>
      <c r="AN28" s="438">
        <v>159.43504797000003</v>
      </c>
      <c r="AO28" s="438">
        <v>151.59736138999997</v>
      </c>
      <c r="AP28" s="438">
        <v>162.76476494720001</v>
      </c>
      <c r="AQ28" s="438">
        <v>175.5978102096</v>
      </c>
      <c r="AR28" s="432">
        <v>149.589691042</v>
      </c>
      <c r="AS28" s="432">
        <v>154.38243273</v>
      </c>
      <c r="AT28" s="432">
        <v>142.1745302052</v>
      </c>
      <c r="AU28" s="432">
        <v>142.09732212081599</v>
      </c>
      <c r="AV28" s="432">
        <v>146.78131220914</v>
      </c>
      <c r="AW28" s="436">
        <v>148.30031303519601</v>
      </c>
      <c r="AX28" s="436">
        <v>149.59228796914999</v>
      </c>
      <c r="AY28" s="436">
        <v>144.36546618389499</v>
      </c>
      <c r="AZ28" s="436">
        <v>145.10835226846902</v>
      </c>
      <c r="BA28" s="436">
        <v>151.332670290512</v>
      </c>
      <c r="BB28" s="436">
        <v>133.33978002792</v>
      </c>
      <c r="BC28" s="436">
        <v>166.03203548303097</v>
      </c>
      <c r="BD28" s="436">
        <v>178.78367809125101</v>
      </c>
      <c r="BE28" s="436">
        <v>225.96230681309402</v>
      </c>
      <c r="BF28" s="436">
        <v>227.16183024827802</v>
      </c>
      <c r="BG28" s="436">
        <v>228.466386159861</v>
      </c>
      <c r="BH28" s="436">
        <v>231.975137686571</v>
      </c>
      <c r="BI28" s="436">
        <v>220.78901456923998</v>
      </c>
      <c r="BJ28" s="436">
        <v>273.459613137948</v>
      </c>
      <c r="BK28" s="436">
        <v>242.30585754926801</v>
      </c>
      <c r="BL28" s="436">
        <v>241.97609148436001</v>
      </c>
      <c r="BM28" s="436">
        <v>264.13208734438797</v>
      </c>
      <c r="BN28" s="436">
        <v>321.51504282691394</v>
      </c>
      <c r="BO28" s="436">
        <v>312.21540729697</v>
      </c>
      <c r="BP28" s="436">
        <v>311.20258982125802</v>
      </c>
      <c r="BQ28" s="436">
        <v>155.43094604219999</v>
      </c>
      <c r="BR28" s="436">
        <v>234.17691871757603</v>
      </c>
      <c r="BS28" s="436">
        <v>176.49389632339202</v>
      </c>
      <c r="BT28" s="436">
        <v>158.48801209582498</v>
      </c>
      <c r="BU28" s="436">
        <v>192.56512307616799</v>
      </c>
      <c r="BV28" s="436">
        <v>182.60654381780202</v>
      </c>
      <c r="BW28" s="436">
        <v>239.76565439396501</v>
      </c>
      <c r="BX28" s="436">
        <v>233.75830020199999</v>
      </c>
      <c r="BY28" s="436">
        <v>228.1199880129</v>
      </c>
      <c r="BZ28" s="436">
        <v>307.10000000000002</v>
      </c>
      <c r="CA28" s="436">
        <v>279.69326941025304</v>
      </c>
      <c r="CB28" s="436">
        <v>163.05112389999999</v>
      </c>
      <c r="CC28" s="436">
        <v>157.77436983561</v>
      </c>
      <c r="CD28" s="436">
        <v>101.504619756536</v>
      </c>
      <c r="CE28" s="436">
        <v>94.444437270082744</v>
      </c>
      <c r="CF28" s="436">
        <v>103.94835462019299</v>
      </c>
      <c r="CG28" s="436">
        <v>90.655576233880012</v>
      </c>
      <c r="CH28" s="436">
        <v>106.57304295735817</v>
      </c>
      <c r="CI28" s="436">
        <v>219.18467607100317</v>
      </c>
      <c r="CJ28" s="436">
        <v>100.46505482277</v>
      </c>
      <c r="CK28" s="436">
        <v>89.28311561999999</v>
      </c>
      <c r="CL28" s="436">
        <v>89.054852999999994</v>
      </c>
      <c r="CM28" s="436">
        <v>92.464651038802998</v>
      </c>
      <c r="CN28" s="436">
        <v>91.468189580000001</v>
      </c>
      <c r="CO28" s="436">
        <v>91.641846270000002</v>
      </c>
      <c r="CP28" s="436">
        <v>88.927837643325006</v>
      </c>
      <c r="CQ28" s="436">
        <v>83.293491148742987</v>
      </c>
      <c r="CR28" s="436">
        <v>86.37146728148501</v>
      </c>
      <c r="CS28" s="436">
        <v>84.604642524098864</v>
      </c>
      <c r="CT28" s="436">
        <v>78.325160029454892</v>
      </c>
      <c r="CU28" s="436">
        <v>76.659233949262713</v>
      </c>
      <c r="CV28" s="436">
        <v>95.28988166783536</v>
      </c>
      <c r="CW28" s="436">
        <v>80.692297490560861</v>
      </c>
      <c r="CX28" s="436">
        <v>75.559578036523376</v>
      </c>
      <c r="CY28" s="436">
        <v>74.012151978450106</v>
      </c>
      <c r="CZ28" s="436">
        <v>77.740551126647702</v>
      </c>
      <c r="DA28" s="436">
        <v>74.174897989999991</v>
      </c>
      <c r="DB28" s="439">
        <v>74.180511122816867</v>
      </c>
      <c r="DC28" s="439">
        <v>74.911465481918825</v>
      </c>
      <c r="DD28" s="439">
        <v>78.385737314623597</v>
      </c>
      <c r="DE28" s="439">
        <v>77.681668107964796</v>
      </c>
      <c r="DF28" s="439">
        <v>170.95752902302027</v>
      </c>
      <c r="DH28" s="430"/>
    </row>
    <row r="29" spans="1:112" ht="15.95" customHeight="1">
      <c r="A29" s="431" t="s">
        <v>297</v>
      </c>
      <c r="B29" s="432">
        <v>166.19704274497298</v>
      </c>
      <c r="C29" s="433">
        <v>172.17080784207999</v>
      </c>
      <c r="D29" s="433">
        <v>179.12270492087004</v>
      </c>
      <c r="E29" s="434">
        <v>180.71681740500003</v>
      </c>
      <c r="F29" s="433">
        <v>170.08206123760999</v>
      </c>
      <c r="G29" s="433">
        <v>168.39414530846761</v>
      </c>
      <c r="H29" s="433">
        <v>175.04574935152002</v>
      </c>
      <c r="I29" s="433">
        <v>142.68633977999997</v>
      </c>
      <c r="J29" s="433">
        <v>149.98749404</v>
      </c>
      <c r="K29" s="434">
        <v>167.39403020999998</v>
      </c>
      <c r="L29" s="433">
        <v>173.93170000999999</v>
      </c>
      <c r="M29" s="433">
        <v>166.93003911000002</v>
      </c>
      <c r="N29" s="433">
        <v>164.45018951000003</v>
      </c>
      <c r="O29" s="434">
        <v>169.52541997999998</v>
      </c>
      <c r="P29" s="433">
        <v>164.11554416999999</v>
      </c>
      <c r="Q29" s="433">
        <v>158.92107231</v>
      </c>
      <c r="R29" s="434">
        <v>157.57832245000003</v>
      </c>
      <c r="S29" s="433">
        <v>159.66678271999999</v>
      </c>
      <c r="T29" s="433">
        <v>158.43417059000001</v>
      </c>
      <c r="U29" s="435">
        <v>148.98419639999997</v>
      </c>
      <c r="V29" s="435">
        <v>145.69541749000001</v>
      </c>
      <c r="W29" s="435">
        <v>151.70839975999999</v>
      </c>
      <c r="X29" s="435">
        <v>154.88993690999999</v>
      </c>
      <c r="Y29" s="435">
        <v>156.73571521</v>
      </c>
      <c r="Z29" s="435">
        <v>158.66221405999997</v>
      </c>
      <c r="AA29" s="435">
        <v>166.25601868999999</v>
      </c>
      <c r="AB29" s="435">
        <v>203.69923205000001</v>
      </c>
      <c r="AC29" s="435">
        <v>222.09392018</v>
      </c>
      <c r="AD29" s="435">
        <v>221.21474542000001</v>
      </c>
      <c r="AE29" s="435">
        <v>229.97076128999998</v>
      </c>
      <c r="AF29" s="435">
        <v>219.86278774000002</v>
      </c>
      <c r="AG29" s="435">
        <v>206.73097761</v>
      </c>
      <c r="AH29" s="435">
        <v>207.45089675</v>
      </c>
      <c r="AI29" s="435">
        <v>228.74573941999998</v>
      </c>
      <c r="AJ29" s="435">
        <v>235.40451213999998</v>
      </c>
      <c r="AK29" s="435">
        <v>248.82441001000001</v>
      </c>
      <c r="AL29" s="435">
        <v>240.50498970999999</v>
      </c>
      <c r="AM29" s="438">
        <v>237.53441811000002</v>
      </c>
      <c r="AN29" s="438">
        <v>237.93872151160198</v>
      </c>
      <c r="AO29" s="438">
        <v>234.29789789324701</v>
      </c>
      <c r="AP29" s="438">
        <v>236.76174675454897</v>
      </c>
      <c r="AQ29" s="438">
        <v>232.39989971261201</v>
      </c>
      <c r="AR29" s="432">
        <v>234.41904848554404</v>
      </c>
      <c r="AS29" s="432">
        <v>226.38333418600001</v>
      </c>
      <c r="AT29" s="432">
        <v>234.40558189483201</v>
      </c>
      <c r="AU29" s="432">
        <v>228.90864242174399</v>
      </c>
      <c r="AV29" s="432">
        <v>242.15599978544</v>
      </c>
      <c r="AW29" s="436">
        <v>237.31196294</v>
      </c>
      <c r="AX29" s="436">
        <v>222.030499754</v>
      </c>
      <c r="AY29" s="436">
        <v>210.6999863307</v>
      </c>
      <c r="AZ29" s="436">
        <v>210.64698154450002</v>
      </c>
      <c r="BA29" s="436">
        <v>214.69306681180001</v>
      </c>
      <c r="BB29" s="436">
        <v>211.62983704960001</v>
      </c>
      <c r="BC29" s="436">
        <v>212.70703092239998</v>
      </c>
      <c r="BD29" s="436">
        <v>203.26102331419997</v>
      </c>
      <c r="BE29" s="436">
        <v>196.8062958955</v>
      </c>
      <c r="BF29" s="436">
        <v>196.95560420499999</v>
      </c>
      <c r="BG29" s="436">
        <v>203.14865280199999</v>
      </c>
      <c r="BH29" s="436">
        <v>205.22739991490002</v>
      </c>
      <c r="BI29" s="436">
        <v>203.74167113570002</v>
      </c>
      <c r="BJ29" s="436">
        <v>201.1387947593</v>
      </c>
      <c r="BK29" s="436">
        <v>199.17181670080001</v>
      </c>
      <c r="BL29" s="436">
        <v>203.9138402696</v>
      </c>
      <c r="BM29" s="436">
        <v>204.63651916440003</v>
      </c>
      <c r="BN29" s="436">
        <v>187.30917504936059</v>
      </c>
      <c r="BO29" s="436">
        <v>197.30556455520002</v>
      </c>
      <c r="BP29" s="436">
        <v>190.96195821379999</v>
      </c>
      <c r="BQ29" s="436">
        <v>190.21708224679998</v>
      </c>
      <c r="BR29" s="436">
        <v>204.50356904449998</v>
      </c>
      <c r="BS29" s="436">
        <v>204.16064116319998</v>
      </c>
      <c r="BT29" s="436">
        <v>202.40325971591045</v>
      </c>
      <c r="BU29" s="436">
        <v>191.91422424306998</v>
      </c>
      <c r="BV29" s="436">
        <v>198.93572764233602</v>
      </c>
      <c r="BW29" s="436">
        <v>186.67733187299996</v>
      </c>
      <c r="BX29" s="436">
        <v>186.13670978050001</v>
      </c>
      <c r="BY29" s="436">
        <v>170.72531497759999</v>
      </c>
      <c r="BZ29" s="436">
        <v>174.2</v>
      </c>
      <c r="CA29" s="436">
        <v>175.72022050890001</v>
      </c>
      <c r="CB29" s="436">
        <v>172.9238295376</v>
      </c>
      <c r="CC29" s="436">
        <v>151.24261553140002</v>
      </c>
      <c r="CD29" s="436">
        <v>147.76887805701799</v>
      </c>
      <c r="CE29" s="436">
        <v>150.49005479997493</v>
      </c>
      <c r="CF29" s="436">
        <v>151.04853066215151</v>
      </c>
      <c r="CG29" s="436">
        <v>153.8064803165</v>
      </c>
      <c r="CH29" s="436">
        <v>147.176259327541</v>
      </c>
      <c r="CI29" s="436">
        <v>154.8723973091775</v>
      </c>
      <c r="CJ29" s="436">
        <v>152.72713881596999</v>
      </c>
      <c r="CK29" s="436">
        <v>144.51623770646103</v>
      </c>
      <c r="CL29" s="436">
        <v>144.85359327990568</v>
      </c>
      <c r="CM29" s="436">
        <v>146.01853128330151</v>
      </c>
      <c r="CN29" s="436">
        <v>149.53044461211601</v>
      </c>
      <c r="CO29" s="436">
        <v>143.01418972859099</v>
      </c>
      <c r="CP29" s="436">
        <v>146.05616104077501</v>
      </c>
      <c r="CQ29" s="436">
        <v>153.39006734371299</v>
      </c>
      <c r="CR29" s="436">
        <v>157.48527970151002</v>
      </c>
      <c r="CS29" s="436">
        <v>154.73402935232829</v>
      </c>
      <c r="CT29" s="436">
        <v>156.30114293017243</v>
      </c>
      <c r="CU29" s="436">
        <v>153.12732666375427</v>
      </c>
      <c r="CV29" s="436">
        <v>153.20968241351756</v>
      </c>
      <c r="CW29" s="436">
        <v>154.62467975861063</v>
      </c>
      <c r="CX29" s="436">
        <v>153.88933391233158</v>
      </c>
      <c r="CY29" s="436">
        <v>149.91052194756287</v>
      </c>
      <c r="CZ29" s="436">
        <v>147.61246405443111</v>
      </c>
      <c r="DA29" s="436">
        <v>147.46936847641601</v>
      </c>
      <c r="DB29" s="439">
        <v>146.0543154212904</v>
      </c>
      <c r="DC29" s="439">
        <v>147.20626726667223</v>
      </c>
      <c r="DD29" s="439">
        <v>149.97467618072361</v>
      </c>
      <c r="DE29" s="439">
        <v>149.20641940096641</v>
      </c>
      <c r="DF29" s="439">
        <v>148.79178085881293</v>
      </c>
      <c r="DH29" s="430"/>
    </row>
    <row r="30" spans="1:112" ht="15.95" customHeight="1">
      <c r="A30" s="431" t="s">
        <v>298</v>
      </c>
      <c r="B30" s="432">
        <v>107.05617068000001</v>
      </c>
      <c r="C30" s="433">
        <v>108.93011505999999</v>
      </c>
      <c r="D30" s="433">
        <v>113.39572072</v>
      </c>
      <c r="E30" s="434">
        <v>113.43588736000001</v>
      </c>
      <c r="F30" s="433">
        <v>112.66284388</v>
      </c>
      <c r="G30" s="433">
        <v>100.35393292999997</v>
      </c>
      <c r="H30" s="433">
        <v>90.524277550000008</v>
      </c>
      <c r="I30" s="433">
        <v>90.827012930000009</v>
      </c>
      <c r="J30" s="433">
        <v>88.998793969999994</v>
      </c>
      <c r="K30" s="434">
        <v>93.634986659999996</v>
      </c>
      <c r="L30" s="433">
        <v>95.818290009999984</v>
      </c>
      <c r="M30" s="433">
        <v>90.924419810000003</v>
      </c>
      <c r="N30" s="433">
        <v>89.465531080000019</v>
      </c>
      <c r="O30" s="434">
        <v>87.017192260000002</v>
      </c>
      <c r="P30" s="433">
        <v>97.94841670000001</v>
      </c>
      <c r="Q30" s="433">
        <v>94.414618800000014</v>
      </c>
      <c r="R30" s="434">
        <v>103.72423058</v>
      </c>
      <c r="S30" s="433">
        <v>104.63281302999999</v>
      </c>
      <c r="T30" s="433">
        <v>104.79314769</v>
      </c>
      <c r="U30" s="435">
        <v>107.6631656</v>
      </c>
      <c r="V30" s="435">
        <v>111.43260396000001</v>
      </c>
      <c r="W30" s="435">
        <v>114.40807389999999</v>
      </c>
      <c r="X30" s="435">
        <v>115.29542647999999</v>
      </c>
      <c r="Y30" s="435">
        <v>115.11089678</v>
      </c>
      <c r="Z30" s="435">
        <v>118.30599309</v>
      </c>
      <c r="AA30" s="435">
        <v>121.27700214000002</v>
      </c>
      <c r="AB30" s="435">
        <v>135.58144806999999</v>
      </c>
      <c r="AC30" s="435">
        <v>142.86493009999998</v>
      </c>
      <c r="AD30" s="435">
        <v>169.72970027</v>
      </c>
      <c r="AE30" s="435">
        <v>175.88312285000001</v>
      </c>
      <c r="AF30" s="435">
        <v>173.10405279</v>
      </c>
      <c r="AG30" s="435">
        <v>170.34762260000002</v>
      </c>
      <c r="AH30" s="435">
        <v>160.21634463000001</v>
      </c>
      <c r="AI30" s="435">
        <v>69.774889770000016</v>
      </c>
      <c r="AJ30" s="435">
        <v>68.284423019999991</v>
      </c>
      <c r="AK30" s="435">
        <v>71.220660969999997</v>
      </c>
      <c r="AL30" s="435">
        <v>69.166733960000002</v>
      </c>
      <c r="AM30" s="438">
        <v>70.189227939999995</v>
      </c>
      <c r="AN30" s="438">
        <v>72.921444230000006</v>
      </c>
      <c r="AO30" s="438">
        <v>72.971721670000008</v>
      </c>
      <c r="AP30" s="438">
        <v>73.985624639999997</v>
      </c>
      <c r="AQ30" s="438">
        <v>94.544895410000009</v>
      </c>
      <c r="AR30" s="432">
        <v>126.34180978000001</v>
      </c>
      <c r="AS30" s="432">
        <v>128.09277563000001</v>
      </c>
      <c r="AT30" s="432">
        <v>129.84127587</v>
      </c>
      <c r="AU30" s="432">
        <v>132.82563729</v>
      </c>
      <c r="AV30" s="432">
        <v>135.14218713</v>
      </c>
      <c r="AW30" s="436">
        <v>137.93477261000001</v>
      </c>
      <c r="AX30" s="436">
        <v>136.91163017000002</v>
      </c>
      <c r="AY30" s="436">
        <v>148.69408185000003</v>
      </c>
      <c r="AZ30" s="436">
        <v>142.45097073000002</v>
      </c>
      <c r="BA30" s="436">
        <v>123.94744793</v>
      </c>
      <c r="BB30" s="436">
        <v>121.95530051000001</v>
      </c>
      <c r="BC30" s="436">
        <v>122.74004037</v>
      </c>
      <c r="BD30" s="436">
        <v>134.92717345</v>
      </c>
      <c r="BE30" s="436">
        <v>145.6838238</v>
      </c>
      <c r="BF30" s="436">
        <v>150.76304543000001</v>
      </c>
      <c r="BG30" s="436">
        <v>148.29760101999997</v>
      </c>
      <c r="BH30" s="436">
        <v>143.33968397000004</v>
      </c>
      <c r="BI30" s="436">
        <v>141.68004776999999</v>
      </c>
      <c r="BJ30" s="436">
        <v>145.97479647000003</v>
      </c>
      <c r="BK30" s="436">
        <v>140.78666691000001</v>
      </c>
      <c r="BL30" s="436">
        <v>134.30451740999999</v>
      </c>
      <c r="BM30" s="436">
        <v>101.19061445</v>
      </c>
      <c r="BN30" s="436">
        <v>95.298990035000003</v>
      </c>
      <c r="BO30" s="436">
        <v>93.261003739999992</v>
      </c>
      <c r="BP30" s="436">
        <v>101.6658759645</v>
      </c>
      <c r="BQ30" s="436">
        <v>106.93296581</v>
      </c>
      <c r="BR30" s="436">
        <v>107.00747396509999</v>
      </c>
      <c r="BS30" s="436">
        <v>106.97144995279999</v>
      </c>
      <c r="BT30" s="436">
        <v>99.167376590000003</v>
      </c>
      <c r="BU30" s="436">
        <v>101.09709640999999</v>
      </c>
      <c r="BV30" s="436">
        <v>119.36422509293199</v>
      </c>
      <c r="BW30" s="436">
        <v>140.93557837685498</v>
      </c>
      <c r="BX30" s="436">
        <v>135.07382787749998</v>
      </c>
      <c r="BY30" s="436">
        <v>122.99443790000001</v>
      </c>
      <c r="BZ30" s="436">
        <v>128.1</v>
      </c>
      <c r="CA30" s="436">
        <v>137.3546411996</v>
      </c>
      <c r="CB30" s="436">
        <v>169.12147708320001</v>
      </c>
      <c r="CC30" s="436">
        <v>190.72459717737001</v>
      </c>
      <c r="CD30" s="436">
        <v>180.44956415000001</v>
      </c>
      <c r="CE30" s="436">
        <v>174.68730865236961</v>
      </c>
      <c r="CF30" s="436">
        <v>190.66209004645998</v>
      </c>
      <c r="CG30" s="436">
        <v>184.70920149082335</v>
      </c>
      <c r="CH30" s="436">
        <v>183.93004421749197</v>
      </c>
      <c r="CI30" s="436">
        <v>162.67965234715564</v>
      </c>
      <c r="CJ30" s="436">
        <v>185.53134688473202</v>
      </c>
      <c r="CK30" s="436">
        <v>189.60304870303099</v>
      </c>
      <c r="CL30" s="436">
        <v>180.33724069675984</v>
      </c>
      <c r="CM30" s="436">
        <v>171.552213982414</v>
      </c>
      <c r="CN30" s="436">
        <v>200.69722438833335</v>
      </c>
      <c r="CO30" s="436">
        <v>189.94621802061098</v>
      </c>
      <c r="CP30" s="436">
        <v>212.01689140925001</v>
      </c>
      <c r="CQ30" s="436">
        <v>230.7074109253555</v>
      </c>
      <c r="CR30" s="436">
        <v>219.75381403593502</v>
      </c>
      <c r="CS30" s="436">
        <v>207.3773747911886</v>
      </c>
      <c r="CT30" s="436">
        <v>212.71430301606202</v>
      </c>
      <c r="CU30" s="436">
        <v>204.04919331571153</v>
      </c>
      <c r="CV30" s="436">
        <v>208.85902242130322</v>
      </c>
      <c r="CW30" s="436">
        <v>203.35630842974692</v>
      </c>
      <c r="CX30" s="436">
        <v>216.33333592894729</v>
      </c>
      <c r="CY30" s="436">
        <v>217.50065759838878</v>
      </c>
      <c r="CZ30" s="436">
        <v>204.99283890157344</v>
      </c>
      <c r="DA30" s="436">
        <v>201.56493766462546</v>
      </c>
      <c r="DB30" s="439">
        <v>191.37446692838139</v>
      </c>
      <c r="DC30" s="439">
        <v>195.9792965428056</v>
      </c>
      <c r="DD30" s="439">
        <v>191.17219434187692</v>
      </c>
      <c r="DE30" s="439">
        <v>183.483586938624</v>
      </c>
      <c r="DF30" s="439">
        <v>195.84589353909578</v>
      </c>
      <c r="DH30" s="430"/>
    </row>
    <row r="31" spans="1:112" ht="15.95" customHeight="1">
      <c r="A31" s="431" t="s">
        <v>299</v>
      </c>
      <c r="B31" s="432">
        <v>51.244430170000001</v>
      </c>
      <c r="C31" s="433">
        <v>52.259572419999991</v>
      </c>
      <c r="D31" s="433">
        <v>55.850058779999998</v>
      </c>
      <c r="E31" s="434">
        <v>64.938542740000003</v>
      </c>
      <c r="F31" s="433">
        <v>57.690338689999997</v>
      </c>
      <c r="G31" s="433">
        <v>60.792891959999999</v>
      </c>
      <c r="H31" s="433">
        <v>57.187647950000006</v>
      </c>
      <c r="I31" s="433">
        <v>57.002124610000003</v>
      </c>
      <c r="J31" s="433">
        <v>52.75685172</v>
      </c>
      <c r="K31" s="434">
        <v>50.617907880000004</v>
      </c>
      <c r="L31" s="433">
        <v>50.973789340000003</v>
      </c>
      <c r="M31" s="433">
        <v>53.15350952</v>
      </c>
      <c r="N31" s="433">
        <v>52.918427860000001</v>
      </c>
      <c r="O31" s="434">
        <v>51.789400890000003</v>
      </c>
      <c r="P31" s="433">
        <v>54.673898159999993</v>
      </c>
      <c r="Q31" s="433">
        <v>58.030201310000002</v>
      </c>
      <c r="R31" s="434">
        <v>52.78444219</v>
      </c>
      <c r="S31" s="433">
        <v>50.81987359</v>
      </c>
      <c r="T31" s="433">
        <v>50.275459620000007</v>
      </c>
      <c r="U31" s="435">
        <v>52.116784420000002</v>
      </c>
      <c r="V31" s="435">
        <v>70.011760819999992</v>
      </c>
      <c r="W31" s="435">
        <v>72.804523000000003</v>
      </c>
      <c r="X31" s="435">
        <v>71.0182681</v>
      </c>
      <c r="Y31" s="435">
        <v>75.792336219999996</v>
      </c>
      <c r="Z31" s="435">
        <v>74.007369260000004</v>
      </c>
      <c r="AA31" s="435">
        <v>75.371005949999997</v>
      </c>
      <c r="AB31" s="435">
        <v>75.791591480000008</v>
      </c>
      <c r="AC31" s="435">
        <v>76.099601019999994</v>
      </c>
      <c r="AD31" s="435">
        <v>80.89745090000001</v>
      </c>
      <c r="AE31" s="435">
        <v>84.26285489</v>
      </c>
      <c r="AF31" s="435">
        <v>79.066404750000004</v>
      </c>
      <c r="AG31" s="435">
        <v>76.952264539999987</v>
      </c>
      <c r="AH31" s="435">
        <v>73.470780099999999</v>
      </c>
      <c r="AI31" s="435">
        <v>72.317518210000003</v>
      </c>
      <c r="AJ31" s="435">
        <v>71.387064080000002</v>
      </c>
      <c r="AK31" s="435">
        <v>77.403741479999994</v>
      </c>
      <c r="AL31" s="435">
        <v>80.801302740000011</v>
      </c>
      <c r="AM31" s="438">
        <v>103.04885627050001</v>
      </c>
      <c r="AN31" s="438">
        <v>101.03159974</v>
      </c>
      <c r="AO31" s="438">
        <v>101.11206374805001</v>
      </c>
      <c r="AP31" s="438">
        <v>99.920416457800002</v>
      </c>
      <c r="AQ31" s="438">
        <v>103.72492347599999</v>
      </c>
      <c r="AR31" s="432">
        <v>100.04347389719999</v>
      </c>
      <c r="AS31" s="432">
        <v>97.498390549999982</v>
      </c>
      <c r="AT31" s="432">
        <v>88.57160101720001</v>
      </c>
      <c r="AU31" s="432">
        <v>85.758259624899992</v>
      </c>
      <c r="AV31" s="432">
        <v>88.088845417999991</v>
      </c>
      <c r="AW31" s="436">
        <v>83.108534426000006</v>
      </c>
      <c r="AX31" s="436">
        <v>81.602117080399992</v>
      </c>
      <c r="AY31" s="436">
        <v>96.570214322500007</v>
      </c>
      <c r="AZ31" s="436">
        <v>100.32021284420001</v>
      </c>
      <c r="BA31" s="436">
        <v>103.4731487116</v>
      </c>
      <c r="BB31" s="436">
        <v>106.7594048097</v>
      </c>
      <c r="BC31" s="436">
        <v>101.09695687239999</v>
      </c>
      <c r="BD31" s="436">
        <v>89.513401830199996</v>
      </c>
      <c r="BE31" s="436">
        <v>90.987898324099987</v>
      </c>
      <c r="BF31" s="436">
        <v>73.457811110000009</v>
      </c>
      <c r="BG31" s="436">
        <v>81.837080082</v>
      </c>
      <c r="BH31" s="436">
        <v>87.269428949000002</v>
      </c>
      <c r="BI31" s="436">
        <v>94.546593384399998</v>
      </c>
      <c r="BJ31" s="436">
        <v>97.070399299599998</v>
      </c>
      <c r="BK31" s="436">
        <v>88.831011635099998</v>
      </c>
      <c r="BL31" s="436">
        <v>111.79761309450001</v>
      </c>
      <c r="BM31" s="436">
        <v>83.810003458400004</v>
      </c>
      <c r="BN31" s="436">
        <v>72.488846315455191</v>
      </c>
      <c r="BO31" s="436">
        <v>65.051982602799995</v>
      </c>
      <c r="BP31" s="436">
        <v>62.706798494200001</v>
      </c>
      <c r="BQ31" s="436">
        <v>56.307619406699999</v>
      </c>
      <c r="BR31" s="436">
        <v>55.847667190599999</v>
      </c>
      <c r="BS31" s="436">
        <v>60.101927183999997</v>
      </c>
      <c r="BT31" s="436">
        <v>59.37408370464</v>
      </c>
      <c r="BU31" s="436">
        <v>58.578465504831996</v>
      </c>
      <c r="BV31" s="436">
        <v>58.771804737976005</v>
      </c>
      <c r="BW31" s="436">
        <v>56.812968732910008</v>
      </c>
      <c r="BX31" s="436">
        <v>53.268025104499998</v>
      </c>
      <c r="BY31" s="436">
        <v>63.678511868399994</v>
      </c>
      <c r="BZ31" s="436">
        <v>60.8</v>
      </c>
      <c r="CA31" s="436">
        <v>63.449577165699992</v>
      </c>
      <c r="CB31" s="436">
        <v>65.775833495599997</v>
      </c>
      <c r="CC31" s="436">
        <v>55.707913117559997</v>
      </c>
      <c r="CD31" s="436">
        <v>55.460364584503999</v>
      </c>
      <c r="CE31" s="436">
        <v>57.715432643515427</v>
      </c>
      <c r="CF31" s="436">
        <v>65.822877396079335</v>
      </c>
      <c r="CG31" s="436">
        <v>61.149913132750001</v>
      </c>
      <c r="CH31" s="436">
        <v>62.690629086446492</v>
      </c>
      <c r="CI31" s="436">
        <v>59.540902473701507</v>
      </c>
      <c r="CJ31" s="436">
        <v>60.721167989892002</v>
      </c>
      <c r="CK31" s="436">
        <v>61.232735219925999</v>
      </c>
      <c r="CL31" s="436">
        <v>56.305574611556999</v>
      </c>
      <c r="CM31" s="436">
        <v>59.155351571200001</v>
      </c>
      <c r="CN31" s="436">
        <v>61.881898985633335</v>
      </c>
      <c r="CO31" s="436">
        <v>59.018678339357997</v>
      </c>
      <c r="CP31" s="436">
        <v>61.782659743824993</v>
      </c>
      <c r="CQ31" s="436">
        <v>59.376520035877576</v>
      </c>
      <c r="CR31" s="436">
        <v>57.075425318355158</v>
      </c>
      <c r="CS31" s="436">
        <v>56.524977312472998</v>
      </c>
      <c r="CT31" s="436">
        <v>58.02565279372849</v>
      </c>
      <c r="CU31" s="436">
        <v>61.08911059853363</v>
      </c>
      <c r="CV31" s="436">
        <v>57.740576343036395</v>
      </c>
      <c r="CW31" s="436">
        <v>66.188946406192088</v>
      </c>
      <c r="CX31" s="436">
        <v>57.945527815372387</v>
      </c>
      <c r="CY31" s="436">
        <v>63.953598953473104</v>
      </c>
      <c r="CZ31" s="436">
        <v>66.558794424839789</v>
      </c>
      <c r="DA31" s="436">
        <v>64.627054264546928</v>
      </c>
      <c r="DB31" s="439">
        <v>71.116894091025685</v>
      </c>
      <c r="DC31" s="439">
        <v>71.378071404544997</v>
      </c>
      <c r="DD31" s="439">
        <v>70.375754979827093</v>
      </c>
      <c r="DE31" s="439">
        <v>74.329612756589114</v>
      </c>
      <c r="DF31" s="439">
        <v>74.541864790504505</v>
      </c>
      <c r="DH31" s="430"/>
    </row>
    <row r="32" spans="1:112" ht="15.95" customHeight="1">
      <c r="A32" s="431" t="s">
        <v>300</v>
      </c>
      <c r="B32" s="432">
        <v>137.22029699999999</v>
      </c>
      <c r="C32" s="433">
        <v>150.77954341</v>
      </c>
      <c r="D32" s="433">
        <v>155.00799566000001</v>
      </c>
      <c r="E32" s="434">
        <v>147.51578659</v>
      </c>
      <c r="F32" s="433">
        <v>138.49188716</v>
      </c>
      <c r="G32" s="433">
        <v>139.75762038000002</v>
      </c>
      <c r="H32" s="433">
        <v>146.47286763</v>
      </c>
      <c r="I32" s="433">
        <v>160.47393908999999</v>
      </c>
      <c r="J32" s="433">
        <v>152.11909307999997</v>
      </c>
      <c r="K32" s="434">
        <v>150.24947868999999</v>
      </c>
      <c r="L32" s="433">
        <v>145.54792584</v>
      </c>
      <c r="M32" s="433">
        <v>145.53761368000002</v>
      </c>
      <c r="N32" s="433">
        <v>131.09612285</v>
      </c>
      <c r="O32" s="434">
        <v>135.01779162</v>
      </c>
      <c r="P32" s="433">
        <v>186.80955642739201</v>
      </c>
      <c r="Q32" s="433">
        <v>191.99598179079999</v>
      </c>
      <c r="R32" s="434">
        <v>198.23690170609999</v>
      </c>
      <c r="S32" s="433">
        <v>196.62209035220002</v>
      </c>
      <c r="T32" s="433">
        <v>192.70914635999998</v>
      </c>
      <c r="U32" s="435">
        <v>208.26788869524802</v>
      </c>
      <c r="V32" s="435">
        <v>208.90080498292198</v>
      </c>
      <c r="W32" s="435">
        <v>214.59797326069997</v>
      </c>
      <c r="X32" s="435">
        <v>205.83065559184203</v>
      </c>
      <c r="Y32" s="435">
        <v>204.08373970267499</v>
      </c>
      <c r="Z32" s="435">
        <v>198.62210499682402</v>
      </c>
      <c r="AA32" s="435">
        <v>204.67757639345797</v>
      </c>
      <c r="AB32" s="435">
        <v>197.09025105275003</v>
      </c>
      <c r="AC32" s="435">
        <v>196.51090954755301</v>
      </c>
      <c r="AD32" s="435">
        <v>202.63536832102901</v>
      </c>
      <c r="AE32" s="435">
        <v>201.05450663677868</v>
      </c>
      <c r="AF32" s="435">
        <v>206.01312511168751</v>
      </c>
      <c r="AG32" s="435">
        <v>214.68709359682001</v>
      </c>
      <c r="AH32" s="435">
        <v>199.77982239619999</v>
      </c>
      <c r="AI32" s="435">
        <v>218.47805708356799</v>
      </c>
      <c r="AJ32" s="435">
        <v>205.72549899401599</v>
      </c>
      <c r="AK32" s="435">
        <v>205.96792474167</v>
      </c>
      <c r="AL32" s="435">
        <v>198.92989336639999</v>
      </c>
      <c r="AM32" s="438">
        <v>198.35554558512001</v>
      </c>
      <c r="AN32" s="438">
        <v>202.11933296262799</v>
      </c>
      <c r="AO32" s="438">
        <v>189.88258895100404</v>
      </c>
      <c r="AP32" s="438">
        <v>178.39323592220498</v>
      </c>
      <c r="AQ32" s="438">
        <v>181.692723829774</v>
      </c>
      <c r="AR32" s="432">
        <v>188.77173291461997</v>
      </c>
      <c r="AS32" s="432">
        <v>197.94253344000001</v>
      </c>
      <c r="AT32" s="432">
        <v>188.270279378016</v>
      </c>
      <c r="AU32" s="432">
        <v>196.19810038999998</v>
      </c>
      <c r="AV32" s="432">
        <v>180.07128118</v>
      </c>
      <c r="AW32" s="436">
        <v>172.62117612</v>
      </c>
      <c r="AX32" s="436">
        <v>166.05414146999999</v>
      </c>
      <c r="AY32" s="436">
        <v>170.11233213</v>
      </c>
      <c r="AZ32" s="436">
        <v>178.84907192000003</v>
      </c>
      <c r="BA32" s="436">
        <v>171.59122252999998</v>
      </c>
      <c r="BB32" s="436">
        <v>169.97594788999999</v>
      </c>
      <c r="BC32" s="436">
        <v>167.26369274000001</v>
      </c>
      <c r="BD32" s="436">
        <v>176.57161114000002</v>
      </c>
      <c r="BE32" s="436">
        <v>164.85178373000002</v>
      </c>
      <c r="BF32" s="436">
        <v>169.87015441999998</v>
      </c>
      <c r="BG32" s="436">
        <v>158.78019934392</v>
      </c>
      <c r="BH32" s="436">
        <v>162.19544779000003</v>
      </c>
      <c r="BI32" s="436">
        <v>168.97571375999999</v>
      </c>
      <c r="BJ32" s="436">
        <v>177.64796829000002</v>
      </c>
      <c r="BK32" s="436">
        <v>177.23504173000001</v>
      </c>
      <c r="BL32" s="436">
        <v>173.6722761</v>
      </c>
      <c r="BM32" s="436">
        <v>162.47436128999999</v>
      </c>
      <c r="BN32" s="436">
        <v>160.43448423000001</v>
      </c>
      <c r="BO32" s="436">
        <v>161.53261053999998</v>
      </c>
      <c r="BP32" s="436">
        <v>128.07402870000001</v>
      </c>
      <c r="BQ32" s="436">
        <v>125.85005543</v>
      </c>
      <c r="BR32" s="436">
        <v>121.80793532000003</v>
      </c>
      <c r="BS32" s="436">
        <v>130.39338036000001</v>
      </c>
      <c r="BT32" s="436">
        <v>138.66813169999998</v>
      </c>
      <c r="BU32" s="436">
        <v>138.07241931000002</v>
      </c>
      <c r="BV32" s="436">
        <v>158.78189895</v>
      </c>
      <c r="BW32" s="436">
        <v>132.5531411</v>
      </c>
      <c r="BX32" s="436">
        <v>124.66669349999998</v>
      </c>
      <c r="BY32" s="436">
        <v>113.60830847</v>
      </c>
      <c r="BZ32" s="436">
        <v>123.5</v>
      </c>
      <c r="CA32" s="436">
        <v>164.95755005999999</v>
      </c>
      <c r="CB32" s="436">
        <v>177.2015864</v>
      </c>
      <c r="CC32" s="436">
        <v>193.26253732000001</v>
      </c>
      <c r="CD32" s="436">
        <v>192.88159967999997</v>
      </c>
      <c r="CE32" s="436">
        <v>184.51640113999997</v>
      </c>
      <c r="CF32" s="436">
        <v>198.47289294392198</v>
      </c>
      <c r="CG32" s="436">
        <v>199.83347336999998</v>
      </c>
      <c r="CH32" s="436">
        <v>192.72449817999996</v>
      </c>
      <c r="CI32" s="436">
        <v>216.83481277000001</v>
      </c>
      <c r="CJ32" s="436">
        <v>210.47897127999997</v>
      </c>
      <c r="CK32" s="436">
        <v>194.58624557000002</v>
      </c>
      <c r="CL32" s="436">
        <v>199.75987399000002</v>
      </c>
      <c r="CM32" s="436">
        <v>203.09809205000002</v>
      </c>
      <c r="CN32" s="436">
        <v>204.64999940999999</v>
      </c>
      <c r="CO32" s="436">
        <v>221.03937699000002</v>
      </c>
      <c r="CP32" s="436">
        <v>221.95142896999999</v>
      </c>
      <c r="CQ32" s="436">
        <v>224.63160335000001</v>
      </c>
      <c r="CR32" s="436">
        <v>255.37537333200001</v>
      </c>
      <c r="CS32" s="436">
        <v>243.13694783</v>
      </c>
      <c r="CT32" s="436">
        <v>254.88248366999997</v>
      </c>
      <c r="CU32" s="436">
        <v>229.26020974000002</v>
      </c>
      <c r="CV32" s="436">
        <v>223.86129384999998</v>
      </c>
      <c r="CW32" s="436">
        <v>218.31627356999999</v>
      </c>
      <c r="CX32" s="436">
        <v>243.72593791000003</v>
      </c>
      <c r="CY32" s="436">
        <v>230.09221882</v>
      </c>
      <c r="CZ32" s="436">
        <v>217.97998961000002</v>
      </c>
      <c r="DA32" s="436">
        <v>227.18946084999999</v>
      </c>
      <c r="DB32" s="439">
        <v>225.41342435000001</v>
      </c>
      <c r="DC32" s="439">
        <v>229.84339907999998</v>
      </c>
      <c r="DD32" s="439">
        <v>219.78456971</v>
      </c>
      <c r="DE32" s="439">
        <v>229.35001772000004</v>
      </c>
      <c r="DF32" s="439">
        <v>218.35158142000003</v>
      </c>
      <c r="DH32" s="430"/>
    </row>
    <row r="33" spans="1:112" ht="15.95" customHeight="1">
      <c r="A33" s="431" t="s">
        <v>301</v>
      </c>
      <c r="B33" s="432">
        <v>114.45344073000001</v>
      </c>
      <c r="C33" s="433">
        <v>99.704000000000008</v>
      </c>
      <c r="D33" s="433">
        <v>86.748277700000003</v>
      </c>
      <c r="E33" s="434">
        <v>82.708195869999997</v>
      </c>
      <c r="F33" s="433">
        <v>98.616503129999998</v>
      </c>
      <c r="G33" s="433">
        <v>72.055042009999994</v>
      </c>
      <c r="H33" s="433">
        <v>43.372793119999997</v>
      </c>
      <c r="I33" s="433">
        <v>90.011262909999999</v>
      </c>
      <c r="J33" s="433">
        <v>105.01609831</v>
      </c>
      <c r="K33" s="434">
        <v>71.645405640000007</v>
      </c>
      <c r="L33" s="433">
        <v>86.211463520000009</v>
      </c>
      <c r="M33" s="433">
        <v>56.909129269999994</v>
      </c>
      <c r="N33" s="433">
        <v>41.822000000000003</v>
      </c>
      <c r="O33" s="434">
        <v>50.652037480000004</v>
      </c>
      <c r="P33" s="433">
        <v>55.632497480000005</v>
      </c>
      <c r="Q33" s="433">
        <v>57.427219749999999</v>
      </c>
      <c r="R33" s="434">
        <v>116.56919108</v>
      </c>
      <c r="S33" s="433">
        <v>49.010033799999995</v>
      </c>
      <c r="T33" s="433">
        <v>35.470640850000002</v>
      </c>
      <c r="U33" s="435">
        <v>69.31536444999999</v>
      </c>
      <c r="V33" s="435">
        <v>64.461098680000006</v>
      </c>
      <c r="W33" s="435">
        <v>40.931335730000001</v>
      </c>
      <c r="X33" s="435">
        <v>48.409954450000001</v>
      </c>
      <c r="Y33" s="435">
        <v>33.191553720000002</v>
      </c>
      <c r="Z33" s="435">
        <v>117.00602423000001</v>
      </c>
      <c r="AA33" s="435">
        <v>139.04881968000001</v>
      </c>
      <c r="AB33" s="435">
        <v>44.717543369999994</v>
      </c>
      <c r="AC33" s="435">
        <v>72.287639599999991</v>
      </c>
      <c r="AD33" s="435">
        <v>22.558524139999999</v>
      </c>
      <c r="AE33" s="435">
        <v>42.715292739999995</v>
      </c>
      <c r="AF33" s="435">
        <v>85.7283233</v>
      </c>
      <c r="AG33" s="435">
        <v>110.01511720000001</v>
      </c>
      <c r="AH33" s="435">
        <v>80.515078219999992</v>
      </c>
      <c r="AI33" s="435">
        <v>87.519785420000005</v>
      </c>
      <c r="AJ33" s="435">
        <v>107.78356589000001</v>
      </c>
      <c r="AK33" s="435">
        <v>136.71970745000002</v>
      </c>
      <c r="AL33" s="435">
        <v>117.87130501999999</v>
      </c>
      <c r="AM33" s="438">
        <v>137.54589321</v>
      </c>
      <c r="AN33" s="438">
        <v>104.18372838000001</v>
      </c>
      <c r="AO33" s="438">
        <v>107.08101313000002</v>
      </c>
      <c r="AP33" s="438">
        <v>111.35514560999999</v>
      </c>
      <c r="AQ33" s="438">
        <v>118.06027586999998</v>
      </c>
      <c r="AR33" s="432">
        <v>106.88014185</v>
      </c>
      <c r="AS33" s="432">
        <v>104.64156715</v>
      </c>
      <c r="AT33" s="432">
        <v>102.31124568999999</v>
      </c>
      <c r="AU33" s="432">
        <v>118.17537926999999</v>
      </c>
      <c r="AV33" s="432">
        <v>100.572051836</v>
      </c>
      <c r="AW33" s="436">
        <v>101.0723290116</v>
      </c>
      <c r="AX33" s="436">
        <v>101.48423714</v>
      </c>
      <c r="AY33" s="436">
        <v>200.88283938000001</v>
      </c>
      <c r="AZ33" s="436">
        <v>101.39260682</v>
      </c>
      <c r="BA33" s="436">
        <v>98.940275439999994</v>
      </c>
      <c r="BB33" s="436">
        <v>106.68135240000001</v>
      </c>
      <c r="BC33" s="436">
        <v>99.991705420000002</v>
      </c>
      <c r="BD33" s="436">
        <v>100.63581572</v>
      </c>
      <c r="BE33" s="436">
        <v>101.26156373000001</v>
      </c>
      <c r="BF33" s="436">
        <v>102.27182934999999</v>
      </c>
      <c r="BG33" s="436">
        <v>101.06587696000001</v>
      </c>
      <c r="BH33" s="436">
        <v>100.36830617</v>
      </c>
      <c r="BI33" s="436">
        <v>99.469764060000003</v>
      </c>
      <c r="BJ33" s="436">
        <v>105.04198081</v>
      </c>
      <c r="BK33" s="436">
        <v>105.77165236000002</v>
      </c>
      <c r="BL33" s="436">
        <v>110.50747477</v>
      </c>
      <c r="BM33" s="436">
        <v>110.77199189999999</v>
      </c>
      <c r="BN33" s="436">
        <v>104.68397661000002</v>
      </c>
      <c r="BO33" s="436">
        <v>179.63714135999999</v>
      </c>
      <c r="BP33" s="436">
        <v>179.14162669000001</v>
      </c>
      <c r="BQ33" s="436">
        <v>191.25821807</v>
      </c>
      <c r="BR33" s="436">
        <v>177.85861935000003</v>
      </c>
      <c r="BS33" s="436">
        <v>176.03233316000001</v>
      </c>
      <c r="BT33" s="436">
        <v>173.98821156</v>
      </c>
      <c r="BU33" s="436">
        <v>173.79330754000003</v>
      </c>
      <c r="BV33" s="436">
        <v>186.29218322</v>
      </c>
      <c r="BW33" s="436">
        <v>166.32805578</v>
      </c>
      <c r="BX33" s="436">
        <v>96.300700399999997</v>
      </c>
      <c r="BY33" s="436">
        <v>96.555892209999996</v>
      </c>
      <c r="BZ33" s="436">
        <v>117</v>
      </c>
      <c r="CA33" s="436">
        <v>327.16980612190002</v>
      </c>
      <c r="CB33" s="436">
        <v>315.83441252520004</v>
      </c>
      <c r="CC33" s="436">
        <v>97.244355690000006</v>
      </c>
      <c r="CD33" s="436">
        <v>97.144225640000016</v>
      </c>
      <c r="CE33" s="436">
        <v>130.09404003999998</v>
      </c>
      <c r="CF33" s="436">
        <v>148.77235172000002</v>
      </c>
      <c r="CG33" s="436">
        <v>105.11936122</v>
      </c>
      <c r="CH33" s="436">
        <v>121.50673423000001</v>
      </c>
      <c r="CI33" s="436">
        <v>124.21850848</v>
      </c>
      <c r="CJ33" s="436">
        <v>122.63656034</v>
      </c>
      <c r="CK33" s="436">
        <v>140.47484263999999</v>
      </c>
      <c r="CL33" s="436">
        <v>105.70575474</v>
      </c>
      <c r="CM33" s="436">
        <v>114.89270558</v>
      </c>
      <c r="CN33" s="436">
        <v>126.83694008999998</v>
      </c>
      <c r="CO33" s="436">
        <v>110.64921754</v>
      </c>
      <c r="CP33" s="436">
        <v>99.145994840000014</v>
      </c>
      <c r="CQ33" s="436">
        <v>179.94994226999998</v>
      </c>
      <c r="CR33" s="436">
        <v>160.92463586999997</v>
      </c>
      <c r="CS33" s="436">
        <v>135.09033431999998</v>
      </c>
      <c r="CT33" s="436">
        <v>140.67405260999999</v>
      </c>
      <c r="CU33" s="436">
        <v>151.003748</v>
      </c>
      <c r="CV33" s="436">
        <v>146.03221798000001</v>
      </c>
      <c r="CW33" s="436">
        <v>203.79691233000003</v>
      </c>
      <c r="CX33" s="436">
        <v>151.72788442000001</v>
      </c>
      <c r="CY33" s="436">
        <v>143.42008215999999</v>
      </c>
      <c r="CZ33" s="436">
        <v>102.26512584000001</v>
      </c>
      <c r="DA33" s="436">
        <v>119.23910370000002</v>
      </c>
      <c r="DB33" s="439">
        <v>86.268810970000004</v>
      </c>
      <c r="DC33" s="439">
        <v>80.582246189999992</v>
      </c>
      <c r="DD33" s="439">
        <v>86.03819999000001</v>
      </c>
      <c r="DE33" s="439">
        <v>149.34097087000001</v>
      </c>
      <c r="DF33" s="439">
        <v>126.11912100000001</v>
      </c>
      <c r="DH33" s="430"/>
    </row>
    <row r="34" spans="1:112" ht="15.95" customHeight="1">
      <c r="A34" s="431" t="s">
        <v>284</v>
      </c>
      <c r="B34" s="432">
        <v>2584.0691234332435</v>
      </c>
      <c r="C34" s="433">
        <v>2502.5072279668798</v>
      </c>
      <c r="D34" s="433">
        <v>2618.2954970914407</v>
      </c>
      <c r="E34" s="434">
        <v>2405.7028710025006</v>
      </c>
      <c r="F34" s="433">
        <v>2434.2028871593898</v>
      </c>
      <c r="G34" s="433">
        <v>2433.7696518176899</v>
      </c>
      <c r="H34" s="433">
        <v>2307.3440869599999</v>
      </c>
      <c r="I34" s="433">
        <v>2364.1858472471995</v>
      </c>
      <c r="J34" s="433">
        <v>2401.484966</v>
      </c>
      <c r="K34" s="434">
        <v>2415.7989406988281</v>
      </c>
      <c r="L34" s="433">
        <v>2398.59363089</v>
      </c>
      <c r="M34" s="433">
        <v>2440.5669922362563</v>
      </c>
      <c r="N34" s="433">
        <v>2395.8200874511281</v>
      </c>
      <c r="O34" s="434">
        <v>2449.2566982579679</v>
      </c>
      <c r="P34" s="433">
        <v>2478.0919903911681</v>
      </c>
      <c r="Q34" s="433">
        <v>2507.9984458537829</v>
      </c>
      <c r="R34" s="434">
        <v>2545.2617323390746</v>
      </c>
      <c r="S34" s="433">
        <v>2581.279009063604</v>
      </c>
      <c r="T34" s="433">
        <v>2639.4203197248521</v>
      </c>
      <c r="U34" s="435">
        <v>2627.3473755171958</v>
      </c>
      <c r="V34" s="435">
        <v>2765.5933041577105</v>
      </c>
      <c r="W34" s="435">
        <v>2720.3057713025714</v>
      </c>
      <c r="X34" s="435">
        <v>2814.8598975876303</v>
      </c>
      <c r="Y34" s="435">
        <v>2784.6080039760236</v>
      </c>
      <c r="Z34" s="435">
        <v>2502.6274114717762</v>
      </c>
      <c r="AA34" s="435">
        <v>2525.5556401726199</v>
      </c>
      <c r="AB34" s="435">
        <v>2694.1426267412303</v>
      </c>
      <c r="AC34" s="435">
        <v>2494.1741218903121</v>
      </c>
      <c r="AD34" s="435">
        <v>2675.2977028743107</v>
      </c>
      <c r="AE34" s="435">
        <v>2531.7372881548072</v>
      </c>
      <c r="AF34" s="435">
        <v>2501.9437331199874</v>
      </c>
      <c r="AG34" s="435">
        <v>2673.2929988378964</v>
      </c>
      <c r="AH34" s="435">
        <v>2709.54130890744</v>
      </c>
      <c r="AI34" s="435">
        <v>2518.3126664581964</v>
      </c>
      <c r="AJ34" s="435">
        <v>2592.0647094128644</v>
      </c>
      <c r="AK34" s="435">
        <v>2591.8862847660598</v>
      </c>
      <c r="AL34" s="435">
        <v>2673.6402237064299</v>
      </c>
      <c r="AM34" s="438">
        <v>2778.5381851616107</v>
      </c>
      <c r="AN34" s="438">
        <v>2875.209174307608</v>
      </c>
      <c r="AO34" s="438">
        <v>3031.1043445189084</v>
      </c>
      <c r="AP34" s="438">
        <v>3048.5302861297232</v>
      </c>
      <c r="AQ34" s="438">
        <v>3019.9528259975668</v>
      </c>
      <c r="AR34" s="432">
        <v>3302.4105886041725</v>
      </c>
      <c r="AS34" s="432">
        <v>3309.5826069479999</v>
      </c>
      <c r="AT34" s="432">
        <v>3411.5961864697115</v>
      </c>
      <c r="AU34" s="432">
        <v>3490.7335543008844</v>
      </c>
      <c r="AV34" s="432">
        <v>3608.9346765320006</v>
      </c>
      <c r="AW34" s="436">
        <v>3656.6279004192002</v>
      </c>
      <c r="AX34" s="436">
        <v>3920.8016715332169</v>
      </c>
      <c r="AY34" s="436">
        <v>3984.822853867201</v>
      </c>
      <c r="AZ34" s="436">
        <v>3884.3129099927596</v>
      </c>
      <c r="BA34" s="436">
        <v>3916.9496417009495</v>
      </c>
      <c r="BB34" s="436">
        <v>3838.476218883</v>
      </c>
      <c r="BC34" s="436">
        <v>3999.696298738349</v>
      </c>
      <c r="BD34" s="436">
        <v>4126.3830231343045</v>
      </c>
      <c r="BE34" s="436">
        <v>4149.8841865626473</v>
      </c>
      <c r="BF34" s="436">
        <v>3960.0629855249244</v>
      </c>
      <c r="BG34" s="436">
        <v>4121.63582510792</v>
      </c>
      <c r="BH34" s="436">
        <v>4226.890925644444</v>
      </c>
      <c r="BI34" s="436">
        <v>3992.5112830776552</v>
      </c>
      <c r="BJ34" s="436">
        <v>3706.9053025522962</v>
      </c>
      <c r="BK34" s="436">
        <v>3790.9021296137357</v>
      </c>
      <c r="BL34" s="436">
        <v>3898.3213439115116</v>
      </c>
      <c r="BM34" s="436">
        <v>3956.278062564772</v>
      </c>
      <c r="BN34" s="436">
        <v>3994.268365413086</v>
      </c>
      <c r="BO34" s="436">
        <v>4189.313796861722</v>
      </c>
      <c r="BP34" s="436">
        <v>4284.5490874570824</v>
      </c>
      <c r="BQ34" s="436">
        <v>4485.9378921075404</v>
      </c>
      <c r="BR34" s="436">
        <v>4408.9237224656945</v>
      </c>
      <c r="BS34" s="436">
        <v>4608.1733101818927</v>
      </c>
      <c r="BT34" s="436">
        <v>4686.9736283341472</v>
      </c>
      <c r="BU34" s="436">
        <v>4653.0649879088678</v>
      </c>
      <c r="BV34" s="436">
        <v>4633.4331871187578</v>
      </c>
      <c r="BW34" s="436">
        <v>4653.9778186011654</v>
      </c>
      <c r="BX34" s="436">
        <v>4698.3504031965003</v>
      </c>
      <c r="BY34" s="436">
        <v>4936.2206234471996</v>
      </c>
      <c r="BZ34" s="436">
        <v>4504.8999999999996</v>
      </c>
      <c r="CA34" s="436">
        <v>4473.7121715940957</v>
      </c>
      <c r="CB34" s="436">
        <v>4576.9378655364262</v>
      </c>
      <c r="CC34" s="436">
        <v>4617.7249940811307</v>
      </c>
      <c r="CD34" s="436">
        <v>4625.8396103387422</v>
      </c>
      <c r="CE34" s="436">
        <v>4709.4976142422802</v>
      </c>
      <c r="CF34" s="436">
        <v>4910.9788726282986</v>
      </c>
      <c r="CG34" s="436">
        <v>4690.746654579365</v>
      </c>
      <c r="CH34" s="436">
        <v>4597.9984281177312</v>
      </c>
      <c r="CI34" s="436">
        <v>4614.4393789309843</v>
      </c>
      <c r="CJ34" s="436">
        <v>4599.4399279357258</v>
      </c>
      <c r="CK34" s="436">
        <v>4534.9156943326952</v>
      </c>
      <c r="CL34" s="436">
        <v>4808.2402846302748</v>
      </c>
      <c r="CM34" s="436">
        <v>4731.7891083057284</v>
      </c>
      <c r="CN34" s="436">
        <v>4660.2725908522871</v>
      </c>
      <c r="CO34" s="436">
        <v>4715.511403845906</v>
      </c>
      <c r="CP34" s="436">
        <v>4834.0856087451948</v>
      </c>
      <c r="CQ34" s="436">
        <v>4852.7324877344299</v>
      </c>
      <c r="CR34" s="436">
        <v>4756.0766773243795</v>
      </c>
      <c r="CS34" s="436">
        <v>4356.1605687254214</v>
      </c>
      <c r="CT34" s="436">
        <v>4560.0350648851509</v>
      </c>
      <c r="CU34" s="436">
        <v>4586.0337356784257</v>
      </c>
      <c r="CV34" s="436">
        <v>4553.9093444831387</v>
      </c>
      <c r="CW34" s="436">
        <v>4370.8053132127534</v>
      </c>
      <c r="CX34" s="436">
        <v>4414.112776287132</v>
      </c>
      <c r="CY34" s="436">
        <v>4520.2382485368289</v>
      </c>
      <c r="CZ34" s="436">
        <v>4801.2743753836294</v>
      </c>
      <c r="DA34" s="436">
        <v>4957.7581408468159</v>
      </c>
      <c r="DB34" s="439">
        <v>5020.0848936221382</v>
      </c>
      <c r="DC34" s="439">
        <v>4928.0467187170652</v>
      </c>
      <c r="DD34" s="439">
        <v>4631.5355443207081</v>
      </c>
      <c r="DE34" s="439">
        <v>4489.0790226495164</v>
      </c>
      <c r="DF34" s="439">
        <v>4517.5566947531479</v>
      </c>
      <c r="DH34" s="430"/>
    </row>
    <row r="35" spans="1:112" ht="7.7" customHeight="1">
      <c r="A35" s="431"/>
      <c r="B35" s="420"/>
      <c r="C35" s="422"/>
      <c r="D35" s="422"/>
      <c r="E35" s="423"/>
      <c r="F35" s="422"/>
      <c r="G35" s="422"/>
      <c r="H35" s="433"/>
      <c r="I35" s="433"/>
      <c r="J35" s="433"/>
      <c r="K35" s="434"/>
      <c r="L35" s="433"/>
      <c r="M35" s="433"/>
      <c r="N35" s="433"/>
      <c r="O35" s="434"/>
      <c r="P35" s="433"/>
      <c r="Q35" s="433"/>
      <c r="R35" s="434"/>
      <c r="S35" s="433"/>
      <c r="T35" s="433"/>
      <c r="U35" s="435"/>
      <c r="V35" s="435"/>
      <c r="W35" s="435"/>
      <c r="X35" s="435"/>
      <c r="Y35" s="435"/>
      <c r="Z35" s="435"/>
      <c r="AA35" s="435"/>
      <c r="AB35" s="435"/>
      <c r="AC35" s="435"/>
      <c r="AD35" s="435"/>
      <c r="AE35" s="435"/>
      <c r="AF35" s="435"/>
      <c r="AG35" s="435"/>
      <c r="AH35" s="435"/>
      <c r="AI35" s="435"/>
      <c r="AJ35" s="435"/>
      <c r="AK35" s="435"/>
      <c r="AL35" s="435"/>
      <c r="AM35" s="426"/>
      <c r="AN35" s="426"/>
      <c r="AO35" s="426"/>
      <c r="AP35" s="426"/>
      <c r="AQ35" s="426"/>
      <c r="AR35" s="420"/>
      <c r="AS35" s="420"/>
      <c r="AT35" s="420"/>
      <c r="AU35" s="420"/>
      <c r="AV35" s="420"/>
      <c r="AW35" s="427"/>
      <c r="AX35" s="427"/>
      <c r="AY35" s="427"/>
      <c r="AZ35" s="427"/>
      <c r="BA35" s="427"/>
      <c r="BB35" s="427"/>
      <c r="BC35" s="427"/>
      <c r="BD35" s="427"/>
      <c r="BE35" s="427"/>
      <c r="BF35" s="427"/>
      <c r="BG35" s="427"/>
      <c r="BH35" s="427"/>
      <c r="BI35" s="427"/>
      <c r="BJ35" s="427"/>
      <c r="BK35" s="427"/>
      <c r="BL35" s="427"/>
      <c r="BM35" s="427"/>
      <c r="BN35" s="427"/>
      <c r="BO35" s="427"/>
      <c r="BP35" s="427"/>
      <c r="BQ35" s="427"/>
      <c r="BR35" s="427"/>
      <c r="BS35" s="427"/>
      <c r="BT35" s="427"/>
      <c r="BU35" s="427"/>
      <c r="BV35" s="427"/>
      <c r="BW35" s="427"/>
      <c r="BX35" s="427"/>
      <c r="BY35" s="427"/>
      <c r="BZ35" s="427"/>
      <c r="CA35" s="427"/>
      <c r="CB35" s="427"/>
      <c r="CC35" s="427"/>
      <c r="CD35" s="427"/>
      <c r="CE35" s="427"/>
      <c r="CF35" s="427"/>
      <c r="CG35" s="427"/>
      <c r="CH35" s="427"/>
      <c r="CI35" s="427"/>
      <c r="CJ35" s="427"/>
      <c r="CK35" s="427"/>
      <c r="CL35" s="427"/>
      <c r="CM35" s="427"/>
      <c r="CN35" s="427"/>
      <c r="CO35" s="427"/>
      <c r="CP35" s="427"/>
      <c r="CQ35" s="427"/>
      <c r="CR35" s="427"/>
      <c r="CS35" s="427"/>
      <c r="CT35" s="427"/>
      <c r="CU35" s="427"/>
      <c r="CV35" s="427"/>
      <c r="CW35" s="427"/>
      <c r="CX35" s="427"/>
      <c r="CY35" s="427"/>
      <c r="CZ35" s="427"/>
      <c r="DA35" s="427"/>
      <c r="DB35" s="439"/>
      <c r="DC35" s="439"/>
      <c r="DD35" s="439"/>
      <c r="DE35" s="439"/>
      <c r="DF35" s="439"/>
      <c r="DH35" s="430"/>
    </row>
    <row r="36" spans="1:112">
      <c r="A36" s="419" t="s">
        <v>302</v>
      </c>
      <c r="B36" s="420">
        <f>SUM(B38:B44)</f>
        <v>15116.942524435231</v>
      </c>
      <c r="C36" s="422">
        <f>SUM(C38:C44)</f>
        <v>15340.222457769232</v>
      </c>
      <c r="D36" s="422">
        <f>SUM(D38:D44)</f>
        <v>15436.7207706386</v>
      </c>
      <c r="E36" s="423">
        <f>SUM(E38:E44)</f>
        <v>15692.966629632501</v>
      </c>
      <c r="F36" s="422">
        <v>15896.994440702552</v>
      </c>
      <c r="G36" s="422">
        <v>15813.534849207481</v>
      </c>
      <c r="H36" s="422">
        <v>16155.643936807443</v>
      </c>
      <c r="I36" s="422">
        <v>15698.908377838319</v>
      </c>
      <c r="J36" s="422">
        <v>15609.721732529999</v>
      </c>
      <c r="K36" s="423">
        <v>15277.935578577499</v>
      </c>
      <c r="L36" s="422">
        <v>15313.442857202497</v>
      </c>
      <c r="M36" s="422">
        <v>15684.186930290001</v>
      </c>
      <c r="N36" s="422">
        <v>15340.489823020771</v>
      </c>
      <c r="O36" s="423">
        <v>15862.4246946275</v>
      </c>
      <c r="P36" s="422">
        <v>15831.258217189999</v>
      </c>
      <c r="Q36" s="422">
        <v>16036.405133759001</v>
      </c>
      <c r="R36" s="423">
        <v>16714.162621351337</v>
      </c>
      <c r="S36" s="422">
        <v>16902.897127363605</v>
      </c>
      <c r="T36" s="422">
        <v>17958.848678855</v>
      </c>
      <c r="U36" s="425">
        <v>17862.567996480313</v>
      </c>
      <c r="V36" s="425">
        <v>18648.170724910793</v>
      </c>
      <c r="W36" s="425">
        <v>18184.048520572302</v>
      </c>
      <c r="X36" s="425">
        <v>17971.699280649998</v>
      </c>
      <c r="Y36" s="425">
        <v>17763.138895170996</v>
      </c>
      <c r="Z36" s="425">
        <v>17882.814975919999</v>
      </c>
      <c r="AA36" s="425">
        <v>17333.195110600001</v>
      </c>
      <c r="AB36" s="425">
        <v>19013.070763780001</v>
      </c>
      <c r="AC36" s="425">
        <v>18597.881258420002</v>
      </c>
      <c r="AD36" s="425">
        <v>20126.91926720001</v>
      </c>
      <c r="AE36" s="425">
        <v>20737.70626599</v>
      </c>
      <c r="AF36" s="425">
        <v>21339.073223082003</v>
      </c>
      <c r="AG36" s="425">
        <v>21726.624711916276</v>
      </c>
      <c r="AH36" s="425">
        <v>21976.713323428557</v>
      </c>
      <c r="AI36" s="425">
        <v>22073.532365816147</v>
      </c>
      <c r="AJ36" s="425">
        <v>22743.688729123929</v>
      </c>
      <c r="AK36" s="425">
        <v>23623.890787420289</v>
      </c>
      <c r="AL36" s="425">
        <v>24037.577134998959</v>
      </c>
      <c r="AM36" s="426">
        <v>24911.486120716982</v>
      </c>
      <c r="AN36" s="426">
        <v>25441.509448169909</v>
      </c>
      <c r="AO36" s="426">
        <v>26831.381436573607</v>
      </c>
      <c r="AP36" s="426">
        <v>27969.412402886199</v>
      </c>
      <c r="AQ36" s="426">
        <v>29204.06130761261</v>
      </c>
      <c r="AR36" s="420">
        <v>30061.478746890338</v>
      </c>
      <c r="AS36" s="420">
        <v>30013.07777618412</v>
      </c>
      <c r="AT36" s="420">
        <v>30240.192163557422</v>
      </c>
      <c r="AU36" s="420">
        <v>30493.290275353091</v>
      </c>
      <c r="AV36" s="420">
        <v>29986.643425269827</v>
      </c>
      <c r="AW36" s="427">
        <v>30192.637866626181</v>
      </c>
      <c r="AX36" s="427">
        <v>30133.677872429409</v>
      </c>
      <c r="AY36" s="427">
        <v>30471.485060851031</v>
      </c>
      <c r="AZ36" s="427">
        <v>30814.396110226819</v>
      </c>
      <c r="BA36" s="427">
        <v>31102.514827486215</v>
      </c>
      <c r="BB36" s="427">
        <v>31324.312980510891</v>
      </c>
      <c r="BC36" s="427">
        <v>31735.331435496766</v>
      </c>
      <c r="BD36" s="427">
        <v>32669.055944429387</v>
      </c>
      <c r="BE36" s="427">
        <v>32063.951929540497</v>
      </c>
      <c r="BF36" s="427">
        <v>32456.412352301537</v>
      </c>
      <c r="BG36" s="427">
        <v>32873.883856290136</v>
      </c>
      <c r="BH36" s="427">
        <v>33648.244522643181</v>
      </c>
      <c r="BI36" s="427">
        <v>34850.645398997061</v>
      </c>
      <c r="BJ36" s="427">
        <v>35310.939554479104</v>
      </c>
      <c r="BK36" s="427">
        <v>36406.38836048833</v>
      </c>
      <c r="BL36" s="427">
        <v>37340.338138703453</v>
      </c>
      <c r="BM36" s="427">
        <v>38538.254944416709</v>
      </c>
      <c r="BN36" s="427">
        <v>39024.947403573518</v>
      </c>
      <c r="BO36" s="427">
        <v>39583.737789667422</v>
      </c>
      <c r="BP36" s="427">
        <v>40380.426747892197</v>
      </c>
      <c r="BQ36" s="427">
        <v>40096.49645331646</v>
      </c>
      <c r="BR36" s="427">
        <v>40715.427971786092</v>
      </c>
      <c r="BS36" s="427">
        <v>40250.810220386367</v>
      </c>
      <c r="BT36" s="427">
        <v>40391.272727638607</v>
      </c>
      <c r="BU36" s="427">
        <v>40962.521936381578</v>
      </c>
      <c r="BV36" s="427">
        <v>42205.435526976828</v>
      </c>
      <c r="BW36" s="427">
        <v>42550.799013972035</v>
      </c>
      <c r="BX36" s="427">
        <v>43118.261591039991</v>
      </c>
      <c r="BY36" s="427">
        <v>43289.48516640289</v>
      </c>
      <c r="BZ36" s="427">
        <v>43572</v>
      </c>
      <c r="CA36" s="427">
        <v>43444.522447301875</v>
      </c>
      <c r="CB36" s="427">
        <v>43029.902938804204</v>
      </c>
      <c r="CC36" s="427">
        <v>42472.792006511074</v>
      </c>
      <c r="CD36" s="427">
        <v>42379.602888459645</v>
      </c>
      <c r="CE36" s="427">
        <v>42130.619052599061</v>
      </c>
      <c r="CF36" s="427">
        <v>41879.675503155711</v>
      </c>
      <c r="CG36" s="427">
        <v>42072.724455766023</v>
      </c>
      <c r="CH36" s="427">
        <v>43325.198968531164</v>
      </c>
      <c r="CI36" s="427">
        <v>43253.540572116843</v>
      </c>
      <c r="CJ36" s="427">
        <v>43570.095512344735</v>
      </c>
      <c r="CK36" s="427">
        <v>43992.604062785947</v>
      </c>
      <c r="CL36" s="427">
        <v>44659.551017516926</v>
      </c>
      <c r="CM36" s="427">
        <v>44737.278299508798</v>
      </c>
      <c r="CN36" s="427">
        <v>44805.743884943127</v>
      </c>
      <c r="CO36" s="427">
        <v>45123.066840000254</v>
      </c>
      <c r="CP36" s="427">
        <v>45279.146631420466</v>
      </c>
      <c r="CQ36" s="427">
        <v>44971.320502872113</v>
      </c>
      <c r="CR36" s="427">
        <v>45202.129109198577</v>
      </c>
      <c r="CS36" s="427">
        <v>44989.868385167581</v>
      </c>
      <c r="CT36" s="427">
        <v>45940.266697205188</v>
      </c>
      <c r="CU36" s="427">
        <v>45591.969206117072</v>
      </c>
      <c r="CV36" s="427">
        <v>46371.272110202131</v>
      </c>
      <c r="CW36" s="427">
        <v>48123.760424358501</v>
      </c>
      <c r="CX36" s="427">
        <v>47365.641809494336</v>
      </c>
      <c r="CY36" s="427">
        <v>46953.146010267134</v>
      </c>
      <c r="CZ36" s="427">
        <v>48756.074992337381</v>
      </c>
      <c r="DA36" s="427">
        <v>48370.2747426356</v>
      </c>
      <c r="DB36" s="441">
        <v>48262.782983742021</v>
      </c>
      <c r="DC36" s="441">
        <v>48080.005765923037</v>
      </c>
      <c r="DD36" s="441">
        <v>47946.41567659648</v>
      </c>
      <c r="DE36" s="441">
        <v>47011.860843169496</v>
      </c>
      <c r="DF36" s="441">
        <v>48211.463707805138</v>
      </c>
      <c r="DH36" s="430"/>
    </row>
    <row r="37" spans="1:112">
      <c r="A37" s="431" t="s">
        <v>275</v>
      </c>
      <c r="B37" s="432"/>
      <c r="C37" s="433"/>
      <c r="D37" s="433"/>
      <c r="E37" s="434"/>
      <c r="F37" s="433"/>
      <c r="G37" s="433"/>
      <c r="H37" s="433"/>
      <c r="I37" s="433"/>
      <c r="J37" s="433"/>
      <c r="K37" s="434"/>
      <c r="L37" s="433"/>
      <c r="M37" s="433"/>
      <c r="N37" s="433"/>
      <c r="O37" s="434"/>
      <c r="P37" s="433"/>
      <c r="Q37" s="433"/>
      <c r="R37" s="434"/>
      <c r="S37" s="433"/>
      <c r="T37" s="433"/>
      <c r="U37" s="435"/>
      <c r="V37" s="435"/>
      <c r="W37" s="435"/>
      <c r="X37" s="435"/>
      <c r="Y37" s="435"/>
      <c r="Z37" s="435"/>
      <c r="AA37" s="435"/>
      <c r="AB37" s="435"/>
      <c r="AC37" s="435"/>
      <c r="AD37" s="435"/>
      <c r="AE37" s="435"/>
      <c r="AF37" s="435"/>
      <c r="AG37" s="435"/>
      <c r="AH37" s="435"/>
      <c r="AI37" s="435"/>
      <c r="AJ37" s="435"/>
      <c r="AK37" s="435"/>
      <c r="AL37" s="435"/>
      <c r="AM37" s="426"/>
      <c r="AN37" s="426"/>
      <c r="AO37" s="426"/>
      <c r="AP37" s="426"/>
      <c r="AQ37" s="426"/>
      <c r="AR37" s="432"/>
      <c r="AS37" s="432"/>
      <c r="AT37" s="432"/>
      <c r="AU37" s="432"/>
      <c r="AV37" s="432"/>
      <c r="AW37" s="436"/>
      <c r="AX37" s="436"/>
      <c r="AY37" s="436"/>
      <c r="AZ37" s="436"/>
      <c r="BA37" s="436"/>
      <c r="BB37" s="436"/>
      <c r="BC37" s="436"/>
      <c r="BD37" s="436"/>
      <c r="BE37" s="436"/>
      <c r="BF37" s="436"/>
      <c r="BG37" s="436"/>
      <c r="BH37" s="436"/>
      <c r="BI37" s="436"/>
      <c r="BJ37" s="436"/>
      <c r="BK37" s="436"/>
      <c r="BL37" s="427"/>
      <c r="BM37" s="427"/>
      <c r="BN37" s="427"/>
      <c r="BO37" s="427"/>
      <c r="BP37" s="427"/>
      <c r="BQ37" s="427"/>
      <c r="BR37" s="427"/>
      <c r="BS37" s="427"/>
      <c r="BT37" s="427"/>
      <c r="BU37" s="427"/>
      <c r="BV37" s="427"/>
      <c r="BW37" s="427"/>
      <c r="BX37" s="427"/>
      <c r="BY37" s="427"/>
      <c r="BZ37" s="427"/>
      <c r="CA37" s="427"/>
      <c r="CB37" s="427"/>
      <c r="CC37" s="427"/>
      <c r="CD37" s="427"/>
      <c r="CE37" s="427"/>
      <c r="CF37" s="427"/>
      <c r="CG37" s="427"/>
      <c r="CH37" s="427"/>
      <c r="CI37" s="427"/>
      <c r="CJ37" s="427"/>
      <c r="CK37" s="427"/>
      <c r="CL37" s="427"/>
      <c r="CM37" s="427"/>
      <c r="CN37" s="427"/>
      <c r="CO37" s="427"/>
      <c r="CP37" s="427"/>
      <c r="CQ37" s="427"/>
      <c r="CR37" s="427"/>
      <c r="CS37" s="427">
        <v>0</v>
      </c>
      <c r="CT37" s="427"/>
      <c r="CU37" s="427"/>
      <c r="CV37" s="427"/>
      <c r="CW37" s="427"/>
      <c r="CX37" s="427"/>
      <c r="CY37" s="427"/>
      <c r="CZ37" s="427"/>
      <c r="DA37" s="427"/>
      <c r="DB37" s="439"/>
      <c r="DC37" s="439"/>
      <c r="DD37" s="439"/>
      <c r="DE37" s="439"/>
      <c r="DF37" s="439"/>
      <c r="DH37" s="430"/>
    </row>
    <row r="38" spans="1:112" ht="15.95" customHeight="1">
      <c r="A38" s="431" t="s">
        <v>303</v>
      </c>
      <c r="B38" s="432">
        <v>6444.7886749252302</v>
      </c>
      <c r="C38" s="433">
        <v>6305.295456699233</v>
      </c>
      <c r="D38" s="433">
        <v>6304.5127371385997</v>
      </c>
      <c r="E38" s="434">
        <v>6633.5494685125004</v>
      </c>
      <c r="F38" s="433">
        <v>6802.7288730225509</v>
      </c>
      <c r="G38" s="433">
        <v>6864.8700624874791</v>
      </c>
      <c r="H38" s="433">
        <v>6978.3594197274397</v>
      </c>
      <c r="I38" s="433">
        <v>6987.2388921083193</v>
      </c>
      <c r="J38" s="433">
        <v>6761.2236051799991</v>
      </c>
      <c r="K38" s="434">
        <v>6734.2435406175</v>
      </c>
      <c r="L38" s="433">
        <v>6713.6977799124988</v>
      </c>
      <c r="M38" s="433">
        <v>6979.0847059800008</v>
      </c>
      <c r="N38" s="433">
        <v>6742.9449578507702</v>
      </c>
      <c r="O38" s="434">
        <v>7096.4184074800014</v>
      </c>
      <c r="P38" s="433">
        <v>6874.2981054499996</v>
      </c>
      <c r="Q38" s="433">
        <v>7106.2051660289999</v>
      </c>
      <c r="R38" s="434">
        <v>7294.6279957313354</v>
      </c>
      <c r="S38" s="433">
        <v>7911.1575664936008</v>
      </c>
      <c r="T38" s="433">
        <v>8601.8289462249995</v>
      </c>
      <c r="U38" s="435">
        <v>8680.0621483603136</v>
      </c>
      <c r="V38" s="435">
        <v>9125.3628209747385</v>
      </c>
      <c r="W38" s="435">
        <v>8643.6008820922998</v>
      </c>
      <c r="X38" s="435">
        <v>9004.5649159299992</v>
      </c>
      <c r="Y38" s="435">
        <v>8562.4102878900012</v>
      </c>
      <c r="Z38" s="435">
        <v>9077.0496576200003</v>
      </c>
      <c r="AA38" s="435">
        <v>8186.5770525300004</v>
      </c>
      <c r="AB38" s="435">
        <v>10182.628594440001</v>
      </c>
      <c r="AC38" s="435">
        <v>9753.3952551399998</v>
      </c>
      <c r="AD38" s="435">
        <v>11114.291857820001</v>
      </c>
      <c r="AE38" s="435">
        <v>11580.200298870001</v>
      </c>
      <c r="AF38" s="435">
        <v>12269.380826312001</v>
      </c>
      <c r="AG38" s="435">
        <v>12691.389133246279</v>
      </c>
      <c r="AH38" s="435">
        <v>12567.320152738559</v>
      </c>
      <c r="AI38" s="435">
        <v>12600.402771576149</v>
      </c>
      <c r="AJ38" s="435">
        <v>12635.541921993929</v>
      </c>
      <c r="AK38" s="435">
        <v>13169.436488200285</v>
      </c>
      <c r="AL38" s="435">
        <v>13628.700497694255</v>
      </c>
      <c r="AM38" s="438">
        <v>13485.89982990036</v>
      </c>
      <c r="AN38" s="438">
        <v>13978.265567046956</v>
      </c>
      <c r="AO38" s="438">
        <v>14770.230000431471</v>
      </c>
      <c r="AP38" s="438">
        <v>15384.684646477044</v>
      </c>
      <c r="AQ38" s="438">
        <v>16418.186102116582</v>
      </c>
      <c r="AR38" s="432">
        <v>16819.744095303337</v>
      </c>
      <c r="AS38" s="432">
        <v>16483.991348237902</v>
      </c>
      <c r="AT38" s="432">
        <v>16997.548346971635</v>
      </c>
      <c r="AU38" s="432">
        <v>17113.250938400091</v>
      </c>
      <c r="AV38" s="432">
        <v>17171.710921446</v>
      </c>
      <c r="AW38" s="436">
        <v>17073.678888538001</v>
      </c>
      <c r="AX38" s="436">
        <v>17095.034753902684</v>
      </c>
      <c r="AY38" s="436">
        <v>17817.152225681199</v>
      </c>
      <c r="AZ38" s="436">
        <v>17906.253474518988</v>
      </c>
      <c r="BA38" s="436">
        <v>17692.894974183557</v>
      </c>
      <c r="BB38" s="436">
        <v>17980.276590711997</v>
      </c>
      <c r="BC38" s="436">
        <v>18345.873784902757</v>
      </c>
      <c r="BD38" s="436">
        <v>18664.111806376735</v>
      </c>
      <c r="BE38" s="436">
        <v>18299.297011773768</v>
      </c>
      <c r="BF38" s="436">
        <v>18849.5629346938</v>
      </c>
      <c r="BG38" s="436">
        <v>18237.742267949303</v>
      </c>
      <c r="BH38" s="436">
        <v>18532.403376099646</v>
      </c>
      <c r="BI38" s="436">
        <v>20876.439979044691</v>
      </c>
      <c r="BJ38" s="436">
        <v>20612.104700710323</v>
      </c>
      <c r="BK38" s="436">
        <v>21015.164096153771</v>
      </c>
      <c r="BL38" s="436">
        <v>21812.39123293119</v>
      </c>
      <c r="BM38" s="436">
        <v>23286.924846593422</v>
      </c>
      <c r="BN38" s="436">
        <v>23244.365210886339</v>
      </c>
      <c r="BO38" s="436">
        <v>23903.763452114505</v>
      </c>
      <c r="BP38" s="436">
        <v>24311.55523149221</v>
      </c>
      <c r="BQ38" s="436">
        <v>24170.292192276418</v>
      </c>
      <c r="BR38" s="436">
        <v>24605.413468120329</v>
      </c>
      <c r="BS38" s="436">
        <v>24504.204618881635</v>
      </c>
      <c r="BT38" s="436">
        <v>24251.901324765495</v>
      </c>
      <c r="BU38" s="436">
        <v>24886.096967351834</v>
      </c>
      <c r="BV38" s="436">
        <v>25722.640854484063</v>
      </c>
      <c r="BW38" s="436">
        <v>26319.272506515608</v>
      </c>
      <c r="BX38" s="436">
        <v>26496.494134091485</v>
      </c>
      <c r="BY38" s="436">
        <v>26638.718733664795</v>
      </c>
      <c r="BZ38" s="436">
        <v>26592.3</v>
      </c>
      <c r="CA38" s="436">
        <v>26509.758805633959</v>
      </c>
      <c r="CB38" s="436">
        <v>26176.510753525828</v>
      </c>
      <c r="CC38" s="436">
        <v>25726.591426780855</v>
      </c>
      <c r="CD38" s="436">
        <v>25832.408048005036</v>
      </c>
      <c r="CE38" s="436">
        <v>25465.192956973882</v>
      </c>
      <c r="CF38" s="436">
        <v>25309.266102489641</v>
      </c>
      <c r="CG38" s="436">
        <v>25368.739889411077</v>
      </c>
      <c r="CH38" s="436">
        <v>26254.089162531789</v>
      </c>
      <c r="CI38" s="436">
        <v>26126.17752316855</v>
      </c>
      <c r="CJ38" s="436">
        <v>26059.490091299824</v>
      </c>
      <c r="CK38" s="436">
        <v>26240.89264214713</v>
      </c>
      <c r="CL38" s="436">
        <v>26830.54477783191</v>
      </c>
      <c r="CM38" s="436">
        <v>26935.095087198326</v>
      </c>
      <c r="CN38" s="436">
        <v>26758.256683495547</v>
      </c>
      <c r="CO38" s="436">
        <v>27000.954808954735</v>
      </c>
      <c r="CP38" s="436">
        <v>27169.520695239342</v>
      </c>
      <c r="CQ38" s="436">
        <v>26860.117312605362</v>
      </c>
      <c r="CR38" s="436">
        <v>26766.511737936911</v>
      </c>
      <c r="CS38" s="436">
        <v>27147.929035312554</v>
      </c>
      <c r="CT38" s="436">
        <v>28186.185109815851</v>
      </c>
      <c r="CU38" s="436">
        <v>28050.464175337242</v>
      </c>
      <c r="CV38" s="436">
        <v>28771.391896985078</v>
      </c>
      <c r="CW38" s="436">
        <v>28839.786654959</v>
      </c>
      <c r="CX38" s="436">
        <v>28854.741656711511</v>
      </c>
      <c r="CY38" s="436">
        <v>28577.440321043345</v>
      </c>
      <c r="CZ38" s="436">
        <v>28894.929750472991</v>
      </c>
      <c r="DA38" s="436">
        <v>28637.703148636876</v>
      </c>
      <c r="DB38" s="439">
        <v>28594.815648361047</v>
      </c>
      <c r="DC38" s="439">
        <v>28958.834719601771</v>
      </c>
      <c r="DD38" s="439">
        <v>28258.371856886795</v>
      </c>
      <c r="DE38" s="439">
        <v>28039.123374428847</v>
      </c>
      <c r="DF38" s="439">
        <v>28587.809284866391</v>
      </c>
      <c r="DH38" s="430"/>
    </row>
    <row r="39" spans="1:112" ht="15.95" customHeight="1">
      <c r="A39" s="431" t="s">
        <v>304</v>
      </c>
      <c r="B39" s="432">
        <v>468.60798435999999</v>
      </c>
      <c r="C39" s="433">
        <v>470.24154758999998</v>
      </c>
      <c r="D39" s="433">
        <v>479.68038003999999</v>
      </c>
      <c r="E39" s="434">
        <v>479.50442501999999</v>
      </c>
      <c r="F39" s="433">
        <v>481.58261557000003</v>
      </c>
      <c r="G39" s="433">
        <v>466.51204041</v>
      </c>
      <c r="H39" s="433">
        <v>457.62590590999997</v>
      </c>
      <c r="I39" s="433">
        <v>472.24705354000002</v>
      </c>
      <c r="J39" s="433">
        <v>481.09773373000002</v>
      </c>
      <c r="K39" s="434">
        <v>472.07193341999999</v>
      </c>
      <c r="L39" s="433">
        <v>496.24646680000001</v>
      </c>
      <c r="M39" s="433">
        <v>511.45445789000007</v>
      </c>
      <c r="N39" s="433">
        <v>497.24813764999999</v>
      </c>
      <c r="O39" s="434">
        <v>528.41465094750004</v>
      </c>
      <c r="P39" s="433">
        <v>539.2068761700001</v>
      </c>
      <c r="Q39" s="433">
        <v>522.09401614000001</v>
      </c>
      <c r="R39" s="434">
        <v>526.45380634000003</v>
      </c>
      <c r="S39" s="433">
        <v>542.46389465000004</v>
      </c>
      <c r="T39" s="433">
        <v>526.12812516000008</v>
      </c>
      <c r="U39" s="435">
        <v>512.83819185000004</v>
      </c>
      <c r="V39" s="435">
        <v>551.53457698</v>
      </c>
      <c r="W39" s="435">
        <v>501.04487133999999</v>
      </c>
      <c r="X39" s="435">
        <v>538.73533246</v>
      </c>
      <c r="Y39" s="435">
        <v>498.29035831000004</v>
      </c>
      <c r="Z39" s="435">
        <v>466.64985055999995</v>
      </c>
      <c r="AA39" s="435">
        <v>456.69155274000002</v>
      </c>
      <c r="AB39" s="435">
        <v>465.46625001000001</v>
      </c>
      <c r="AC39" s="435">
        <v>468.15293301999992</v>
      </c>
      <c r="AD39" s="435">
        <v>484.50061353999996</v>
      </c>
      <c r="AE39" s="435">
        <v>434.89408147000006</v>
      </c>
      <c r="AF39" s="435">
        <v>442.82866725000002</v>
      </c>
      <c r="AG39" s="435">
        <v>454.39573581999997</v>
      </c>
      <c r="AH39" s="435">
        <v>458.74458886000002</v>
      </c>
      <c r="AI39" s="435">
        <v>550.66283559999988</v>
      </c>
      <c r="AJ39" s="435">
        <v>536.79151089000004</v>
      </c>
      <c r="AK39" s="435">
        <v>525.15368693000005</v>
      </c>
      <c r="AL39" s="435">
        <v>528.87499480999998</v>
      </c>
      <c r="AM39" s="438">
        <v>736.25263270507548</v>
      </c>
      <c r="AN39" s="438">
        <v>767.22931738944737</v>
      </c>
      <c r="AO39" s="438">
        <v>762.64465607813838</v>
      </c>
      <c r="AP39" s="438">
        <v>778.36642598808839</v>
      </c>
      <c r="AQ39" s="438">
        <v>828.78973730421194</v>
      </c>
      <c r="AR39" s="432">
        <v>814.34787147140003</v>
      </c>
      <c r="AS39" s="432">
        <v>821.1324246622188</v>
      </c>
      <c r="AT39" s="432">
        <v>845.13113745280009</v>
      </c>
      <c r="AU39" s="432">
        <v>843.87320631766488</v>
      </c>
      <c r="AV39" s="432">
        <v>780.63020521483008</v>
      </c>
      <c r="AW39" s="436">
        <v>835.71731479097934</v>
      </c>
      <c r="AX39" s="436">
        <v>808.23524528150836</v>
      </c>
      <c r="AY39" s="436">
        <v>864.52464495352797</v>
      </c>
      <c r="AZ39" s="436">
        <v>835.01464383940811</v>
      </c>
      <c r="BA39" s="436">
        <v>852.48664039232472</v>
      </c>
      <c r="BB39" s="436">
        <v>820.18542898882708</v>
      </c>
      <c r="BC39" s="436">
        <v>783.24904743539662</v>
      </c>
      <c r="BD39" s="436">
        <v>854.49531804243452</v>
      </c>
      <c r="BE39" s="436">
        <v>866.56678217700005</v>
      </c>
      <c r="BF39" s="436">
        <v>863.93197241999985</v>
      </c>
      <c r="BG39" s="436">
        <v>1163.252797892</v>
      </c>
      <c r="BH39" s="436">
        <v>935.63231437349998</v>
      </c>
      <c r="BI39" s="436">
        <v>960.24258202700014</v>
      </c>
      <c r="BJ39" s="436">
        <v>929.53932955300002</v>
      </c>
      <c r="BK39" s="436">
        <v>895.58478828299997</v>
      </c>
      <c r="BL39" s="436">
        <v>918.33535403909991</v>
      </c>
      <c r="BM39" s="436">
        <v>626.41958018500009</v>
      </c>
      <c r="BN39" s="436">
        <v>628.84846234835004</v>
      </c>
      <c r="BO39" s="436">
        <v>597.69785010359988</v>
      </c>
      <c r="BP39" s="436">
        <v>645.54345992879996</v>
      </c>
      <c r="BQ39" s="436">
        <v>655.9961158003</v>
      </c>
      <c r="BR39" s="436">
        <v>672.19210213769998</v>
      </c>
      <c r="BS39" s="436">
        <v>665.46477013560002</v>
      </c>
      <c r="BT39" s="436">
        <v>673.46223828982511</v>
      </c>
      <c r="BU39" s="436">
        <v>629.98539596748401</v>
      </c>
      <c r="BV39" s="436">
        <v>639.71141224889197</v>
      </c>
      <c r="BW39" s="436">
        <v>656.70469074235007</v>
      </c>
      <c r="BX39" s="436">
        <v>642.20342627750006</v>
      </c>
      <c r="BY39" s="436">
        <v>637.97542089280012</v>
      </c>
      <c r="BZ39" s="436">
        <v>660.6</v>
      </c>
      <c r="CA39" s="436">
        <v>670.19315308</v>
      </c>
      <c r="CB39" s="436">
        <v>641.55011064440009</v>
      </c>
      <c r="CC39" s="436">
        <v>628.59565935428998</v>
      </c>
      <c r="CD39" s="436">
        <v>587.39318120709595</v>
      </c>
      <c r="CE39" s="436">
        <v>529.7320594299124</v>
      </c>
      <c r="CF39" s="436">
        <v>577.35060364858953</v>
      </c>
      <c r="CG39" s="436">
        <v>620.21793431018</v>
      </c>
      <c r="CH39" s="436">
        <v>557.35959204843937</v>
      </c>
      <c r="CI39" s="436">
        <v>555.70872516225609</v>
      </c>
      <c r="CJ39" s="436">
        <v>567.088139485488</v>
      </c>
      <c r="CK39" s="436">
        <v>567.92160093380994</v>
      </c>
      <c r="CL39" s="436">
        <v>559.07335459969693</v>
      </c>
      <c r="CM39" s="436">
        <v>577.10916266942399</v>
      </c>
      <c r="CN39" s="436">
        <v>568.76678335682527</v>
      </c>
      <c r="CO39" s="436">
        <v>536.68980986636302</v>
      </c>
      <c r="CP39" s="436">
        <v>530.40994925872496</v>
      </c>
      <c r="CQ39" s="436">
        <v>503.35971517609994</v>
      </c>
      <c r="CR39" s="436">
        <v>893.4442050251148</v>
      </c>
      <c r="CS39" s="436">
        <v>525.79527575947463</v>
      </c>
      <c r="CT39" s="436">
        <v>526.75451270656254</v>
      </c>
      <c r="CU39" s="436">
        <v>559.72252891158973</v>
      </c>
      <c r="CV39" s="436">
        <v>535.2708489375608</v>
      </c>
      <c r="CW39" s="436">
        <v>606.2287633817183</v>
      </c>
      <c r="CX39" s="436">
        <v>527.37181324143694</v>
      </c>
      <c r="CY39" s="436">
        <v>538.04903418306469</v>
      </c>
      <c r="CZ39" s="436">
        <v>561.18108326248193</v>
      </c>
      <c r="DA39" s="436">
        <v>595.73253880975585</v>
      </c>
      <c r="DB39" s="439">
        <v>572.32306120790713</v>
      </c>
      <c r="DC39" s="439">
        <v>552.5160099109097</v>
      </c>
      <c r="DD39" s="439">
        <v>593.88835595285502</v>
      </c>
      <c r="DE39" s="439">
        <v>555.75434125584161</v>
      </c>
      <c r="DF39" s="439">
        <v>572.52122886067286</v>
      </c>
      <c r="DH39" s="430"/>
    </row>
    <row r="40" spans="1:112" ht="15.95" customHeight="1">
      <c r="A40" s="431" t="s">
        <v>305</v>
      </c>
      <c r="B40" s="432">
        <v>1162.9356793799998</v>
      </c>
      <c r="C40" s="433">
        <v>1131.2907618199997</v>
      </c>
      <c r="D40" s="433">
        <v>1166.2176899599999</v>
      </c>
      <c r="E40" s="434">
        <v>1158.4819639699997</v>
      </c>
      <c r="F40" s="433">
        <v>1175.7612312900001</v>
      </c>
      <c r="G40" s="433">
        <v>941.65728150000007</v>
      </c>
      <c r="H40" s="433">
        <v>993.87810414</v>
      </c>
      <c r="I40" s="433">
        <v>1003.72506273</v>
      </c>
      <c r="J40" s="433">
        <v>1215.0490695599999</v>
      </c>
      <c r="K40" s="434">
        <v>972.94413888000008</v>
      </c>
      <c r="L40" s="433">
        <v>965.11932878000005</v>
      </c>
      <c r="M40" s="433">
        <v>916.70504654000001</v>
      </c>
      <c r="N40" s="433">
        <v>802.31248841000001</v>
      </c>
      <c r="O40" s="434">
        <v>872.13641170000005</v>
      </c>
      <c r="P40" s="433">
        <v>818.36552984999992</v>
      </c>
      <c r="Q40" s="433">
        <v>815.95914462000007</v>
      </c>
      <c r="R40" s="434">
        <v>861.96423044000005</v>
      </c>
      <c r="S40" s="433">
        <v>765.58609545000002</v>
      </c>
      <c r="T40" s="433">
        <v>853.47303348000003</v>
      </c>
      <c r="U40" s="435">
        <v>787.78583042999992</v>
      </c>
      <c r="V40" s="435">
        <v>785.84849853000014</v>
      </c>
      <c r="W40" s="435">
        <v>753.37836473999994</v>
      </c>
      <c r="X40" s="435">
        <v>662.78097652999998</v>
      </c>
      <c r="Y40" s="435">
        <v>981.96627690000003</v>
      </c>
      <c r="Z40" s="435">
        <v>1062.5459337100001</v>
      </c>
      <c r="AA40" s="435">
        <v>1204.6879438000001</v>
      </c>
      <c r="AB40" s="435">
        <v>797.69432051000001</v>
      </c>
      <c r="AC40" s="435">
        <v>774.26449505999994</v>
      </c>
      <c r="AD40" s="435">
        <v>782.88061094000011</v>
      </c>
      <c r="AE40" s="435">
        <v>1094.8615553599998</v>
      </c>
      <c r="AF40" s="435">
        <v>977.44120275000012</v>
      </c>
      <c r="AG40" s="435">
        <v>1001.5621306699999</v>
      </c>
      <c r="AH40" s="435">
        <v>933.60571980999998</v>
      </c>
      <c r="AI40" s="435">
        <v>635.71753233000004</v>
      </c>
      <c r="AJ40" s="435">
        <v>766.06467996999993</v>
      </c>
      <c r="AK40" s="435">
        <v>746.91647439999997</v>
      </c>
      <c r="AL40" s="435">
        <v>897.7234989399999</v>
      </c>
      <c r="AM40" s="438">
        <v>1213.30374869</v>
      </c>
      <c r="AN40" s="438">
        <v>1192.29668277</v>
      </c>
      <c r="AO40" s="438">
        <v>1131.4506496000001</v>
      </c>
      <c r="AP40" s="438">
        <v>967.05194824000012</v>
      </c>
      <c r="AQ40" s="438">
        <v>949.13341641739999</v>
      </c>
      <c r="AR40" s="432">
        <v>984.64917747160007</v>
      </c>
      <c r="AS40" s="432">
        <v>1308.4414925600001</v>
      </c>
      <c r="AT40" s="432">
        <v>927.91836048920004</v>
      </c>
      <c r="AU40" s="432">
        <v>865.270856181</v>
      </c>
      <c r="AV40" s="432">
        <v>844.4362185760001</v>
      </c>
      <c r="AW40" s="436">
        <v>902.59995982999988</v>
      </c>
      <c r="AX40" s="436">
        <v>870.88403972080005</v>
      </c>
      <c r="AY40" s="436">
        <v>869.90900274839998</v>
      </c>
      <c r="AZ40" s="436">
        <v>647.2437888157001</v>
      </c>
      <c r="BA40" s="436">
        <v>659.70122256280001</v>
      </c>
      <c r="BB40" s="436">
        <v>649.53919179190007</v>
      </c>
      <c r="BC40" s="436">
        <v>657.1281703308</v>
      </c>
      <c r="BD40" s="436">
        <v>721.66498546460014</v>
      </c>
      <c r="BE40" s="436">
        <v>619.60441126160003</v>
      </c>
      <c r="BF40" s="436">
        <v>689.23127576000002</v>
      </c>
      <c r="BG40" s="436">
        <v>746.58323857000005</v>
      </c>
      <c r="BH40" s="436">
        <v>816.38891534779998</v>
      </c>
      <c r="BI40" s="436">
        <v>822.91521183569989</v>
      </c>
      <c r="BJ40" s="436">
        <v>660.33382583529999</v>
      </c>
      <c r="BK40" s="436">
        <v>890.3417324400001</v>
      </c>
      <c r="BL40" s="436">
        <v>912.81419984490014</v>
      </c>
      <c r="BM40" s="436">
        <v>907.34752255759997</v>
      </c>
      <c r="BN40" s="436">
        <v>1103.4293905640002</v>
      </c>
      <c r="BO40" s="436">
        <v>1098.8190824791998</v>
      </c>
      <c r="BP40" s="436">
        <v>1086.2779939989002</v>
      </c>
      <c r="BQ40" s="436">
        <v>1102.7416683502001</v>
      </c>
      <c r="BR40" s="436">
        <v>1017.9662629621</v>
      </c>
      <c r="BS40" s="436">
        <v>1047.2683423904</v>
      </c>
      <c r="BT40" s="436">
        <v>1222.7016199096752</v>
      </c>
      <c r="BU40" s="436">
        <v>1038.192572284026</v>
      </c>
      <c r="BV40" s="436">
        <v>1070.0801470244</v>
      </c>
      <c r="BW40" s="436">
        <v>1050.290249135955</v>
      </c>
      <c r="BX40" s="436">
        <v>1023.9510717104999</v>
      </c>
      <c r="BY40" s="436">
        <v>1025.6176749312001</v>
      </c>
      <c r="BZ40" s="436">
        <v>1102.7</v>
      </c>
      <c r="CA40" s="436">
        <v>1173.2575775100001</v>
      </c>
      <c r="CB40" s="436">
        <v>1229.0083955999999</v>
      </c>
      <c r="CC40" s="436">
        <v>1241.0590705384</v>
      </c>
      <c r="CD40" s="436">
        <v>1160.4138999592342</v>
      </c>
      <c r="CE40" s="436">
        <v>1114.8627421571664</v>
      </c>
      <c r="CF40" s="436">
        <v>1151.6871802734861</v>
      </c>
      <c r="CG40" s="436">
        <v>1215.5913640822532</v>
      </c>
      <c r="CH40" s="436">
        <v>1156.1124858719008</v>
      </c>
      <c r="CI40" s="436">
        <v>1166.4370581979306</v>
      </c>
      <c r="CJ40" s="436">
        <v>1187.873294201248</v>
      </c>
      <c r="CK40" s="436">
        <v>1227.9908151867189</v>
      </c>
      <c r="CL40" s="436">
        <v>1212.3295438793812</v>
      </c>
      <c r="CM40" s="436">
        <v>1113.2806808999999</v>
      </c>
      <c r="CN40" s="436">
        <v>1246.6045088000001</v>
      </c>
      <c r="CO40" s="436">
        <v>1282.6906904670659</v>
      </c>
      <c r="CP40" s="436">
        <v>1251.0547616700001</v>
      </c>
      <c r="CQ40" s="436">
        <v>1290.3787855500002</v>
      </c>
      <c r="CR40" s="436">
        <v>1284.99398152</v>
      </c>
      <c r="CS40" s="436">
        <v>1257.0662896100002</v>
      </c>
      <c r="CT40" s="436">
        <v>1203.95263019</v>
      </c>
      <c r="CU40" s="436">
        <v>1227.5464195999998</v>
      </c>
      <c r="CV40" s="436">
        <v>1231.8452086700001</v>
      </c>
      <c r="CW40" s="436">
        <v>1253.55208881</v>
      </c>
      <c r="CX40" s="436">
        <v>1245.5277986599999</v>
      </c>
      <c r="CY40" s="436">
        <v>1252.1333085700003</v>
      </c>
      <c r="CZ40" s="436">
        <v>1254.5425171500001</v>
      </c>
      <c r="DA40" s="436">
        <v>1237.0136824099998</v>
      </c>
      <c r="DB40" s="439">
        <v>1261.8882919499999</v>
      </c>
      <c r="DC40" s="439">
        <v>1098.98831421</v>
      </c>
      <c r="DD40" s="439">
        <v>1108.71473808</v>
      </c>
      <c r="DE40" s="439">
        <v>1131.55235146</v>
      </c>
      <c r="DF40" s="439">
        <v>1213.81598981</v>
      </c>
      <c r="DH40" s="430"/>
    </row>
    <row r="41" spans="1:112" ht="15.95" customHeight="1">
      <c r="A41" s="431" t="s">
        <v>306</v>
      </c>
      <c r="B41" s="432">
        <v>6302.0155715999999</v>
      </c>
      <c r="C41" s="433">
        <v>6680.7657261099994</v>
      </c>
      <c r="D41" s="433">
        <v>6724.97390103</v>
      </c>
      <c r="E41" s="434">
        <v>6641.7870406299999</v>
      </c>
      <c r="F41" s="433">
        <v>6619.2726597399997</v>
      </c>
      <c r="G41" s="433">
        <v>6682.9836608900005</v>
      </c>
      <c r="H41" s="433">
        <v>7002.9131673500005</v>
      </c>
      <c r="I41" s="433">
        <v>6496.2261887800005</v>
      </c>
      <c r="J41" s="433">
        <v>6387.5204919999996</v>
      </c>
      <c r="K41" s="434">
        <v>6324.3398256299997</v>
      </c>
      <c r="L41" s="433">
        <v>6275.8983495599996</v>
      </c>
      <c r="M41" s="433">
        <v>6446.1536180599996</v>
      </c>
      <c r="N41" s="433">
        <v>6381.1979789400002</v>
      </c>
      <c r="O41" s="434">
        <v>6373.0213946099993</v>
      </c>
      <c r="P41" s="433">
        <v>6637.4945316800004</v>
      </c>
      <c r="Q41" s="433">
        <v>6604.8001880299998</v>
      </c>
      <c r="R41" s="434">
        <v>7131.5605834400003</v>
      </c>
      <c r="S41" s="433">
        <v>6885.8107046000005</v>
      </c>
      <c r="T41" s="433">
        <v>6880.0402745700003</v>
      </c>
      <c r="U41" s="435">
        <v>6897.9790052099988</v>
      </c>
      <c r="V41" s="435">
        <v>7111.6080771899997</v>
      </c>
      <c r="W41" s="435">
        <v>7272.3038766100008</v>
      </c>
      <c r="X41" s="435">
        <v>6765.3666168500004</v>
      </c>
      <c r="Y41" s="435">
        <v>6613.9897949399983</v>
      </c>
      <c r="Z41" s="435">
        <v>6511.3408801600008</v>
      </c>
      <c r="AA41" s="435">
        <v>6720.2382139600013</v>
      </c>
      <c r="AB41" s="435">
        <v>6799.8022695700001</v>
      </c>
      <c r="AC41" s="435">
        <v>6831.4908400600007</v>
      </c>
      <c r="AD41" s="435">
        <v>6968.8469247900011</v>
      </c>
      <c r="AE41" s="435">
        <v>6848.1601100899998</v>
      </c>
      <c r="AF41" s="435">
        <v>6873.1524102100011</v>
      </c>
      <c r="AG41" s="435">
        <v>6801.7794347700001</v>
      </c>
      <c r="AH41" s="435">
        <v>7214.9492784000004</v>
      </c>
      <c r="AI41" s="435">
        <v>7402.2263905499995</v>
      </c>
      <c r="AJ41" s="435">
        <v>7896.7884714799993</v>
      </c>
      <c r="AK41" s="435">
        <v>8124.274790559999</v>
      </c>
      <c r="AL41" s="435">
        <v>7858.4080253399998</v>
      </c>
      <c r="AM41" s="438">
        <v>8373.366120409999</v>
      </c>
      <c r="AN41" s="438">
        <v>8360.8378858800006</v>
      </c>
      <c r="AO41" s="438">
        <v>8991.8658315800003</v>
      </c>
      <c r="AP41" s="438">
        <v>9712.5298214499999</v>
      </c>
      <c r="AQ41" s="438">
        <v>9883.7314959899995</v>
      </c>
      <c r="AR41" s="432">
        <v>10251.246496</v>
      </c>
      <c r="AS41" s="432">
        <v>10210.12844561</v>
      </c>
      <c r="AT41" s="432">
        <v>10274.11542903</v>
      </c>
      <c r="AU41" s="432">
        <v>10468.837709490001</v>
      </c>
      <c r="AV41" s="432">
        <v>9958.9733252599981</v>
      </c>
      <c r="AW41" s="436">
        <v>10147.86294008</v>
      </c>
      <c r="AX41" s="436">
        <v>10126.988990459999</v>
      </c>
      <c r="AY41" s="436">
        <v>9803.2966179199993</v>
      </c>
      <c r="AZ41" s="436">
        <v>10097.500459539999</v>
      </c>
      <c r="BA41" s="436">
        <v>10765.053340660001</v>
      </c>
      <c r="BB41" s="436">
        <v>10735.642151260001</v>
      </c>
      <c r="BC41" s="436">
        <v>10856.389915900001</v>
      </c>
      <c r="BD41" s="436">
        <v>11348.335393660002</v>
      </c>
      <c r="BE41" s="436">
        <v>11034.58892355</v>
      </c>
      <c r="BF41" s="436">
        <v>10951.950675990001</v>
      </c>
      <c r="BG41" s="436">
        <v>11418.877000849998</v>
      </c>
      <c r="BH41" s="436">
        <v>11740.11639187</v>
      </c>
      <c r="BI41" s="436">
        <v>10661.107172099999</v>
      </c>
      <c r="BJ41" s="436">
        <v>11233.356511910002</v>
      </c>
      <c r="BK41" s="436">
        <v>11698.912610020001</v>
      </c>
      <c r="BL41" s="436">
        <v>11690.901640940001</v>
      </c>
      <c r="BM41" s="436">
        <v>11656.34252584</v>
      </c>
      <c r="BN41" s="436">
        <v>11898.459281705294</v>
      </c>
      <c r="BO41" s="436">
        <v>11841.779248340001</v>
      </c>
      <c r="BP41" s="436">
        <v>12119.461163170001</v>
      </c>
      <c r="BQ41" s="436">
        <v>11959.263320089998</v>
      </c>
      <c r="BR41" s="436">
        <v>12033.299451299999</v>
      </c>
      <c r="BS41" s="436">
        <v>11849.029915270001</v>
      </c>
      <c r="BT41" s="436">
        <v>12049.735481350001</v>
      </c>
      <c r="BU41" s="436">
        <v>12237.623585720001</v>
      </c>
      <c r="BV41" s="436">
        <v>12771.87269471</v>
      </c>
      <c r="BW41" s="436">
        <v>12604.712873370001</v>
      </c>
      <c r="BX41" s="436">
        <v>13016.858134540002</v>
      </c>
      <c r="BY41" s="436">
        <v>12913.63105928</v>
      </c>
      <c r="BZ41" s="436">
        <v>13147</v>
      </c>
      <c r="CA41" s="436">
        <v>13118.937917528101</v>
      </c>
      <c r="CB41" s="436">
        <v>12808.987533569998</v>
      </c>
      <c r="CC41" s="436">
        <v>12699.294463599999</v>
      </c>
      <c r="CD41" s="436">
        <v>12887.268928355456</v>
      </c>
      <c r="CE41" s="436">
        <v>13032.068816149102</v>
      </c>
      <c r="CF41" s="436">
        <v>12804.429970065301</v>
      </c>
      <c r="CG41" s="436">
        <v>12694.494009423945</v>
      </c>
      <c r="CH41" s="436">
        <v>13143.762891464403</v>
      </c>
      <c r="CI41" s="436">
        <v>13157.813962058814</v>
      </c>
      <c r="CJ41" s="436">
        <v>13578.577021504259</v>
      </c>
      <c r="CK41" s="436">
        <v>13771.555092289998</v>
      </c>
      <c r="CL41" s="436">
        <v>13816.512786643209</v>
      </c>
      <c r="CM41" s="436">
        <v>13818.975094050335</v>
      </c>
      <c r="CN41" s="436">
        <v>14040.205881303198</v>
      </c>
      <c r="CO41" s="436">
        <v>13791.420592661387</v>
      </c>
      <c r="CP41" s="436">
        <v>13684.788208897575</v>
      </c>
      <c r="CQ41" s="436">
        <v>13653.218557851666</v>
      </c>
      <c r="CR41" s="436">
        <v>13819.905715428018</v>
      </c>
      <c r="CS41" s="436">
        <v>13578.924258505071</v>
      </c>
      <c r="CT41" s="436">
        <v>13540.770921264202</v>
      </c>
      <c r="CU41" s="436">
        <v>13252.521961602872</v>
      </c>
      <c r="CV41" s="436">
        <v>13339.61738405</v>
      </c>
      <c r="CW41" s="436">
        <v>14916.01824416616</v>
      </c>
      <c r="CX41" s="436">
        <v>14210.609696606305</v>
      </c>
      <c r="CY41" s="436">
        <v>14041.001154581307</v>
      </c>
      <c r="CZ41" s="436">
        <v>15296.923382857789</v>
      </c>
      <c r="DA41" s="436">
        <v>15173.13869887598</v>
      </c>
      <c r="DB41" s="439">
        <v>15018.263919378927</v>
      </c>
      <c r="DC41" s="439">
        <v>14742.938335681563</v>
      </c>
      <c r="DD41" s="439">
        <v>14956.65082925991</v>
      </c>
      <c r="DE41" s="439">
        <v>14510.333934833619</v>
      </c>
      <c r="DF41" s="439">
        <v>15056.144897588718</v>
      </c>
      <c r="DH41" s="430"/>
    </row>
    <row r="42" spans="1:112" ht="15.95" customHeight="1">
      <c r="A42" s="431" t="s">
        <v>307</v>
      </c>
      <c r="B42" s="432">
        <v>189.6872918</v>
      </c>
      <c r="C42" s="433">
        <v>192.32956038000003</v>
      </c>
      <c r="D42" s="433">
        <v>187.63579283999997</v>
      </c>
      <c r="E42" s="434">
        <v>186.83519117999998</v>
      </c>
      <c r="F42" s="433">
        <v>190.58374953999999</v>
      </c>
      <c r="G42" s="433">
        <v>189.64591591999999</v>
      </c>
      <c r="H42" s="433">
        <v>186.66834541000003</v>
      </c>
      <c r="I42" s="433">
        <v>187.36985098000002</v>
      </c>
      <c r="J42" s="433">
        <v>185.50251247999998</v>
      </c>
      <c r="K42" s="434">
        <v>189.50261290999995</v>
      </c>
      <c r="L42" s="433">
        <v>245.97233521000004</v>
      </c>
      <c r="M42" s="433">
        <v>236.67397958000001</v>
      </c>
      <c r="N42" s="433">
        <v>240.47186411999999</v>
      </c>
      <c r="O42" s="434">
        <v>237.13085701</v>
      </c>
      <c r="P42" s="433">
        <v>240.56629139000003</v>
      </c>
      <c r="Q42" s="433">
        <v>232.90897743999994</v>
      </c>
      <c r="R42" s="434">
        <v>233.20169378999998</v>
      </c>
      <c r="S42" s="433">
        <v>228.62220969000003</v>
      </c>
      <c r="T42" s="433">
        <v>230.02197689000002</v>
      </c>
      <c r="U42" s="435">
        <v>224.88639358999998</v>
      </c>
      <c r="V42" s="435">
        <v>223.13200476</v>
      </c>
      <c r="W42" s="435">
        <v>229.63675009000002</v>
      </c>
      <c r="X42" s="435">
        <v>230.63354143999996</v>
      </c>
      <c r="Y42" s="435">
        <v>231.76835582999999</v>
      </c>
      <c r="Z42" s="435">
        <v>232.92954629000002</v>
      </c>
      <c r="AA42" s="435">
        <v>227.12856425000001</v>
      </c>
      <c r="AB42" s="435">
        <v>225.40608684999998</v>
      </c>
      <c r="AC42" s="435">
        <v>222.93032299000001</v>
      </c>
      <c r="AD42" s="435">
        <v>225.67875407999998</v>
      </c>
      <c r="AE42" s="435">
        <v>220.07457709000002</v>
      </c>
      <c r="AF42" s="435">
        <v>217.45503998000001</v>
      </c>
      <c r="AG42" s="435">
        <v>212.09023410000003</v>
      </c>
      <c r="AH42" s="435">
        <v>216.46422154999999</v>
      </c>
      <c r="AI42" s="435">
        <v>262.10546948000001</v>
      </c>
      <c r="AJ42" s="435">
        <v>250.27184975</v>
      </c>
      <c r="AK42" s="435">
        <v>246.37631425000006</v>
      </c>
      <c r="AL42" s="435">
        <v>252.57374556470003</v>
      </c>
      <c r="AM42" s="438">
        <v>266.12989082154002</v>
      </c>
      <c r="AN42" s="438">
        <v>262.62759897350799</v>
      </c>
      <c r="AO42" s="438">
        <v>258.93287238400001</v>
      </c>
      <c r="AP42" s="438">
        <v>258.21758849066197</v>
      </c>
      <c r="AQ42" s="438">
        <v>259.120777493216</v>
      </c>
      <c r="AR42" s="432">
        <v>254.30588637480002</v>
      </c>
      <c r="AS42" s="432">
        <v>266.04407790399995</v>
      </c>
      <c r="AT42" s="432">
        <v>274.803833884992</v>
      </c>
      <c r="AU42" s="432">
        <v>272.57093989853598</v>
      </c>
      <c r="AV42" s="432">
        <v>267.98756963200003</v>
      </c>
      <c r="AW42" s="436">
        <v>264.32966434080004</v>
      </c>
      <c r="AX42" s="436">
        <v>265.01099268001599</v>
      </c>
      <c r="AY42" s="436">
        <v>271.85899290409992</v>
      </c>
      <c r="AZ42" s="436">
        <v>274.65470752433197</v>
      </c>
      <c r="BA42" s="436">
        <v>279.41477370823003</v>
      </c>
      <c r="BB42" s="436">
        <v>277.1825085653</v>
      </c>
      <c r="BC42" s="436">
        <v>277.09952837940563</v>
      </c>
      <c r="BD42" s="436">
        <v>275.55134261480589</v>
      </c>
      <c r="BE42" s="436">
        <v>273.70802355509903</v>
      </c>
      <c r="BF42" s="436">
        <v>268.14331030472505</v>
      </c>
      <c r="BG42" s="436">
        <v>269.02164397112</v>
      </c>
      <c r="BH42" s="436">
        <v>731.10729746381207</v>
      </c>
      <c r="BI42" s="436">
        <v>791.4426735720939</v>
      </c>
      <c r="BJ42" s="436">
        <v>831.26537429648999</v>
      </c>
      <c r="BK42" s="436">
        <v>830.56692355338316</v>
      </c>
      <c r="BL42" s="436">
        <v>837.41173247365589</v>
      </c>
      <c r="BM42" s="436">
        <v>889.69365506415386</v>
      </c>
      <c r="BN42" s="436">
        <v>902.07250825924405</v>
      </c>
      <c r="BO42" s="436">
        <v>964.38526821359596</v>
      </c>
      <c r="BP42" s="436">
        <v>952.33906185976116</v>
      </c>
      <c r="BQ42" s="436">
        <v>934.85561663628698</v>
      </c>
      <c r="BR42" s="436">
        <v>930.74407377235798</v>
      </c>
      <c r="BS42" s="436">
        <v>896.93220265692787</v>
      </c>
      <c r="BT42" s="436">
        <v>891.44318436327978</v>
      </c>
      <c r="BU42" s="436">
        <v>872.35668540845006</v>
      </c>
      <c r="BV42" s="436">
        <v>883.20447421792983</v>
      </c>
      <c r="BW42" s="436">
        <v>855.66444331264495</v>
      </c>
      <c r="BX42" s="436">
        <v>852.46329929900003</v>
      </c>
      <c r="BY42" s="436">
        <v>850.37503405889993</v>
      </c>
      <c r="BZ42" s="436">
        <v>842.7</v>
      </c>
      <c r="CA42" s="436">
        <v>843.82739237395106</v>
      </c>
      <c r="CB42" s="436">
        <v>823.68528307794395</v>
      </c>
      <c r="CC42" s="436">
        <v>835.41973142809604</v>
      </c>
      <c r="CD42" s="436">
        <v>806.93081357865594</v>
      </c>
      <c r="CE42" s="436">
        <v>826.45568050751604</v>
      </c>
      <c r="CF42" s="436">
        <v>829.50856398211704</v>
      </c>
      <c r="CG42" s="436">
        <v>841.19152755898278</v>
      </c>
      <c r="CH42" s="436">
        <v>828.68114600926219</v>
      </c>
      <c r="CI42" s="436">
        <v>836.14533475577196</v>
      </c>
      <c r="CJ42" s="436">
        <v>832.7422997703361</v>
      </c>
      <c r="CK42" s="436">
        <v>829.79129939327083</v>
      </c>
      <c r="CL42" s="436">
        <v>826.88951937407182</v>
      </c>
      <c r="CM42" s="436">
        <v>808.0384836316731</v>
      </c>
      <c r="CN42" s="436">
        <v>849.70204623608936</v>
      </c>
      <c r="CO42" s="436">
        <v>1019.243693077647</v>
      </c>
      <c r="CP42" s="436">
        <v>992.75879927492508</v>
      </c>
      <c r="CQ42" s="436">
        <v>1011.2587461904056</v>
      </c>
      <c r="CR42" s="436">
        <v>1010.3461376177301</v>
      </c>
      <c r="CS42" s="436">
        <v>1055.8751111770673</v>
      </c>
      <c r="CT42" s="436">
        <v>1089.1370878063594</v>
      </c>
      <c r="CU42" s="436">
        <v>1089.0781982112446</v>
      </c>
      <c r="CV42" s="436">
        <v>1076.6301543840375</v>
      </c>
      <c r="CW42" s="436">
        <v>1071.6646437035176</v>
      </c>
      <c r="CX42" s="436">
        <v>1073.0638386189773</v>
      </c>
      <c r="CY42" s="436">
        <v>1080.2455569395288</v>
      </c>
      <c r="CZ42" s="436">
        <v>1058.4495861952448</v>
      </c>
      <c r="DA42" s="436">
        <v>1075.185473917325</v>
      </c>
      <c r="DB42" s="439">
        <v>1086.4122225771741</v>
      </c>
      <c r="DC42" s="439">
        <v>1065.1949677377149</v>
      </c>
      <c r="DD42" s="439">
        <v>1053.1878796096657</v>
      </c>
      <c r="DE42" s="439">
        <v>1056.691897941708</v>
      </c>
      <c r="DF42" s="439">
        <v>1041.954267578139</v>
      </c>
      <c r="DH42" s="430"/>
    </row>
    <row r="43" spans="1:112" ht="15.95" customHeight="1">
      <c r="A43" s="431" t="s">
        <v>308</v>
      </c>
      <c r="B43" s="432">
        <v>9.1179679999999994</v>
      </c>
      <c r="C43" s="433">
        <v>11.717330350000001</v>
      </c>
      <c r="D43" s="433">
        <v>7.9930430399999999</v>
      </c>
      <c r="E43" s="434">
        <v>11.861389920000001</v>
      </c>
      <c r="F43" s="433">
        <v>9.7494911799999997</v>
      </c>
      <c r="G43" s="433">
        <v>10.30769705</v>
      </c>
      <c r="H43" s="433">
        <v>9.1355911999999986</v>
      </c>
      <c r="I43" s="433">
        <v>9.0528145999999996</v>
      </c>
      <c r="J43" s="433">
        <v>10.624908900000001</v>
      </c>
      <c r="K43" s="434">
        <v>10.878828310000001</v>
      </c>
      <c r="L43" s="433">
        <v>11.046060539999999</v>
      </c>
      <c r="M43" s="433">
        <v>11.032120429999997</v>
      </c>
      <c r="N43" s="433">
        <v>11.822817200000003</v>
      </c>
      <c r="O43" s="434">
        <v>10.679816880000001</v>
      </c>
      <c r="P43" s="433">
        <v>10.692720060000001</v>
      </c>
      <c r="Q43" s="433">
        <v>11.146156640000001</v>
      </c>
      <c r="R43" s="434">
        <v>8.5388528500000014</v>
      </c>
      <c r="S43" s="433">
        <v>8.4781432800000012</v>
      </c>
      <c r="T43" s="433">
        <v>8.530895189999999</v>
      </c>
      <c r="U43" s="435">
        <v>7.4263485899999999</v>
      </c>
      <c r="V43" s="435">
        <v>13.55000566</v>
      </c>
      <c r="W43" s="435">
        <v>13.858574460000002</v>
      </c>
      <c r="X43" s="435">
        <v>14.853204540000002</v>
      </c>
      <c r="Y43" s="435">
        <v>15.98460249</v>
      </c>
      <c r="Z43" s="435">
        <v>16.775565620000002</v>
      </c>
      <c r="AA43" s="435">
        <v>21.351797350000002</v>
      </c>
      <c r="AB43" s="435">
        <v>18.04752336</v>
      </c>
      <c r="AC43" s="435">
        <v>17.801968250000002</v>
      </c>
      <c r="AD43" s="435">
        <v>23.587131700000004</v>
      </c>
      <c r="AE43" s="435">
        <v>23.747023110000001</v>
      </c>
      <c r="AF43" s="435">
        <v>24.5029425</v>
      </c>
      <c r="AG43" s="435">
        <v>28.635337280000002</v>
      </c>
      <c r="AH43" s="435">
        <v>28.349896670000003</v>
      </c>
      <c r="AI43" s="435">
        <v>27.042128439999999</v>
      </c>
      <c r="AJ43" s="435">
        <v>27.353368019999998</v>
      </c>
      <c r="AK43" s="435">
        <v>29.129719699999999</v>
      </c>
      <c r="AL43" s="435">
        <v>54.231304629999997</v>
      </c>
      <c r="AM43" s="438">
        <v>36.303846450000002</v>
      </c>
      <c r="AN43" s="438">
        <v>34.53936684</v>
      </c>
      <c r="AO43" s="438">
        <v>35.051417840000006</v>
      </c>
      <c r="AP43" s="438">
        <v>34.887700359999997</v>
      </c>
      <c r="AQ43" s="438">
        <v>34.210978850000004</v>
      </c>
      <c r="AR43" s="432">
        <v>40.022331689999987</v>
      </c>
      <c r="AS43" s="432">
        <v>32.492058</v>
      </c>
      <c r="AT43" s="432">
        <v>31.745576939999992</v>
      </c>
      <c r="AU43" s="432">
        <v>31.953326220000005</v>
      </c>
      <c r="AV43" s="432">
        <v>31.040383429999999</v>
      </c>
      <c r="AW43" s="436">
        <v>30.791606260000005</v>
      </c>
      <c r="AX43" s="436">
        <v>31.402356489999995</v>
      </c>
      <c r="AY43" s="436">
        <v>30.432792489999997</v>
      </c>
      <c r="AZ43" s="436">
        <v>30.363027689999999</v>
      </c>
      <c r="BA43" s="436">
        <v>30.000618639999995</v>
      </c>
      <c r="BB43" s="436">
        <v>29.035494579999998</v>
      </c>
      <c r="BC43" s="436">
        <v>28.41835571</v>
      </c>
      <c r="BD43" s="436">
        <v>26.344219199999994</v>
      </c>
      <c r="BE43" s="436">
        <v>26.544093340000003</v>
      </c>
      <c r="BF43" s="436">
        <v>27.0836316</v>
      </c>
      <c r="BG43" s="436">
        <v>28.204045580000003</v>
      </c>
      <c r="BH43" s="436">
        <v>27.007360149999993</v>
      </c>
      <c r="BI43" s="436">
        <v>25.730599300000002</v>
      </c>
      <c r="BJ43" s="436">
        <v>24.559592890000001</v>
      </c>
      <c r="BK43" s="436">
        <v>25.746821460000003</v>
      </c>
      <c r="BL43" s="436">
        <v>25.202615220000002</v>
      </c>
      <c r="BM43" s="436">
        <v>25.036359859999994</v>
      </c>
      <c r="BN43" s="436">
        <v>25.760922540000006</v>
      </c>
      <c r="BO43" s="436">
        <v>25.63661763</v>
      </c>
      <c r="BP43" s="436">
        <v>33.795003980000004</v>
      </c>
      <c r="BQ43" s="436">
        <v>34.978401329999997</v>
      </c>
      <c r="BR43" s="436">
        <v>34.664465499999999</v>
      </c>
      <c r="BS43" s="436">
        <v>34.285675879999992</v>
      </c>
      <c r="BT43" s="436">
        <v>33.907771889999999</v>
      </c>
      <c r="BU43" s="436">
        <v>34.581127389999992</v>
      </c>
      <c r="BV43" s="436">
        <v>53.388415217228001</v>
      </c>
      <c r="BW43" s="436">
        <v>34.210427230000001</v>
      </c>
      <c r="BX43" s="436">
        <v>33.95963038</v>
      </c>
      <c r="BY43" s="436">
        <v>34.358752379999999</v>
      </c>
      <c r="BZ43" s="436">
        <v>33.200000000000003</v>
      </c>
      <c r="CA43" s="436">
        <v>34.69655899</v>
      </c>
      <c r="CB43" s="436">
        <v>11.339506000000002</v>
      </c>
      <c r="CC43" s="436">
        <v>14.406287180000001</v>
      </c>
      <c r="CD43" s="436">
        <v>27.876087310000003</v>
      </c>
      <c r="CE43" s="436">
        <v>37.507127600000011</v>
      </c>
      <c r="CF43" s="436">
        <v>36.770421140000003</v>
      </c>
      <c r="CG43" s="436">
        <v>36.755045270000004</v>
      </c>
      <c r="CH43" s="436">
        <v>36.217659510000004</v>
      </c>
      <c r="CI43" s="436">
        <v>36.527300359999998</v>
      </c>
      <c r="CJ43" s="436">
        <v>37.783368440000004</v>
      </c>
      <c r="CK43" s="436">
        <v>39.791675770000005</v>
      </c>
      <c r="CL43" s="436">
        <v>40.09645939</v>
      </c>
      <c r="CM43" s="436">
        <v>39.640578560000009</v>
      </c>
      <c r="CN43" s="436">
        <v>38.382180340000005</v>
      </c>
      <c r="CO43" s="436">
        <v>36.287515649999996</v>
      </c>
      <c r="CP43" s="436">
        <v>37.44355109</v>
      </c>
      <c r="CQ43" s="436">
        <v>36.432409760000006</v>
      </c>
      <c r="CR43" s="436">
        <v>34.820023059999997</v>
      </c>
      <c r="CS43" s="436">
        <v>35.05335419</v>
      </c>
      <c r="CT43" s="436">
        <v>33.86718071</v>
      </c>
      <c r="CU43" s="436">
        <v>31.920368870000001</v>
      </c>
      <c r="CV43" s="436">
        <v>30.837736710000001</v>
      </c>
      <c r="CW43" s="436">
        <v>31.309508759999996</v>
      </c>
      <c r="CX43" s="436">
        <v>30.176052100000003</v>
      </c>
      <c r="CY43" s="436">
        <v>30.069471799999999</v>
      </c>
      <c r="CZ43" s="436">
        <v>29.548265860000004</v>
      </c>
      <c r="DA43" s="436">
        <v>20.06854435</v>
      </c>
      <c r="DB43" s="439">
        <v>20.878156080000004</v>
      </c>
      <c r="DC43" s="439">
        <v>23.398656950000003</v>
      </c>
      <c r="DD43" s="439">
        <v>22.655865349999999</v>
      </c>
      <c r="DE43" s="439">
        <v>21.614540089999998</v>
      </c>
      <c r="DF43" s="439">
        <v>23.019424740000002</v>
      </c>
      <c r="DH43" s="430"/>
    </row>
    <row r="44" spans="1:112" ht="15.95" customHeight="1">
      <c r="A44" s="431" t="s">
        <v>284</v>
      </c>
      <c r="B44" s="432">
        <v>539.78935437000007</v>
      </c>
      <c r="C44" s="433">
        <v>548.58207482</v>
      </c>
      <c r="D44" s="433">
        <v>565.70722658999989</v>
      </c>
      <c r="E44" s="434">
        <v>580.94715040000006</v>
      </c>
      <c r="F44" s="433">
        <v>617.31582035999998</v>
      </c>
      <c r="G44" s="433">
        <v>657.55819094999993</v>
      </c>
      <c r="H44" s="433">
        <v>527.06340307000005</v>
      </c>
      <c r="I44" s="433">
        <v>543.04851510000003</v>
      </c>
      <c r="J44" s="433">
        <v>568.70341068000005</v>
      </c>
      <c r="K44" s="434">
        <v>573.9546988100002</v>
      </c>
      <c r="L44" s="433">
        <v>605.46253640000009</v>
      </c>
      <c r="M44" s="433">
        <v>583.08300181000004</v>
      </c>
      <c r="N44" s="433">
        <v>664.49157885</v>
      </c>
      <c r="O44" s="434">
        <v>744.62315599999999</v>
      </c>
      <c r="P44" s="433">
        <v>710.63416259000007</v>
      </c>
      <c r="Q44" s="433">
        <v>743.29148486000008</v>
      </c>
      <c r="R44" s="434">
        <v>657.81545875999996</v>
      </c>
      <c r="S44" s="433">
        <v>560.77851320000002</v>
      </c>
      <c r="T44" s="433">
        <v>858.82542734000003</v>
      </c>
      <c r="U44" s="435">
        <v>751.59007845000008</v>
      </c>
      <c r="V44" s="435">
        <v>837.13474081605693</v>
      </c>
      <c r="W44" s="435">
        <v>770.22520124000005</v>
      </c>
      <c r="X44" s="435">
        <v>754.7646929</v>
      </c>
      <c r="Y44" s="435">
        <v>858.72921881100001</v>
      </c>
      <c r="Z44" s="435">
        <v>515.52354195999999</v>
      </c>
      <c r="AA44" s="435">
        <v>516.51998596999988</v>
      </c>
      <c r="AB44" s="435">
        <v>524.02571904000001</v>
      </c>
      <c r="AC44" s="435">
        <v>529.84544390000008</v>
      </c>
      <c r="AD44" s="435">
        <v>527.13337433000004</v>
      </c>
      <c r="AE44" s="435">
        <v>535.76862000000017</v>
      </c>
      <c r="AF44" s="435">
        <v>534.31213407999996</v>
      </c>
      <c r="AG44" s="435">
        <v>536.77270602999999</v>
      </c>
      <c r="AH44" s="435">
        <v>557.27946539999994</v>
      </c>
      <c r="AI44" s="435">
        <v>595.37523784000018</v>
      </c>
      <c r="AJ44" s="435">
        <v>630.87692701999993</v>
      </c>
      <c r="AK44" s="435">
        <v>782.60331338000015</v>
      </c>
      <c r="AL44" s="435">
        <v>817.06506802000013</v>
      </c>
      <c r="AM44" s="438">
        <v>800.23005174000002</v>
      </c>
      <c r="AN44" s="438">
        <v>845.71302927000011</v>
      </c>
      <c r="AO44" s="438">
        <v>881.20600865999984</v>
      </c>
      <c r="AP44" s="438">
        <v>833.67427188040006</v>
      </c>
      <c r="AQ44" s="438">
        <v>830.88879944120004</v>
      </c>
      <c r="AR44" s="432">
        <v>897.16288857920006</v>
      </c>
      <c r="AS44" s="432">
        <v>890.84792920999996</v>
      </c>
      <c r="AT44" s="432">
        <v>888.9294787888</v>
      </c>
      <c r="AU44" s="432">
        <v>897.53329884579978</v>
      </c>
      <c r="AV44" s="432">
        <v>931.86480171099993</v>
      </c>
      <c r="AW44" s="436">
        <v>937.65749278639987</v>
      </c>
      <c r="AX44" s="436">
        <v>936.12149389440003</v>
      </c>
      <c r="AY44" s="436">
        <v>814.3107841538</v>
      </c>
      <c r="AZ44" s="436">
        <v>1023.3660082983939</v>
      </c>
      <c r="BA44" s="436">
        <v>822.96325733930382</v>
      </c>
      <c r="BB44" s="436">
        <v>832.45161461286375</v>
      </c>
      <c r="BC44" s="436">
        <v>787.17263283840714</v>
      </c>
      <c r="BD44" s="436">
        <v>778.55287907080799</v>
      </c>
      <c r="BE44" s="436">
        <v>943.64268388303014</v>
      </c>
      <c r="BF44" s="436">
        <v>806.508551533012</v>
      </c>
      <c r="BG44" s="436">
        <v>1010.202861477715</v>
      </c>
      <c r="BH44" s="436">
        <v>865.58886733841814</v>
      </c>
      <c r="BI44" s="436">
        <v>712.76718111757691</v>
      </c>
      <c r="BJ44" s="436">
        <v>1019.780219283983</v>
      </c>
      <c r="BK44" s="436">
        <v>1050.0713885781711</v>
      </c>
      <c r="BL44" s="436">
        <v>1143.281363254599</v>
      </c>
      <c r="BM44" s="436">
        <v>1146.490454316526</v>
      </c>
      <c r="BN44" s="436">
        <v>1222.0116272702887</v>
      </c>
      <c r="BO44" s="436">
        <v>1151.6562707865241</v>
      </c>
      <c r="BP44" s="436">
        <v>1231.4548334625169</v>
      </c>
      <c r="BQ44" s="436">
        <v>1238.36913883326</v>
      </c>
      <c r="BR44" s="436">
        <v>1421.1481479936172</v>
      </c>
      <c r="BS44" s="436">
        <v>1253.6246951718081</v>
      </c>
      <c r="BT44" s="436">
        <v>1268.1211070703273</v>
      </c>
      <c r="BU44" s="436">
        <v>1263.6856022597819</v>
      </c>
      <c r="BV44" s="436">
        <v>1064.5375290743139</v>
      </c>
      <c r="BW44" s="436">
        <v>1029.9438236654751</v>
      </c>
      <c r="BX44" s="436">
        <v>1052.3318947415</v>
      </c>
      <c r="BY44" s="436">
        <v>1188.8084911952001</v>
      </c>
      <c r="BZ44" s="436">
        <v>1193.5</v>
      </c>
      <c r="CA44" s="436">
        <v>1093.851042185868</v>
      </c>
      <c r="CB44" s="436">
        <v>1338.8213563860361</v>
      </c>
      <c r="CC44" s="436">
        <v>1327.4253676294302</v>
      </c>
      <c r="CD44" s="436">
        <v>1077.311930044164</v>
      </c>
      <c r="CE44" s="436">
        <v>1124.7996697814765</v>
      </c>
      <c r="CF44" s="436">
        <v>1170.6626615565724</v>
      </c>
      <c r="CG44" s="436">
        <v>1295.7346857095865</v>
      </c>
      <c r="CH44" s="436">
        <v>1348.9760310953716</v>
      </c>
      <c r="CI44" s="436">
        <v>1374.7306684135169</v>
      </c>
      <c r="CJ44" s="436">
        <v>1306.5412976435859</v>
      </c>
      <c r="CK44" s="436">
        <v>1314.6609370650281</v>
      </c>
      <c r="CL44" s="436">
        <v>1374.1045757986594</v>
      </c>
      <c r="CM44" s="436">
        <v>1445.1392124990352</v>
      </c>
      <c r="CN44" s="436">
        <v>1303.8258014114747</v>
      </c>
      <c r="CO44" s="436">
        <v>1455.7797293230619</v>
      </c>
      <c r="CP44" s="436">
        <v>1613.1706659899</v>
      </c>
      <c r="CQ44" s="436">
        <v>1616.5549757385822</v>
      </c>
      <c r="CR44" s="436">
        <v>1392.1073086108049</v>
      </c>
      <c r="CS44" s="436">
        <v>1389.2250606134035</v>
      </c>
      <c r="CT44" s="436">
        <v>1359.5992547122089</v>
      </c>
      <c r="CU44" s="436">
        <v>1380.7155535841237</v>
      </c>
      <c r="CV44" s="436">
        <v>1385.6788804654577</v>
      </c>
      <c r="CW44" s="436">
        <v>1405.2005205780999</v>
      </c>
      <c r="CX44" s="436">
        <v>1424.1509535561054</v>
      </c>
      <c r="CY44" s="436">
        <v>1434.2071631498834</v>
      </c>
      <c r="CZ44" s="436">
        <v>1660.5004065388732</v>
      </c>
      <c r="DA44" s="436">
        <v>1631.4326556356568</v>
      </c>
      <c r="DB44" s="439">
        <v>1708.2016841869631</v>
      </c>
      <c r="DC44" s="439">
        <v>1638.1347618310799</v>
      </c>
      <c r="DD44" s="439">
        <v>1952.9461514572563</v>
      </c>
      <c r="DE44" s="439">
        <v>1696.790403159481</v>
      </c>
      <c r="DF44" s="439">
        <v>1716.1986143612187</v>
      </c>
      <c r="DH44" s="430"/>
    </row>
    <row r="45" spans="1:112" ht="7.7" customHeight="1">
      <c r="A45" s="431"/>
      <c r="B45" s="420"/>
      <c r="C45" s="422"/>
      <c r="D45" s="422"/>
      <c r="E45" s="423"/>
      <c r="F45" s="422"/>
      <c r="G45" s="422"/>
      <c r="H45" s="433"/>
      <c r="I45" s="433"/>
      <c r="J45" s="433"/>
      <c r="K45" s="434"/>
      <c r="L45" s="433"/>
      <c r="M45" s="433"/>
      <c r="N45" s="433"/>
      <c r="O45" s="434"/>
      <c r="P45" s="433"/>
      <c r="Q45" s="433"/>
      <c r="R45" s="434"/>
      <c r="S45" s="433"/>
      <c r="T45" s="433"/>
      <c r="U45" s="435"/>
      <c r="V45" s="435"/>
      <c r="W45" s="435"/>
      <c r="X45" s="435"/>
      <c r="Y45" s="435"/>
      <c r="Z45" s="435"/>
      <c r="AA45" s="435"/>
      <c r="AB45" s="435"/>
      <c r="AC45" s="435"/>
      <c r="AD45" s="435"/>
      <c r="AE45" s="435"/>
      <c r="AF45" s="435"/>
      <c r="AG45" s="435"/>
      <c r="AH45" s="435"/>
      <c r="AI45" s="435"/>
      <c r="AJ45" s="435"/>
      <c r="AK45" s="435"/>
      <c r="AL45" s="435"/>
      <c r="AM45" s="426"/>
      <c r="AN45" s="426"/>
      <c r="AO45" s="426"/>
      <c r="AP45" s="426"/>
      <c r="AQ45" s="426"/>
      <c r="AR45" s="420"/>
      <c r="AS45" s="420"/>
      <c r="AT45" s="420"/>
      <c r="AU45" s="420"/>
      <c r="AV45" s="420"/>
      <c r="AW45" s="427"/>
      <c r="AX45" s="427"/>
      <c r="AY45" s="427"/>
      <c r="AZ45" s="427"/>
      <c r="BA45" s="427"/>
      <c r="BB45" s="427"/>
      <c r="BC45" s="427"/>
      <c r="BD45" s="427"/>
      <c r="BE45" s="427"/>
      <c r="BF45" s="427"/>
      <c r="BG45" s="427"/>
      <c r="BH45" s="427"/>
      <c r="BI45" s="427"/>
      <c r="BJ45" s="427"/>
      <c r="BK45" s="427"/>
      <c r="BL45" s="427"/>
      <c r="BM45" s="427"/>
      <c r="BN45" s="427"/>
      <c r="BO45" s="427"/>
      <c r="BP45" s="427"/>
      <c r="BQ45" s="427"/>
      <c r="BR45" s="427"/>
      <c r="BS45" s="427"/>
      <c r="BT45" s="427"/>
      <c r="BU45" s="427"/>
      <c r="BV45" s="427"/>
      <c r="BW45" s="427"/>
      <c r="BX45" s="427"/>
      <c r="BY45" s="427"/>
      <c r="BZ45" s="427"/>
      <c r="CA45" s="427"/>
      <c r="CB45" s="427"/>
      <c r="CC45" s="427"/>
      <c r="CD45" s="427"/>
      <c r="CE45" s="427"/>
      <c r="CF45" s="427"/>
      <c r="CG45" s="427"/>
      <c r="CH45" s="427"/>
      <c r="CI45" s="427"/>
      <c r="CJ45" s="427"/>
      <c r="CK45" s="427"/>
      <c r="CL45" s="427"/>
      <c r="CM45" s="427"/>
      <c r="CN45" s="427"/>
      <c r="CO45" s="427"/>
      <c r="CP45" s="427"/>
      <c r="CQ45" s="427"/>
      <c r="CR45" s="427"/>
      <c r="CS45" s="427"/>
      <c r="CT45" s="427"/>
      <c r="CU45" s="427"/>
      <c r="CV45" s="427"/>
      <c r="CW45" s="427"/>
      <c r="CX45" s="427"/>
      <c r="CY45" s="427"/>
      <c r="CZ45" s="427"/>
      <c r="DA45" s="427"/>
      <c r="DB45" s="439"/>
      <c r="DC45" s="439"/>
      <c r="DD45" s="439"/>
      <c r="DE45" s="439"/>
      <c r="DF45" s="439"/>
      <c r="DH45" s="430"/>
    </row>
    <row r="46" spans="1:112">
      <c r="A46" s="419" t="s">
        <v>309</v>
      </c>
      <c r="B46" s="420">
        <f>SUM(B48:B51)</f>
        <v>1507.9093747049999</v>
      </c>
      <c r="C46" s="422">
        <f>SUM(C48:C51)</f>
        <v>1542.6106689406001</v>
      </c>
      <c r="D46" s="422">
        <f>SUM(D48:D51)</f>
        <v>1583.4084174880493</v>
      </c>
      <c r="E46" s="423">
        <f>SUM(E48:E51)</f>
        <v>1626.3693852657998</v>
      </c>
      <c r="F46" s="422">
        <v>1663.8525117079998</v>
      </c>
      <c r="G46" s="422">
        <v>1614.8310764131245</v>
      </c>
      <c r="H46" s="422">
        <v>1667.2594229967999</v>
      </c>
      <c r="I46" s="422">
        <v>1769.0401730732001</v>
      </c>
      <c r="J46" s="422">
        <v>1804.5943364356999</v>
      </c>
      <c r="K46" s="423">
        <v>1678.8298993211999</v>
      </c>
      <c r="L46" s="422">
        <v>1662.1322985980821</v>
      </c>
      <c r="M46" s="422">
        <v>1785.5782674136215</v>
      </c>
      <c r="N46" s="422">
        <v>1681.4720079152601</v>
      </c>
      <c r="O46" s="423">
        <v>1820.0241912598135</v>
      </c>
      <c r="P46" s="422">
        <v>1812.3416303069812</v>
      </c>
      <c r="Q46" s="422">
        <v>1827.0150746129</v>
      </c>
      <c r="R46" s="423">
        <v>1919.5849163169003</v>
      </c>
      <c r="S46" s="422">
        <v>1952.2230894799998</v>
      </c>
      <c r="T46" s="422">
        <v>1856.6156807300003</v>
      </c>
      <c r="U46" s="425">
        <v>1977.1131353615121</v>
      </c>
      <c r="V46" s="425">
        <v>1861.3632187131373</v>
      </c>
      <c r="W46" s="425">
        <v>1956.3038161931001</v>
      </c>
      <c r="X46" s="425">
        <v>1792.8484450167871</v>
      </c>
      <c r="Y46" s="425">
        <v>1725.8792000850983</v>
      </c>
      <c r="Z46" s="425">
        <v>1771.6303483495999</v>
      </c>
      <c r="AA46" s="425">
        <v>1737.0364231145425</v>
      </c>
      <c r="AB46" s="425">
        <v>1830.4835457123991</v>
      </c>
      <c r="AC46" s="425">
        <v>1724.685240899641</v>
      </c>
      <c r="AD46" s="425">
        <v>1617.174472785402</v>
      </c>
      <c r="AE46" s="425">
        <v>1777.4779295824446</v>
      </c>
      <c r="AF46" s="425">
        <v>1694.0516297244874</v>
      </c>
      <c r="AG46" s="425">
        <v>1654.2610520060198</v>
      </c>
      <c r="AH46" s="425">
        <v>1658.2851287218</v>
      </c>
      <c r="AI46" s="425">
        <v>938.44709902960005</v>
      </c>
      <c r="AJ46" s="425">
        <v>963.12456160599993</v>
      </c>
      <c r="AK46" s="425">
        <v>941.76839496353796</v>
      </c>
      <c r="AL46" s="425">
        <v>955.7033265435</v>
      </c>
      <c r="AM46" s="426">
        <v>980.575431761</v>
      </c>
      <c r="AN46" s="426">
        <v>1001.0715535640001</v>
      </c>
      <c r="AO46" s="426">
        <v>927.05793905559995</v>
      </c>
      <c r="AP46" s="426">
        <v>921.34814051230001</v>
      </c>
      <c r="AQ46" s="426">
        <v>892.4363466512001</v>
      </c>
      <c r="AR46" s="420">
        <v>923.02037885880009</v>
      </c>
      <c r="AS46" s="420">
        <v>916.22181783999986</v>
      </c>
      <c r="AT46" s="420">
        <v>905.41333493799993</v>
      </c>
      <c r="AU46" s="420">
        <v>949.14829496160007</v>
      </c>
      <c r="AV46" s="420">
        <v>939.06861706099983</v>
      </c>
      <c r="AW46" s="427">
        <v>912.93765191879993</v>
      </c>
      <c r="AX46" s="427">
        <v>925.995011342</v>
      </c>
      <c r="AY46" s="427">
        <v>960.29696690539993</v>
      </c>
      <c r="AZ46" s="427">
        <v>934.98670990359994</v>
      </c>
      <c r="BA46" s="427">
        <v>908.54786906720017</v>
      </c>
      <c r="BB46" s="427">
        <v>880.95928618500011</v>
      </c>
      <c r="BC46" s="427">
        <v>1182.3216355915999</v>
      </c>
      <c r="BD46" s="427">
        <v>1291.5596564333998</v>
      </c>
      <c r="BE46" s="427">
        <v>1459.6132228096001</v>
      </c>
      <c r="BF46" s="427">
        <v>1508.6980156499999</v>
      </c>
      <c r="BG46" s="427">
        <v>1576.4000073539999</v>
      </c>
      <c r="BH46" s="427">
        <v>1669.276943266</v>
      </c>
      <c r="BI46" s="427">
        <v>1714.2501894193999</v>
      </c>
      <c r="BJ46" s="427">
        <v>2130.3798480984001</v>
      </c>
      <c r="BK46" s="427">
        <v>2130.9766963754</v>
      </c>
      <c r="BL46" s="427">
        <v>2124.7131121046</v>
      </c>
      <c r="BM46" s="427">
        <v>1919.7031620385999</v>
      </c>
      <c r="BN46" s="427">
        <v>2139.9908942567999</v>
      </c>
      <c r="BO46" s="427">
        <v>1979.6257813911996</v>
      </c>
      <c r="BP46" s="427">
        <v>1929.9581157287002</v>
      </c>
      <c r="BQ46" s="427">
        <v>1917.0757610645003</v>
      </c>
      <c r="BR46" s="427">
        <v>2110.1857642009995</v>
      </c>
      <c r="BS46" s="427">
        <v>2153.995801178</v>
      </c>
      <c r="BT46" s="427">
        <v>2221.6448039146399</v>
      </c>
      <c r="BU46" s="427">
        <v>2123.0465997910583</v>
      </c>
      <c r="BV46" s="427">
        <v>2185.3274773613061</v>
      </c>
      <c r="BW46" s="427">
        <v>2268.61197455911</v>
      </c>
      <c r="BX46" s="427">
        <v>2319.2034742375004</v>
      </c>
      <c r="BY46" s="427">
        <v>3297.2032739027004</v>
      </c>
      <c r="BZ46" s="427">
        <v>3265.6</v>
      </c>
      <c r="CA46" s="427">
        <v>3336.5099523131139</v>
      </c>
      <c r="CB46" s="427">
        <v>3505.6020483344705</v>
      </c>
      <c r="CC46" s="427">
        <v>3459.5745631502427</v>
      </c>
      <c r="CD46" s="427">
        <v>3567.9617293124252</v>
      </c>
      <c r="CE46" s="427">
        <v>3705.6423364928482</v>
      </c>
      <c r="CF46" s="427">
        <v>3768.1641562168265</v>
      </c>
      <c r="CG46" s="427">
        <v>4007.778879563331</v>
      </c>
      <c r="CH46" s="427">
        <v>4015.5889194642682</v>
      </c>
      <c r="CI46" s="427">
        <v>4043.8246799860426</v>
      </c>
      <c r="CJ46" s="427">
        <v>4300.7694414525959</v>
      </c>
      <c r="CK46" s="427">
        <v>4278.0939740936938</v>
      </c>
      <c r="CL46" s="427">
        <v>4438.2500715873912</v>
      </c>
      <c r="CM46" s="427">
        <v>4434.0652768987893</v>
      </c>
      <c r="CN46" s="427">
        <v>4421.5741084767305</v>
      </c>
      <c r="CO46" s="427">
        <v>4840.7333554418246</v>
      </c>
      <c r="CP46" s="427">
        <v>4840.4834598963689</v>
      </c>
      <c r="CQ46" s="427">
        <v>5221.2109160230448</v>
      </c>
      <c r="CR46" s="427">
        <v>5285.6659995523341</v>
      </c>
      <c r="CS46" s="427">
        <v>5546.0505323107327</v>
      </c>
      <c r="CT46" s="427">
        <v>5742.7612063646493</v>
      </c>
      <c r="CU46" s="427">
        <v>5763.4106785542881</v>
      </c>
      <c r="CV46" s="427">
        <v>5952.4672051919415</v>
      </c>
      <c r="CW46" s="427">
        <v>5407.5054550513532</v>
      </c>
      <c r="CX46" s="427">
        <v>5076.4188202309106</v>
      </c>
      <c r="CY46" s="427">
        <v>5069.4760642529491</v>
      </c>
      <c r="CZ46" s="427">
        <v>5073.6850784515491</v>
      </c>
      <c r="DA46" s="427">
        <v>5037.2817862240263</v>
      </c>
      <c r="DB46" s="441">
        <v>5062.0853891866773</v>
      </c>
      <c r="DC46" s="441">
        <v>4934.7934899748871</v>
      </c>
      <c r="DD46" s="441">
        <v>4888.697599094513</v>
      </c>
      <c r="DE46" s="441">
        <v>4866.6009464590852</v>
      </c>
      <c r="DF46" s="441">
        <v>4873.2559770024518</v>
      </c>
      <c r="DH46" s="430"/>
    </row>
    <row r="47" spans="1:112" ht="15.95" customHeight="1">
      <c r="A47" s="431" t="s">
        <v>275</v>
      </c>
      <c r="B47" s="420"/>
      <c r="C47" s="422"/>
      <c r="D47" s="422"/>
      <c r="E47" s="423"/>
      <c r="F47" s="422"/>
      <c r="G47" s="422"/>
      <c r="H47" s="433"/>
      <c r="I47" s="433"/>
      <c r="J47" s="433"/>
      <c r="K47" s="434"/>
      <c r="L47" s="433"/>
      <c r="M47" s="433"/>
      <c r="N47" s="433"/>
      <c r="O47" s="434"/>
      <c r="P47" s="433"/>
      <c r="Q47" s="433"/>
      <c r="R47" s="434"/>
      <c r="S47" s="433"/>
      <c r="T47" s="433"/>
      <c r="U47" s="435"/>
      <c r="V47" s="435"/>
      <c r="W47" s="435"/>
      <c r="X47" s="435"/>
      <c r="Y47" s="435"/>
      <c r="Z47" s="435"/>
      <c r="AA47" s="435"/>
      <c r="AB47" s="435"/>
      <c r="AC47" s="435"/>
      <c r="AD47" s="435"/>
      <c r="AE47" s="435"/>
      <c r="AF47" s="435"/>
      <c r="AG47" s="435"/>
      <c r="AH47" s="435"/>
      <c r="AI47" s="435"/>
      <c r="AJ47" s="435"/>
      <c r="AK47" s="435"/>
      <c r="AL47" s="435"/>
      <c r="AM47" s="426"/>
      <c r="AN47" s="426"/>
      <c r="AO47" s="426"/>
      <c r="AP47" s="426"/>
      <c r="AQ47" s="426"/>
      <c r="AR47" s="420"/>
      <c r="AS47" s="420"/>
      <c r="AT47" s="420"/>
      <c r="AU47" s="420"/>
      <c r="AV47" s="420"/>
      <c r="AW47" s="427"/>
      <c r="AX47" s="427"/>
      <c r="AY47" s="427"/>
      <c r="AZ47" s="427"/>
      <c r="BA47" s="427"/>
      <c r="BB47" s="427"/>
      <c r="BC47" s="427"/>
      <c r="BD47" s="427"/>
      <c r="BE47" s="427"/>
      <c r="BF47" s="427"/>
      <c r="BG47" s="427"/>
      <c r="BH47" s="427"/>
      <c r="BI47" s="427"/>
      <c r="BJ47" s="427"/>
      <c r="BK47" s="427"/>
      <c r="BL47" s="427"/>
      <c r="BM47" s="427"/>
      <c r="BN47" s="427"/>
      <c r="BO47" s="427"/>
      <c r="BP47" s="427"/>
      <c r="BQ47" s="427"/>
      <c r="BR47" s="427"/>
      <c r="BS47" s="427"/>
      <c r="BT47" s="427"/>
      <c r="BU47" s="427"/>
      <c r="BV47" s="427"/>
      <c r="BW47" s="427"/>
      <c r="BX47" s="427"/>
      <c r="BY47" s="427"/>
      <c r="BZ47" s="427"/>
      <c r="CA47" s="427"/>
      <c r="CB47" s="427"/>
      <c r="CC47" s="427"/>
      <c r="CD47" s="427"/>
      <c r="CE47" s="427"/>
      <c r="CF47" s="427"/>
      <c r="CG47" s="427"/>
      <c r="CH47" s="427"/>
      <c r="CI47" s="427"/>
      <c r="CJ47" s="427"/>
      <c r="CK47" s="427"/>
      <c r="CL47" s="427"/>
      <c r="CM47" s="427"/>
      <c r="CN47" s="427"/>
      <c r="CO47" s="427"/>
      <c r="CP47" s="427"/>
      <c r="CQ47" s="427"/>
      <c r="CR47" s="427"/>
      <c r="CS47" s="427">
        <v>0</v>
      </c>
      <c r="CT47" s="427"/>
      <c r="CU47" s="427"/>
      <c r="CV47" s="427"/>
      <c r="CW47" s="427"/>
      <c r="CX47" s="427"/>
      <c r="CY47" s="427"/>
      <c r="CZ47" s="427"/>
      <c r="DA47" s="427"/>
      <c r="DB47" s="439"/>
      <c r="DC47" s="439"/>
      <c r="DD47" s="439"/>
      <c r="DE47" s="439"/>
      <c r="DF47" s="439"/>
      <c r="DH47" s="430"/>
    </row>
    <row r="48" spans="1:112" ht="15.95" customHeight="1">
      <c r="A48" s="431" t="s">
        <v>310</v>
      </c>
      <c r="B48" s="432">
        <v>121.17322364500001</v>
      </c>
      <c r="C48" s="433">
        <v>117.4633105006</v>
      </c>
      <c r="D48" s="433">
        <v>125.03939343804929</v>
      </c>
      <c r="E48" s="434">
        <v>125.54506668579999</v>
      </c>
      <c r="F48" s="433">
        <v>125.27401128799998</v>
      </c>
      <c r="G48" s="433">
        <v>126.67563216312438</v>
      </c>
      <c r="H48" s="433">
        <v>151.48260432680001</v>
      </c>
      <c r="I48" s="433">
        <v>201.16842844319999</v>
      </c>
      <c r="J48" s="433">
        <v>128.35201362570001</v>
      </c>
      <c r="K48" s="434">
        <v>193.9740906712</v>
      </c>
      <c r="L48" s="433">
        <v>123.26249872808201</v>
      </c>
      <c r="M48" s="433">
        <v>127.12964537362157</v>
      </c>
      <c r="N48" s="433">
        <v>126.43328192526</v>
      </c>
      <c r="O48" s="434">
        <v>128.60003137981329</v>
      </c>
      <c r="P48" s="433">
        <v>129.88669074698112</v>
      </c>
      <c r="Q48" s="433">
        <v>126.5889943529</v>
      </c>
      <c r="R48" s="434">
        <v>132.5971678249</v>
      </c>
      <c r="S48" s="433">
        <v>134.28707810999998</v>
      </c>
      <c r="T48" s="433">
        <v>127.003450035</v>
      </c>
      <c r="U48" s="435">
        <v>128.7248377288123</v>
      </c>
      <c r="V48" s="435">
        <v>133.41657370083729</v>
      </c>
      <c r="W48" s="435">
        <v>126.26888202410001</v>
      </c>
      <c r="X48" s="435">
        <v>126.77286703278709</v>
      </c>
      <c r="Y48" s="435">
        <v>119.06022324409828</v>
      </c>
      <c r="Z48" s="435">
        <v>113.976159647</v>
      </c>
      <c r="AA48" s="435">
        <v>112.30709044309702</v>
      </c>
      <c r="AB48" s="435">
        <v>0.38184947786950002</v>
      </c>
      <c r="AC48" s="435">
        <v>0.31743612524099996</v>
      </c>
      <c r="AD48" s="435">
        <v>0.16328285000000001</v>
      </c>
      <c r="AE48" s="435">
        <v>0.23409455000000001</v>
      </c>
      <c r="AF48" s="435">
        <v>19.876087868512499</v>
      </c>
      <c r="AG48" s="435">
        <v>20.314017166020001</v>
      </c>
      <c r="AH48" s="435">
        <v>19.613877931800001</v>
      </c>
      <c r="AI48" s="435">
        <v>68.625680779599989</v>
      </c>
      <c r="AJ48" s="435">
        <v>17.311338226</v>
      </c>
      <c r="AK48" s="435">
        <v>19.431968013538</v>
      </c>
      <c r="AL48" s="435">
        <v>15.825867713500001</v>
      </c>
      <c r="AM48" s="438">
        <v>15.555103070999998</v>
      </c>
      <c r="AN48" s="438">
        <v>16.552579523999999</v>
      </c>
      <c r="AO48" s="438">
        <v>14.2012344556</v>
      </c>
      <c r="AP48" s="438">
        <v>16.1156662305</v>
      </c>
      <c r="AQ48" s="438">
        <v>16.309751422800002</v>
      </c>
      <c r="AR48" s="432">
        <v>13.330433422799999</v>
      </c>
      <c r="AS48" s="432">
        <v>13.632782760000001</v>
      </c>
      <c r="AT48" s="432">
        <v>14.344382147200001</v>
      </c>
      <c r="AU48" s="432">
        <v>11.2572636052</v>
      </c>
      <c r="AV48" s="432">
        <v>11.377227720999999</v>
      </c>
      <c r="AW48" s="436">
        <v>11.028664036</v>
      </c>
      <c r="AX48" s="436">
        <v>8.2448177095999995</v>
      </c>
      <c r="AY48" s="436">
        <v>8.1846173972000003</v>
      </c>
      <c r="AZ48" s="436">
        <v>8.1574042544999994</v>
      </c>
      <c r="BA48" s="436">
        <v>5.2947322399999992</v>
      </c>
      <c r="BB48" s="436">
        <v>5.2175274803000002</v>
      </c>
      <c r="BC48" s="436">
        <v>5.1230328963999998</v>
      </c>
      <c r="BD48" s="436">
        <v>4.2031622136000006</v>
      </c>
      <c r="BE48" s="436">
        <v>4.2523481134000001</v>
      </c>
      <c r="BF48" s="436">
        <v>3.2048692549999998</v>
      </c>
      <c r="BG48" s="436">
        <v>0.49862291999999997</v>
      </c>
      <c r="BH48" s="436">
        <v>0.48834907</v>
      </c>
      <c r="BI48" s="436">
        <v>0.47792414</v>
      </c>
      <c r="BJ48" s="436">
        <v>0.46863289999999996</v>
      </c>
      <c r="BK48" s="436">
        <v>0.45917784</v>
      </c>
      <c r="BL48" s="436">
        <v>0.44613126000000003</v>
      </c>
      <c r="BM48" s="436">
        <v>0.43413981000000001</v>
      </c>
      <c r="BN48" s="436">
        <v>0.43844742000000003</v>
      </c>
      <c r="BO48" s="436">
        <v>0.42529168000000001</v>
      </c>
      <c r="BP48" s="436">
        <v>0.40273591999999997</v>
      </c>
      <c r="BQ48" s="436">
        <v>0.39130946</v>
      </c>
      <c r="BR48" s="436">
        <v>0.38013506999999996</v>
      </c>
      <c r="BS48" s="436">
        <v>0.37314378000000004</v>
      </c>
      <c r="BT48" s="436">
        <v>0.39314418000000001</v>
      </c>
      <c r="BU48" s="436">
        <v>0.35357022999999999</v>
      </c>
      <c r="BV48" s="436">
        <v>0.34247577000000001</v>
      </c>
      <c r="BW48" s="436">
        <v>0.44046540000000001</v>
      </c>
      <c r="BX48" s="436">
        <v>0.35170699999999999</v>
      </c>
      <c r="BY48" s="436">
        <v>0.31195299999999998</v>
      </c>
      <c r="BZ48" s="436">
        <v>0.3</v>
      </c>
      <c r="CA48" s="436">
        <v>0.32200321999999998</v>
      </c>
      <c r="CB48" s="436">
        <v>0.30612271999999996</v>
      </c>
      <c r="CC48" s="436">
        <v>0.27535892000000001</v>
      </c>
      <c r="CD48" s="436">
        <v>0.24302926000000002</v>
      </c>
      <c r="CE48" s="436">
        <v>0.23515056000000001</v>
      </c>
      <c r="CF48" s="436">
        <v>0.55016276999999991</v>
      </c>
      <c r="CG48" s="436">
        <v>51.019435363900001</v>
      </c>
      <c r="CH48" s="436">
        <v>51.026158820537667</v>
      </c>
      <c r="CI48" s="436">
        <v>50.676937289999991</v>
      </c>
      <c r="CJ48" s="436">
        <v>306.95244534159997</v>
      </c>
      <c r="CK48" s="436">
        <v>200.32280321999997</v>
      </c>
      <c r="CL48" s="436">
        <v>200.22235778999999</v>
      </c>
      <c r="CM48" s="436">
        <v>188.22624014000002</v>
      </c>
      <c r="CN48" s="436">
        <v>142.18418964000003</v>
      </c>
      <c r="CO48" s="436">
        <v>400.78878169000001</v>
      </c>
      <c r="CP48" s="436">
        <v>376.48303644999999</v>
      </c>
      <c r="CQ48" s="436">
        <v>653.16252959000008</v>
      </c>
      <c r="CR48" s="436">
        <v>520.60099739999998</v>
      </c>
      <c r="CS48" s="436">
        <v>739.61699841000006</v>
      </c>
      <c r="CT48" s="436">
        <v>736.02888789658198</v>
      </c>
      <c r="CU48" s="436">
        <v>735.45134996352795</v>
      </c>
      <c r="CV48" s="436">
        <v>883.35165545927293</v>
      </c>
      <c r="CW48" s="436">
        <v>306.28056159571702</v>
      </c>
      <c r="CX48" s="436">
        <v>0.80499456124799995</v>
      </c>
      <c r="CY48" s="436">
        <v>0.82229567064600007</v>
      </c>
      <c r="CZ48" s="436">
        <v>4.3952242890160003</v>
      </c>
      <c r="DA48" s="436">
        <v>0.78059800724200001</v>
      </c>
      <c r="DB48" s="439">
        <v>13.826349221184</v>
      </c>
      <c r="DC48" s="439">
        <v>27.341703737713999</v>
      </c>
      <c r="DD48" s="439">
        <v>27.263662261935004</v>
      </c>
      <c r="DE48" s="439">
        <v>29.856411870000002</v>
      </c>
      <c r="DF48" s="439">
        <v>39.215129560000001</v>
      </c>
      <c r="DH48" s="430"/>
    </row>
    <row r="49" spans="1:112" ht="15.95" customHeight="1">
      <c r="A49" s="431" t="s">
        <v>311</v>
      </c>
      <c r="B49" s="432">
        <v>507.54847455999999</v>
      </c>
      <c r="C49" s="433">
        <v>534.38730736000002</v>
      </c>
      <c r="D49" s="433">
        <v>533.10752549999995</v>
      </c>
      <c r="E49" s="434">
        <v>535.68649546999995</v>
      </c>
      <c r="F49" s="433">
        <v>514.11718714999995</v>
      </c>
      <c r="G49" s="433">
        <v>510.21445197000003</v>
      </c>
      <c r="H49" s="433">
        <v>515.92904474999989</v>
      </c>
      <c r="I49" s="433">
        <v>531.06953074</v>
      </c>
      <c r="J49" s="433">
        <v>543.76172939000014</v>
      </c>
      <c r="K49" s="434">
        <v>510.86398545999998</v>
      </c>
      <c r="L49" s="433">
        <v>518.80954241000006</v>
      </c>
      <c r="M49" s="433">
        <v>524.67912213999989</v>
      </c>
      <c r="N49" s="433">
        <v>530.07749957999999</v>
      </c>
      <c r="O49" s="434">
        <v>512.89938427000004</v>
      </c>
      <c r="P49" s="433">
        <v>508.17511687000001</v>
      </c>
      <c r="Q49" s="433">
        <v>529.87699651000003</v>
      </c>
      <c r="R49" s="434">
        <v>524.11147857200001</v>
      </c>
      <c r="S49" s="433">
        <v>548.23914734999994</v>
      </c>
      <c r="T49" s="433">
        <v>527.57176253500006</v>
      </c>
      <c r="U49" s="435">
        <v>532.58436669269997</v>
      </c>
      <c r="V49" s="435">
        <v>525.28818061230004</v>
      </c>
      <c r="W49" s="435">
        <v>516.972804709</v>
      </c>
      <c r="X49" s="435">
        <v>519.45464767400006</v>
      </c>
      <c r="Y49" s="435">
        <v>510.53690606099997</v>
      </c>
      <c r="Z49" s="435">
        <v>507.48219906999992</v>
      </c>
      <c r="AA49" s="435">
        <v>497.80900733000004</v>
      </c>
      <c r="AB49" s="435">
        <v>514.77851161000001</v>
      </c>
      <c r="AC49" s="435">
        <v>513.01341176999995</v>
      </c>
      <c r="AD49" s="435">
        <v>441.82454226999999</v>
      </c>
      <c r="AE49" s="435">
        <v>433.79901856999999</v>
      </c>
      <c r="AF49" s="435">
        <v>439.86383197000004</v>
      </c>
      <c r="AG49" s="435">
        <v>462.33400525000002</v>
      </c>
      <c r="AH49" s="435">
        <v>437.10574437000002</v>
      </c>
      <c r="AI49" s="435">
        <v>425.35228107</v>
      </c>
      <c r="AJ49" s="435">
        <v>495.45644657999992</v>
      </c>
      <c r="AK49" s="435">
        <v>480.65615361999994</v>
      </c>
      <c r="AL49" s="435">
        <v>494.05869306</v>
      </c>
      <c r="AM49" s="438">
        <v>440.11755986000003</v>
      </c>
      <c r="AN49" s="438">
        <v>450.12266341000003</v>
      </c>
      <c r="AO49" s="438">
        <v>472.33017360999992</v>
      </c>
      <c r="AP49" s="438">
        <v>487.41348440210004</v>
      </c>
      <c r="AQ49" s="438">
        <v>477.56983896459997</v>
      </c>
      <c r="AR49" s="432">
        <v>487.50161368160002</v>
      </c>
      <c r="AS49" s="432">
        <v>474.14054139000001</v>
      </c>
      <c r="AT49" s="432">
        <v>470.93412921440006</v>
      </c>
      <c r="AU49" s="432">
        <v>532.00935312900003</v>
      </c>
      <c r="AV49" s="432">
        <v>545.45349353300003</v>
      </c>
      <c r="AW49" s="436">
        <v>508.91583365839995</v>
      </c>
      <c r="AX49" s="436">
        <v>502.35672048040004</v>
      </c>
      <c r="AY49" s="436">
        <v>510.1608699139</v>
      </c>
      <c r="AZ49" s="436">
        <v>507.93466959810002</v>
      </c>
      <c r="BA49" s="436">
        <v>483.90914832900006</v>
      </c>
      <c r="BB49" s="436">
        <v>451.96586207109993</v>
      </c>
      <c r="BC49" s="436">
        <v>502.69084410839997</v>
      </c>
      <c r="BD49" s="436">
        <v>627.32506972660008</v>
      </c>
      <c r="BE49" s="436">
        <v>650.23067224890008</v>
      </c>
      <c r="BF49" s="436">
        <v>703.43716654499997</v>
      </c>
      <c r="BG49" s="436">
        <v>705.85525806400005</v>
      </c>
      <c r="BH49" s="436">
        <v>738.44342374580003</v>
      </c>
      <c r="BI49" s="436">
        <v>738.07546235560005</v>
      </c>
      <c r="BJ49" s="436">
        <v>995.65472151299991</v>
      </c>
      <c r="BK49" s="436">
        <v>1021.0162897853002</v>
      </c>
      <c r="BL49" s="436">
        <v>1045.7498007909999</v>
      </c>
      <c r="BM49" s="436">
        <v>1214.2437328763999</v>
      </c>
      <c r="BN49" s="436">
        <v>1057.185312476</v>
      </c>
      <c r="BO49" s="436">
        <v>1027.8132620667998</v>
      </c>
      <c r="BP49" s="436">
        <v>994.70713553430016</v>
      </c>
      <c r="BQ49" s="436">
        <v>964.54613446280018</v>
      </c>
      <c r="BR49" s="436">
        <v>1010.8161767218999</v>
      </c>
      <c r="BS49" s="436">
        <v>1046.9849281648001</v>
      </c>
      <c r="BT49" s="436">
        <v>1051.71683088242</v>
      </c>
      <c r="BU49" s="436">
        <v>1043.98467572241</v>
      </c>
      <c r="BV49" s="436">
        <v>1064.1954917062517</v>
      </c>
      <c r="BW49" s="436">
        <v>1203.1556141887897</v>
      </c>
      <c r="BX49" s="436">
        <v>1246.9945894355001</v>
      </c>
      <c r="BY49" s="436">
        <v>1207.0229809558</v>
      </c>
      <c r="BZ49" s="436">
        <v>1227.2</v>
      </c>
      <c r="CA49" s="436">
        <v>1234.2619580675021</v>
      </c>
      <c r="CB49" s="436">
        <v>1407.6981253471899</v>
      </c>
      <c r="CC49" s="436">
        <v>1376.7455781905799</v>
      </c>
      <c r="CD49" s="436">
        <v>1465.1711743046449</v>
      </c>
      <c r="CE49" s="436">
        <v>1421.1265655754539</v>
      </c>
      <c r="CF49" s="436">
        <v>1437.3370094740815</v>
      </c>
      <c r="CG49" s="436">
        <v>1435.5787284728158</v>
      </c>
      <c r="CH49" s="436">
        <v>1446.7812150210457</v>
      </c>
      <c r="CI49" s="436">
        <v>1539.6543685586546</v>
      </c>
      <c r="CJ49" s="436">
        <v>1530.143122406836</v>
      </c>
      <c r="CK49" s="436">
        <v>1566.1568176581829</v>
      </c>
      <c r="CL49" s="436">
        <v>1518.9516153316176</v>
      </c>
      <c r="CM49" s="436">
        <v>1523.3226632283763</v>
      </c>
      <c r="CN49" s="436">
        <v>1594.8239741814821</v>
      </c>
      <c r="CO49" s="436">
        <v>1582.5900338316658</v>
      </c>
      <c r="CP49" s="436">
        <v>1561.1155162008929</v>
      </c>
      <c r="CQ49" s="436">
        <v>1602.8477377866013</v>
      </c>
      <c r="CR49" s="436">
        <v>1568.9197283952069</v>
      </c>
      <c r="CS49" s="436">
        <v>1574.4628411982783</v>
      </c>
      <c r="CT49" s="436">
        <v>1741.3783405595595</v>
      </c>
      <c r="CU49" s="436">
        <v>1766.4894027804448</v>
      </c>
      <c r="CV49" s="436">
        <v>1744.111531855699</v>
      </c>
      <c r="CW49" s="436">
        <v>1773.5621450337817</v>
      </c>
      <c r="CX49" s="436">
        <v>1785.1847942973798</v>
      </c>
      <c r="CY49" s="436">
        <v>1759.5876124095553</v>
      </c>
      <c r="CZ49" s="436">
        <v>1797.2836353513669</v>
      </c>
      <c r="DA49" s="436">
        <v>1825.2113814627276</v>
      </c>
      <c r="DB49" s="439">
        <v>1904.7842322961994</v>
      </c>
      <c r="DC49" s="439">
        <v>1779.787398695061</v>
      </c>
      <c r="DD49" s="439">
        <v>1715.1109499809329</v>
      </c>
      <c r="DE49" s="439">
        <v>1665.9679205892053</v>
      </c>
      <c r="DF49" s="439">
        <v>1710.7035326637899</v>
      </c>
      <c r="DH49" s="430"/>
    </row>
    <row r="50" spans="1:112" ht="15.95" customHeight="1">
      <c r="A50" s="431" t="s">
        <v>312</v>
      </c>
      <c r="B50" s="432">
        <v>800.67035246</v>
      </c>
      <c r="C50" s="433">
        <v>808.56296842000006</v>
      </c>
      <c r="D50" s="433">
        <v>841.41922830999988</v>
      </c>
      <c r="E50" s="434">
        <v>873.47965551999994</v>
      </c>
      <c r="F50" s="433">
        <v>925.60352292999994</v>
      </c>
      <c r="G50" s="433">
        <v>879.11398844999997</v>
      </c>
      <c r="H50" s="433">
        <v>897.57070291000002</v>
      </c>
      <c r="I50" s="433">
        <v>934.35997793999991</v>
      </c>
      <c r="J50" s="433">
        <v>1011.65965513</v>
      </c>
      <c r="K50" s="434">
        <v>863.23549319000006</v>
      </c>
      <c r="L50" s="433">
        <v>908.08296893000011</v>
      </c>
      <c r="M50" s="433">
        <v>1016.49113919</v>
      </c>
      <c r="N50" s="433">
        <v>908.87572714999999</v>
      </c>
      <c r="O50" s="434">
        <v>1047.9109509100001</v>
      </c>
      <c r="P50" s="433">
        <v>1028.6153852699999</v>
      </c>
      <c r="Q50" s="433">
        <v>1030.30544897</v>
      </c>
      <c r="R50" s="434">
        <v>1133.06177123</v>
      </c>
      <c r="S50" s="433">
        <v>1142.2191067000001</v>
      </c>
      <c r="T50" s="433">
        <v>1075.4286125900001</v>
      </c>
      <c r="U50" s="435">
        <v>1181.3909853800001</v>
      </c>
      <c r="V50" s="435">
        <v>1076.16600954</v>
      </c>
      <c r="W50" s="435">
        <v>1142.6851542200002</v>
      </c>
      <c r="X50" s="435">
        <v>1000.69624092</v>
      </c>
      <c r="Y50" s="435">
        <v>953.33285511999998</v>
      </c>
      <c r="Z50" s="435">
        <v>1011.7812152825999</v>
      </c>
      <c r="AA50" s="435">
        <v>997.46350264144542</v>
      </c>
      <c r="AB50" s="435">
        <v>999.30777877452942</v>
      </c>
      <c r="AC50" s="435">
        <v>1030.3537023644001</v>
      </c>
      <c r="AD50" s="435">
        <v>986.48503761000006</v>
      </c>
      <c r="AE50" s="435">
        <v>973.07567543999994</v>
      </c>
      <c r="AF50" s="435">
        <v>1030.4855312499999</v>
      </c>
      <c r="AG50" s="435">
        <v>982.09662201000003</v>
      </c>
      <c r="AH50" s="435">
        <v>1012.27234241</v>
      </c>
      <c r="AI50" s="435">
        <v>234.65022605999999</v>
      </c>
      <c r="AJ50" s="435">
        <v>237.58207231</v>
      </c>
      <c r="AK50" s="435">
        <v>232.46548077</v>
      </c>
      <c r="AL50" s="435">
        <v>221.17238394</v>
      </c>
      <c r="AM50" s="438">
        <v>255.72488759000001</v>
      </c>
      <c r="AN50" s="438">
        <v>264.73567824000003</v>
      </c>
      <c r="AO50" s="438">
        <v>204.48534537999998</v>
      </c>
      <c r="AP50" s="438">
        <v>175.78601790020005</v>
      </c>
      <c r="AQ50" s="438">
        <v>171.52351467439999</v>
      </c>
      <c r="AR50" s="432">
        <v>192.96406364719999</v>
      </c>
      <c r="AS50" s="432">
        <v>200.56795803</v>
      </c>
      <c r="AT50" s="432">
        <v>198.12007794839997</v>
      </c>
      <c r="AU50" s="432">
        <v>197.68527840379997</v>
      </c>
      <c r="AV50" s="432">
        <v>193.00205201700001</v>
      </c>
      <c r="AW50" s="436">
        <v>201.92732059959999</v>
      </c>
      <c r="AX50" s="436">
        <v>211.41103093759997</v>
      </c>
      <c r="AY50" s="436">
        <v>217.41678958939997</v>
      </c>
      <c r="AZ50" s="436">
        <v>205.60549545969999</v>
      </c>
      <c r="BA50" s="436">
        <v>213.6180533166</v>
      </c>
      <c r="BB50" s="436">
        <v>213.45801860020003</v>
      </c>
      <c r="BC50" s="436">
        <v>446.21426186799999</v>
      </c>
      <c r="BD50" s="436">
        <v>457.19438025220001</v>
      </c>
      <c r="BE50" s="436">
        <v>592.54671001780002</v>
      </c>
      <c r="BF50" s="436">
        <v>586.01590018999991</v>
      </c>
      <c r="BG50" s="436">
        <v>648.75167599799988</v>
      </c>
      <c r="BH50" s="436">
        <v>638.07311253360012</v>
      </c>
      <c r="BI50" s="436">
        <v>668.26277533529992</v>
      </c>
      <c r="BJ50" s="436">
        <v>777.32772620410014</v>
      </c>
      <c r="BK50" s="436">
        <v>728.1921877402001</v>
      </c>
      <c r="BL50" s="436">
        <v>748.91507040400006</v>
      </c>
      <c r="BM50" s="436">
        <v>363.02680725260001</v>
      </c>
      <c r="BN50" s="436">
        <v>704.02618942799995</v>
      </c>
      <c r="BO50" s="436">
        <v>560.68545875399991</v>
      </c>
      <c r="BP50" s="436">
        <v>540.95918747689996</v>
      </c>
      <c r="BQ50" s="436">
        <v>533.54776136119995</v>
      </c>
      <c r="BR50" s="436">
        <v>661.91159293379997</v>
      </c>
      <c r="BS50" s="436">
        <v>658.25103103319998</v>
      </c>
      <c r="BT50" s="436">
        <v>746.66477259257999</v>
      </c>
      <c r="BU50" s="436">
        <v>748.94509818690801</v>
      </c>
      <c r="BV50" s="436">
        <v>755.38870356691586</v>
      </c>
      <c r="BW50" s="436">
        <v>753.49449337349984</v>
      </c>
      <c r="BX50" s="436">
        <v>757.70398554349993</v>
      </c>
      <c r="BY50" s="436">
        <v>1860.8561574349999</v>
      </c>
      <c r="BZ50" s="436">
        <v>1799.5</v>
      </c>
      <c r="CA50" s="436">
        <v>1802.1084911854118</v>
      </c>
      <c r="CB50" s="436">
        <v>1777.55624514448</v>
      </c>
      <c r="CC50" s="436">
        <v>1276.33308250242</v>
      </c>
      <c r="CD50" s="436">
        <v>1760.8075623621858</v>
      </c>
      <c r="CE50" s="436">
        <v>1423.2592570714698</v>
      </c>
      <c r="CF50" s="436">
        <v>1446.5895150786639</v>
      </c>
      <c r="CG50" s="436">
        <v>1491.922942845066</v>
      </c>
      <c r="CH50" s="436">
        <v>1500.702861273503</v>
      </c>
      <c r="CI50" s="436">
        <v>1492.965468468132</v>
      </c>
      <c r="CJ50" s="436">
        <v>1523.3779494401638</v>
      </c>
      <c r="CK50" s="436">
        <v>1551.4343488479062</v>
      </c>
      <c r="CL50" s="436">
        <v>1569.677375490515</v>
      </c>
      <c r="CM50" s="436">
        <v>1636.7278030446926</v>
      </c>
      <c r="CN50" s="436">
        <v>1635.7455231831848</v>
      </c>
      <c r="CO50" s="436">
        <v>1683.9972574357485</v>
      </c>
      <c r="CP50" s="436">
        <v>1720.0004798627012</v>
      </c>
      <c r="CQ50" s="436">
        <v>1763.9266837787245</v>
      </c>
      <c r="CR50" s="436">
        <v>1773.8872658459263</v>
      </c>
      <c r="CS50" s="436">
        <v>2196.38239387462</v>
      </c>
      <c r="CT50" s="436">
        <v>1777.2715546148031</v>
      </c>
      <c r="CU50" s="436">
        <v>1771.784704359962</v>
      </c>
      <c r="CV50" s="436">
        <v>1848.5128650750896</v>
      </c>
      <c r="CW50" s="436">
        <v>2444.7769641753816</v>
      </c>
      <c r="CX50" s="436">
        <v>2411.7553060800392</v>
      </c>
      <c r="CY50" s="436">
        <v>2438.7405000370663</v>
      </c>
      <c r="CZ50" s="436">
        <v>2438.1035085890198</v>
      </c>
      <c r="DA50" s="436">
        <v>2293.5998544851132</v>
      </c>
      <c r="DB50" s="439">
        <v>2301.3725390042932</v>
      </c>
      <c r="DC50" s="439">
        <v>2282.7547022879794</v>
      </c>
      <c r="DD50" s="439">
        <v>2265.4928805069912</v>
      </c>
      <c r="DE50" s="439">
        <v>2255.1160885064101</v>
      </c>
      <c r="DF50" s="439">
        <v>2256.5674218528316</v>
      </c>
      <c r="DH50" s="430"/>
    </row>
    <row r="51" spans="1:112" ht="15.95" customHeight="1">
      <c r="A51" s="431" t="s">
        <v>284</v>
      </c>
      <c r="B51" s="432">
        <v>78.517324039999991</v>
      </c>
      <c r="C51" s="433">
        <v>82.197082660000007</v>
      </c>
      <c r="D51" s="433">
        <v>83.842270240000005</v>
      </c>
      <c r="E51" s="434">
        <v>91.658167589999991</v>
      </c>
      <c r="F51" s="433">
        <v>98.857790340000008</v>
      </c>
      <c r="G51" s="433">
        <v>98.827003829999995</v>
      </c>
      <c r="H51" s="433">
        <v>102.27707100999999</v>
      </c>
      <c r="I51" s="433">
        <v>102.44223595</v>
      </c>
      <c r="J51" s="433">
        <v>120.82093828999999</v>
      </c>
      <c r="K51" s="434">
        <v>110.75632999999999</v>
      </c>
      <c r="L51" s="433">
        <v>111.97728853</v>
      </c>
      <c r="M51" s="433">
        <v>117.27836070999997</v>
      </c>
      <c r="N51" s="433">
        <v>116.08549926000001</v>
      </c>
      <c r="O51" s="434">
        <v>130.61382469999998</v>
      </c>
      <c r="P51" s="433">
        <v>145.66443742000001</v>
      </c>
      <c r="Q51" s="433">
        <v>140.24363478000001</v>
      </c>
      <c r="R51" s="434">
        <v>129.81449869000002</v>
      </c>
      <c r="S51" s="433">
        <v>127.47775731999999</v>
      </c>
      <c r="T51" s="433">
        <v>126.61185557000002</v>
      </c>
      <c r="U51" s="435">
        <v>134.41294555999997</v>
      </c>
      <c r="V51" s="435">
        <v>126.49245486000001</v>
      </c>
      <c r="W51" s="435">
        <v>170.37697523999998</v>
      </c>
      <c r="X51" s="435">
        <v>145.92468939</v>
      </c>
      <c r="Y51" s="435">
        <v>142.94921565999996</v>
      </c>
      <c r="Z51" s="435">
        <v>138.39077434999999</v>
      </c>
      <c r="AA51" s="435">
        <v>129.4568227</v>
      </c>
      <c r="AB51" s="435">
        <v>316.01540585000004</v>
      </c>
      <c r="AC51" s="435">
        <v>181.00069063999999</v>
      </c>
      <c r="AD51" s="435">
        <v>188.701610055402</v>
      </c>
      <c r="AE51" s="435">
        <v>370.36914102244464</v>
      </c>
      <c r="AF51" s="435">
        <v>203.826178635975</v>
      </c>
      <c r="AG51" s="435">
        <v>189.51640757999999</v>
      </c>
      <c r="AH51" s="435">
        <v>189.29316401000003</v>
      </c>
      <c r="AI51" s="435">
        <v>209.81891111999997</v>
      </c>
      <c r="AJ51" s="435">
        <v>212.77470448999998</v>
      </c>
      <c r="AK51" s="435">
        <v>209.21479256000001</v>
      </c>
      <c r="AL51" s="435">
        <v>224.64638183</v>
      </c>
      <c r="AM51" s="438">
        <v>269.17788124000003</v>
      </c>
      <c r="AN51" s="438">
        <v>269.66063238999999</v>
      </c>
      <c r="AO51" s="438">
        <v>236.04118561000001</v>
      </c>
      <c r="AP51" s="438">
        <v>242.03297197949999</v>
      </c>
      <c r="AQ51" s="438">
        <v>227.03324158940001</v>
      </c>
      <c r="AR51" s="432">
        <v>229.22426810720003</v>
      </c>
      <c r="AS51" s="432">
        <v>227.88053565999996</v>
      </c>
      <c r="AT51" s="432">
        <v>222.01474562799999</v>
      </c>
      <c r="AU51" s="432">
        <v>208.19639982360002</v>
      </c>
      <c r="AV51" s="432">
        <v>189.23584379000002</v>
      </c>
      <c r="AW51" s="436">
        <v>191.06583362480004</v>
      </c>
      <c r="AX51" s="436">
        <v>203.98244221440001</v>
      </c>
      <c r="AY51" s="436">
        <v>224.5346900049</v>
      </c>
      <c r="AZ51" s="436">
        <v>213.2891405913</v>
      </c>
      <c r="BA51" s="436">
        <v>205.72593518160002</v>
      </c>
      <c r="BB51" s="436">
        <v>210.31787803340004</v>
      </c>
      <c r="BC51" s="436">
        <v>228.29349671880001</v>
      </c>
      <c r="BD51" s="436">
        <v>202.837044241</v>
      </c>
      <c r="BE51" s="436">
        <v>212.58349242950004</v>
      </c>
      <c r="BF51" s="436">
        <v>216.04007966</v>
      </c>
      <c r="BG51" s="436">
        <v>221.294450372</v>
      </c>
      <c r="BH51" s="436">
        <v>292.27205791659998</v>
      </c>
      <c r="BI51" s="436">
        <v>307.43402758849999</v>
      </c>
      <c r="BJ51" s="436">
        <v>356.92876748129999</v>
      </c>
      <c r="BK51" s="436">
        <v>381.3090410099</v>
      </c>
      <c r="BL51" s="436">
        <v>329.60210964959998</v>
      </c>
      <c r="BM51" s="436">
        <v>341.99848209960004</v>
      </c>
      <c r="BN51" s="436">
        <v>378.34094493279997</v>
      </c>
      <c r="BO51" s="436">
        <v>390.70176889039999</v>
      </c>
      <c r="BP51" s="436">
        <v>393.88905679750002</v>
      </c>
      <c r="BQ51" s="436">
        <v>418.59055578050004</v>
      </c>
      <c r="BR51" s="436">
        <v>437.07785947529993</v>
      </c>
      <c r="BS51" s="436">
        <v>448.38669820000001</v>
      </c>
      <c r="BT51" s="436">
        <v>422.87005625964002</v>
      </c>
      <c r="BU51" s="436">
        <v>329.76325565174</v>
      </c>
      <c r="BV51" s="436">
        <v>365.40080631813794</v>
      </c>
      <c r="BW51" s="436">
        <v>311.52140159682</v>
      </c>
      <c r="BX51" s="436">
        <v>314.15319225849998</v>
      </c>
      <c r="BY51" s="436">
        <v>229.01218251190002</v>
      </c>
      <c r="BZ51" s="436">
        <v>238.5</v>
      </c>
      <c r="CA51" s="436">
        <v>299.81749984019996</v>
      </c>
      <c r="CB51" s="436">
        <v>320.04155512280005</v>
      </c>
      <c r="CC51" s="436">
        <v>806.22054353724297</v>
      </c>
      <c r="CD51" s="436">
        <v>341.73996338559402</v>
      </c>
      <c r="CE51" s="436">
        <v>861.02136328592474</v>
      </c>
      <c r="CF51" s="436">
        <v>883.68746889408112</v>
      </c>
      <c r="CG51" s="436">
        <v>1029.2577728815495</v>
      </c>
      <c r="CH51" s="436">
        <v>1017.0786843491817</v>
      </c>
      <c r="CI51" s="436">
        <v>960.52790566925614</v>
      </c>
      <c r="CJ51" s="436">
        <v>940.29592426399608</v>
      </c>
      <c r="CK51" s="436">
        <v>960.18000436760508</v>
      </c>
      <c r="CL51" s="436">
        <v>1149.3987229752588</v>
      </c>
      <c r="CM51" s="436">
        <v>1085.7885704857206</v>
      </c>
      <c r="CN51" s="436">
        <v>1048.820421472064</v>
      </c>
      <c r="CO51" s="436">
        <v>1173.3572824844098</v>
      </c>
      <c r="CP51" s="436">
        <v>1182.8844273827749</v>
      </c>
      <c r="CQ51" s="436">
        <v>1201.2739648677184</v>
      </c>
      <c r="CR51" s="436">
        <v>1422.2580079112001</v>
      </c>
      <c r="CS51" s="436">
        <v>1035.5882988278338</v>
      </c>
      <c r="CT51" s="436">
        <v>1488.0824232937052</v>
      </c>
      <c r="CU51" s="436">
        <v>1489.6852214503531</v>
      </c>
      <c r="CV51" s="436">
        <v>1476.4911528018797</v>
      </c>
      <c r="CW51" s="436">
        <v>882.88578424647301</v>
      </c>
      <c r="CX51" s="436">
        <v>878.67372529224349</v>
      </c>
      <c r="CY51" s="436">
        <v>870.32565613568067</v>
      </c>
      <c r="CZ51" s="436">
        <v>833.90271022214733</v>
      </c>
      <c r="DA51" s="436">
        <v>917.68995226894356</v>
      </c>
      <c r="DB51" s="439">
        <v>842.10226866500022</v>
      </c>
      <c r="DC51" s="439">
        <v>844.90968525413223</v>
      </c>
      <c r="DD51" s="439">
        <v>880.83010634465325</v>
      </c>
      <c r="DE51" s="439">
        <v>915.66052549346966</v>
      </c>
      <c r="DF51" s="439">
        <v>866.76989292583062</v>
      </c>
      <c r="DH51" s="430"/>
    </row>
    <row r="52" spans="1:112" ht="7.7" customHeight="1">
      <c r="A52" s="431"/>
      <c r="B52" s="420"/>
      <c r="C52" s="422"/>
      <c r="D52" s="422"/>
      <c r="E52" s="423"/>
      <c r="F52" s="422"/>
      <c r="G52" s="422"/>
      <c r="H52" s="433"/>
      <c r="I52" s="433"/>
      <c r="J52" s="433"/>
      <c r="K52" s="434"/>
      <c r="L52" s="433"/>
      <c r="M52" s="433"/>
      <c r="N52" s="433"/>
      <c r="O52" s="434"/>
      <c r="P52" s="433"/>
      <c r="Q52" s="433"/>
      <c r="R52" s="434"/>
      <c r="S52" s="433"/>
      <c r="T52" s="433"/>
      <c r="U52" s="435"/>
      <c r="V52" s="435"/>
      <c r="W52" s="435"/>
      <c r="X52" s="435"/>
      <c r="Y52" s="435"/>
      <c r="Z52" s="435"/>
      <c r="AA52" s="435"/>
      <c r="AB52" s="435"/>
      <c r="AC52" s="435"/>
      <c r="AD52" s="435"/>
      <c r="AE52" s="435"/>
      <c r="AF52" s="435"/>
      <c r="AG52" s="435"/>
      <c r="AH52" s="435"/>
      <c r="AI52" s="435"/>
      <c r="AJ52" s="435"/>
      <c r="AK52" s="435"/>
      <c r="AL52" s="435"/>
      <c r="AM52" s="426"/>
      <c r="AN52" s="426"/>
      <c r="AO52" s="426"/>
      <c r="AP52" s="426"/>
      <c r="AQ52" s="426"/>
      <c r="AR52" s="420"/>
      <c r="AS52" s="420"/>
      <c r="AT52" s="420"/>
      <c r="AU52" s="420"/>
      <c r="AV52" s="420"/>
      <c r="AW52" s="427"/>
      <c r="AX52" s="427"/>
      <c r="AY52" s="427"/>
      <c r="AZ52" s="427"/>
      <c r="BA52" s="427"/>
      <c r="BB52" s="427"/>
      <c r="BC52" s="427"/>
      <c r="BD52" s="427"/>
      <c r="BE52" s="427"/>
      <c r="BF52" s="427"/>
      <c r="BG52" s="427"/>
      <c r="BH52" s="427"/>
      <c r="BI52" s="427"/>
      <c r="BJ52" s="427"/>
      <c r="BK52" s="427"/>
      <c r="BL52" s="427"/>
      <c r="BM52" s="427"/>
      <c r="BN52" s="427"/>
      <c r="BO52" s="427"/>
      <c r="BP52" s="427"/>
      <c r="BQ52" s="427"/>
      <c r="BR52" s="427"/>
      <c r="BS52" s="427"/>
      <c r="BT52" s="427"/>
      <c r="BU52" s="427"/>
      <c r="BV52" s="427"/>
      <c r="BW52" s="427"/>
      <c r="BX52" s="427"/>
      <c r="BY52" s="427"/>
      <c r="BZ52" s="427"/>
      <c r="CA52" s="427"/>
      <c r="CB52" s="427"/>
      <c r="CC52" s="427"/>
      <c r="CD52" s="427"/>
      <c r="CE52" s="427"/>
      <c r="CF52" s="427"/>
      <c r="CG52" s="427"/>
      <c r="CH52" s="427"/>
      <c r="CI52" s="427"/>
      <c r="CJ52" s="427"/>
      <c r="CK52" s="427"/>
      <c r="CL52" s="427"/>
      <c r="CM52" s="427"/>
      <c r="CN52" s="427"/>
      <c r="CO52" s="427"/>
      <c r="CP52" s="427"/>
      <c r="CQ52" s="427"/>
      <c r="CR52" s="427"/>
      <c r="CS52" s="427"/>
      <c r="CT52" s="427"/>
      <c r="CU52" s="427"/>
      <c r="CV52" s="427"/>
      <c r="CW52" s="427"/>
      <c r="CX52" s="427"/>
      <c r="CY52" s="427"/>
      <c r="CZ52" s="427"/>
      <c r="DA52" s="427"/>
      <c r="DB52" s="439"/>
      <c r="DC52" s="439"/>
      <c r="DD52" s="439"/>
      <c r="DE52" s="439"/>
      <c r="DF52" s="439"/>
      <c r="DH52" s="430"/>
    </row>
    <row r="53" spans="1:112">
      <c r="A53" s="419" t="s">
        <v>313</v>
      </c>
      <c r="B53" s="420">
        <f>SUM(B55:B65)</f>
        <v>16990.770859912001</v>
      </c>
      <c r="C53" s="422">
        <f>SUM(C55:C65)</f>
        <v>17310.9315240588</v>
      </c>
      <c r="D53" s="422">
        <f>SUM(D55:D65)</f>
        <v>17346.032475530996</v>
      </c>
      <c r="E53" s="423">
        <f>SUM(E55:E65)</f>
        <v>17954.744655414204</v>
      </c>
      <c r="F53" s="422">
        <v>17976.906065687599</v>
      </c>
      <c r="G53" s="422">
        <v>18527.796913256403</v>
      </c>
      <c r="H53" s="422">
        <v>18645.6117551924</v>
      </c>
      <c r="I53" s="422">
        <v>18719.495500201701</v>
      </c>
      <c r="J53" s="422">
        <v>19091.433327080202</v>
      </c>
      <c r="K53" s="423">
        <v>18954.300387692128</v>
      </c>
      <c r="L53" s="422">
        <v>19085.768436934395</v>
      </c>
      <c r="M53" s="422">
        <v>19231.214198037494</v>
      </c>
      <c r="N53" s="422">
        <v>19474.871003599106</v>
      </c>
      <c r="O53" s="423">
        <v>19720.828944791039</v>
      </c>
      <c r="P53" s="422">
        <v>20013.660322607866</v>
      </c>
      <c r="Q53" s="422">
        <v>20150.930694602914</v>
      </c>
      <c r="R53" s="423">
        <v>20356.845855016498</v>
      </c>
      <c r="S53" s="422">
        <v>20624.320483097625</v>
      </c>
      <c r="T53" s="422">
        <v>20886.617807907493</v>
      </c>
      <c r="U53" s="425">
        <v>21041.873812462269</v>
      </c>
      <c r="V53" s="425">
        <v>21217.155206081181</v>
      </c>
      <c r="W53" s="425">
        <v>21283.659952479091</v>
      </c>
      <c r="X53" s="425">
        <v>21530.443758434369</v>
      </c>
      <c r="Y53" s="425">
        <v>22034.858371704075</v>
      </c>
      <c r="Z53" s="425">
        <v>22917.108495875229</v>
      </c>
      <c r="AA53" s="425">
        <v>23472.503346618119</v>
      </c>
      <c r="AB53" s="425">
        <v>23645.990745813444</v>
      </c>
      <c r="AC53" s="425">
        <v>23840.447057358597</v>
      </c>
      <c r="AD53" s="425">
        <v>24313.156131338932</v>
      </c>
      <c r="AE53" s="425">
        <v>24999.104064233412</v>
      </c>
      <c r="AF53" s="425">
        <v>25775.811589871726</v>
      </c>
      <c r="AG53" s="425">
        <v>25999.904792880436</v>
      </c>
      <c r="AH53" s="425">
        <v>26466.654325882209</v>
      </c>
      <c r="AI53" s="425">
        <v>28452.200095983248</v>
      </c>
      <c r="AJ53" s="425">
        <v>28825.492281500017</v>
      </c>
      <c r="AK53" s="425">
        <v>29506.865354146335</v>
      </c>
      <c r="AL53" s="425">
        <v>29957.044211511147</v>
      </c>
      <c r="AM53" s="426">
        <v>30427.232776953602</v>
      </c>
      <c r="AN53" s="426">
        <v>31689.037685944993</v>
      </c>
      <c r="AO53" s="426">
        <v>32176.055919459548</v>
      </c>
      <c r="AP53" s="426">
        <v>33669.468212295869</v>
      </c>
      <c r="AQ53" s="426">
        <v>34967.100029061112</v>
      </c>
      <c r="AR53" s="420">
        <v>36632.316590243208</v>
      </c>
      <c r="AS53" s="420">
        <v>36514.817651008794</v>
      </c>
      <c r="AT53" s="420">
        <v>37574.413266897463</v>
      </c>
      <c r="AU53" s="420">
        <v>37487.526267559617</v>
      </c>
      <c r="AV53" s="420">
        <v>37524.678754273329</v>
      </c>
      <c r="AW53" s="427">
        <v>37813.737107254747</v>
      </c>
      <c r="AX53" s="427">
        <v>38248.185484632231</v>
      </c>
      <c r="AY53" s="427">
        <v>38625.665272349353</v>
      </c>
      <c r="AZ53" s="427">
        <v>39326.578509166757</v>
      </c>
      <c r="BA53" s="427">
        <v>39477.443049147871</v>
      </c>
      <c r="BB53" s="427">
        <v>38496.869958017356</v>
      </c>
      <c r="BC53" s="427">
        <v>38818.603955031482</v>
      </c>
      <c r="BD53" s="427">
        <v>39707.824481412878</v>
      </c>
      <c r="BE53" s="427">
        <v>40087.577761240347</v>
      </c>
      <c r="BF53" s="427">
        <v>40564.75152945357</v>
      </c>
      <c r="BG53" s="427">
        <v>41542.602911537659</v>
      </c>
      <c r="BH53" s="427">
        <v>41925.274973629654</v>
      </c>
      <c r="BI53" s="427">
        <v>42568.812208498959</v>
      </c>
      <c r="BJ53" s="427">
        <v>43400.767533250699</v>
      </c>
      <c r="BK53" s="427">
        <v>44205.476697762111</v>
      </c>
      <c r="BL53" s="427">
        <v>44658.830570820232</v>
      </c>
      <c r="BM53" s="427">
        <v>44994.294556872803</v>
      </c>
      <c r="BN53" s="427">
        <v>45478.35091409093</v>
      </c>
      <c r="BO53" s="427">
        <v>46063.861643931567</v>
      </c>
      <c r="BP53" s="427">
        <v>46352.533114643666</v>
      </c>
      <c r="BQ53" s="427">
        <v>47256.197363090076</v>
      </c>
      <c r="BR53" s="427">
        <v>47704.437785278154</v>
      </c>
      <c r="BS53" s="427">
        <v>48100.15109016496</v>
      </c>
      <c r="BT53" s="427">
        <v>48940.006639378684</v>
      </c>
      <c r="BU53" s="427">
        <v>49393.226651524499</v>
      </c>
      <c r="BV53" s="427">
        <v>49696.47636815672</v>
      </c>
      <c r="BW53" s="427">
        <v>50625.741040967718</v>
      </c>
      <c r="BX53" s="427">
        <v>51407.415269239493</v>
      </c>
      <c r="BY53" s="427">
        <v>52129.049325204593</v>
      </c>
      <c r="BZ53" s="427">
        <v>53258.7</v>
      </c>
      <c r="CA53" s="427">
        <v>54230.565500798963</v>
      </c>
      <c r="CB53" s="427">
        <v>54835.496015499768</v>
      </c>
      <c r="CC53" s="427">
        <v>55042.507419952402</v>
      </c>
      <c r="CD53" s="427">
        <v>56438.492236593651</v>
      </c>
      <c r="CE53" s="427">
        <v>58842.130366483325</v>
      </c>
      <c r="CF53" s="427">
        <v>59883.057920301173</v>
      </c>
      <c r="CG53" s="427">
        <v>60939.928073488096</v>
      </c>
      <c r="CH53" s="427">
        <v>61872.251101487185</v>
      </c>
      <c r="CI53" s="427">
        <v>63054.157526923358</v>
      </c>
      <c r="CJ53" s="427">
        <v>64434.159200605187</v>
      </c>
      <c r="CK53" s="427">
        <v>65087.629544874522</v>
      </c>
      <c r="CL53" s="427">
        <v>65970.32982040316</v>
      </c>
      <c r="CM53" s="427">
        <v>66928.517470165854</v>
      </c>
      <c r="CN53" s="427">
        <v>67646.337440151518</v>
      </c>
      <c r="CO53" s="427">
        <v>68328.913047515409</v>
      </c>
      <c r="CP53" s="427">
        <v>69069.910154226716</v>
      </c>
      <c r="CQ53" s="427">
        <v>69791.405682801633</v>
      </c>
      <c r="CR53" s="427">
        <v>68890.581430815524</v>
      </c>
      <c r="CS53" s="427">
        <v>71226.076824215183</v>
      </c>
      <c r="CT53" s="427">
        <v>71988.501343857279</v>
      </c>
      <c r="CU53" s="427">
        <v>72446.428138634292</v>
      </c>
      <c r="CV53" s="427">
        <v>72750.85004516771</v>
      </c>
      <c r="CW53" s="427">
        <v>73445.915764452642</v>
      </c>
      <c r="CX53" s="427">
        <v>73829.917829877639</v>
      </c>
      <c r="CY53" s="427">
        <v>74371.000768151513</v>
      </c>
      <c r="CZ53" s="427">
        <v>75124.118767836087</v>
      </c>
      <c r="DA53" s="427">
        <v>74832.571626108052</v>
      </c>
      <c r="DB53" s="441">
        <v>75434.952415685373</v>
      </c>
      <c r="DC53" s="441">
        <v>75642.331594170639</v>
      </c>
      <c r="DD53" s="441">
        <v>75630.053600675426</v>
      </c>
      <c r="DE53" s="441">
        <v>75896.23943064679</v>
      </c>
      <c r="DF53" s="441">
        <v>76698.153910500507</v>
      </c>
      <c r="DH53" s="430"/>
    </row>
    <row r="54" spans="1:112" ht="15.95" customHeight="1">
      <c r="A54" s="431" t="s">
        <v>275</v>
      </c>
      <c r="B54" s="420"/>
      <c r="C54" s="422"/>
      <c r="D54" s="422"/>
      <c r="E54" s="423"/>
      <c r="F54" s="422"/>
      <c r="G54" s="422"/>
      <c r="H54" s="433"/>
      <c r="I54" s="433"/>
      <c r="J54" s="433"/>
      <c r="K54" s="434"/>
      <c r="L54" s="433"/>
      <c r="M54" s="433"/>
      <c r="N54" s="433"/>
      <c r="O54" s="434"/>
      <c r="P54" s="433"/>
      <c r="Q54" s="433"/>
      <c r="R54" s="434"/>
      <c r="S54" s="433"/>
      <c r="T54" s="433"/>
      <c r="U54" s="435"/>
      <c r="V54" s="435"/>
      <c r="W54" s="435"/>
      <c r="X54" s="435"/>
      <c r="Y54" s="435"/>
      <c r="Z54" s="435"/>
      <c r="AA54" s="435"/>
      <c r="AB54" s="435"/>
      <c r="AC54" s="435"/>
      <c r="AD54" s="435"/>
      <c r="AE54" s="435"/>
      <c r="AF54" s="435"/>
      <c r="AG54" s="435"/>
      <c r="AH54" s="435"/>
      <c r="AI54" s="435"/>
      <c r="AJ54" s="435"/>
      <c r="AK54" s="435"/>
      <c r="AL54" s="435"/>
      <c r="AM54" s="426"/>
      <c r="AN54" s="426"/>
      <c r="AO54" s="426"/>
      <c r="AP54" s="426"/>
      <c r="AQ54" s="426"/>
      <c r="AR54" s="420"/>
      <c r="AS54" s="420"/>
      <c r="AT54" s="420"/>
      <c r="AU54" s="420"/>
      <c r="AV54" s="420"/>
      <c r="AW54" s="427"/>
      <c r="AX54" s="427"/>
      <c r="AY54" s="427"/>
      <c r="AZ54" s="427"/>
      <c r="BA54" s="427"/>
      <c r="BB54" s="427"/>
      <c r="BC54" s="427"/>
      <c r="BD54" s="427"/>
      <c r="BE54" s="427"/>
      <c r="BF54" s="427"/>
      <c r="BG54" s="427"/>
      <c r="BH54" s="427"/>
      <c r="BI54" s="427"/>
      <c r="BJ54" s="427"/>
      <c r="BK54" s="427"/>
      <c r="BL54" s="427"/>
      <c r="BM54" s="427"/>
      <c r="BN54" s="427"/>
      <c r="BO54" s="427"/>
      <c r="BP54" s="427"/>
      <c r="BQ54" s="427"/>
      <c r="BR54" s="427"/>
      <c r="BS54" s="427"/>
      <c r="BT54" s="427"/>
      <c r="BU54" s="427"/>
      <c r="BV54" s="427"/>
      <c r="BW54" s="427"/>
      <c r="BX54" s="427"/>
      <c r="BY54" s="427"/>
      <c r="BZ54" s="427"/>
      <c r="CA54" s="427"/>
      <c r="CB54" s="427"/>
      <c r="CC54" s="427"/>
      <c r="CD54" s="427"/>
      <c r="CE54" s="427"/>
      <c r="CF54" s="427"/>
      <c r="CG54" s="427"/>
      <c r="CH54" s="427"/>
      <c r="CI54" s="427"/>
      <c r="CJ54" s="427"/>
      <c r="CK54" s="427"/>
      <c r="CL54" s="427"/>
      <c r="CM54" s="427"/>
      <c r="CN54" s="427"/>
      <c r="CO54" s="427"/>
      <c r="CP54" s="427"/>
      <c r="CQ54" s="427"/>
      <c r="CR54" s="427"/>
      <c r="CS54" s="427"/>
      <c r="CT54" s="427"/>
      <c r="CU54" s="427"/>
      <c r="CV54" s="427"/>
      <c r="CW54" s="427"/>
      <c r="CX54" s="427"/>
      <c r="CY54" s="427"/>
      <c r="CZ54" s="427"/>
      <c r="DA54" s="427"/>
      <c r="DB54" s="439"/>
      <c r="DC54" s="439"/>
      <c r="DD54" s="439"/>
      <c r="DE54" s="439"/>
      <c r="DF54" s="439"/>
      <c r="DH54" s="430"/>
    </row>
    <row r="55" spans="1:112" ht="15.95" customHeight="1">
      <c r="A55" s="431" t="s">
        <v>390</v>
      </c>
      <c r="B55" s="432">
        <v>1703.5168410699998</v>
      </c>
      <c r="C55" s="433">
        <v>1667.48697778</v>
      </c>
      <c r="D55" s="433">
        <v>1661.7562241699998</v>
      </c>
      <c r="E55" s="434">
        <v>1705.4120344800001</v>
      </c>
      <c r="F55" s="433">
        <v>1705.9493097899999</v>
      </c>
      <c r="G55" s="433">
        <v>1691.9955020999998</v>
      </c>
      <c r="H55" s="433">
        <v>1545.8629860100002</v>
      </c>
      <c r="I55" s="433">
        <v>1620.6617531099998</v>
      </c>
      <c r="J55" s="433">
        <v>1777.9612701199999</v>
      </c>
      <c r="K55" s="434">
        <v>1770.1400560500001</v>
      </c>
      <c r="L55" s="433">
        <v>1685.9139380800002</v>
      </c>
      <c r="M55" s="433">
        <v>1629.9566338300001</v>
      </c>
      <c r="N55" s="433">
        <v>1574.8059123</v>
      </c>
      <c r="O55" s="434">
        <v>1594.4855227099999</v>
      </c>
      <c r="P55" s="433">
        <v>1696.9955438699999</v>
      </c>
      <c r="Q55" s="433">
        <v>1694.69309795</v>
      </c>
      <c r="R55" s="434">
        <v>1697.4641178899999</v>
      </c>
      <c r="S55" s="433">
        <v>1670.7677218199999</v>
      </c>
      <c r="T55" s="433">
        <v>1681.42759907</v>
      </c>
      <c r="U55" s="435">
        <v>1645.7320682</v>
      </c>
      <c r="V55" s="435">
        <v>1706.4805101900001</v>
      </c>
      <c r="W55" s="435">
        <v>1684.9427416800002</v>
      </c>
      <c r="X55" s="435">
        <v>1690.6768397999999</v>
      </c>
      <c r="Y55" s="435">
        <v>1664.3503350000001</v>
      </c>
      <c r="Z55" s="435">
        <v>1540.4170351100001</v>
      </c>
      <c r="AA55" s="435">
        <v>1595.55022433</v>
      </c>
      <c r="AB55" s="435">
        <v>1594.0091191399999</v>
      </c>
      <c r="AC55" s="435">
        <v>1631.0120076300002</v>
      </c>
      <c r="AD55" s="435">
        <v>1538.7090692500001</v>
      </c>
      <c r="AE55" s="435">
        <v>1645.3291321000002</v>
      </c>
      <c r="AF55" s="435">
        <v>1572.7505806400002</v>
      </c>
      <c r="AG55" s="435">
        <v>1553.6544383000003</v>
      </c>
      <c r="AH55" s="435">
        <v>1632.5942457000001</v>
      </c>
      <c r="AI55" s="435">
        <v>1493.2156489099998</v>
      </c>
      <c r="AJ55" s="435">
        <v>1522.5460142600002</v>
      </c>
      <c r="AK55" s="435">
        <v>1617.1927430799999</v>
      </c>
      <c r="AL55" s="435">
        <v>1587.7562758499998</v>
      </c>
      <c r="AM55" s="438">
        <v>1607.9971628600001</v>
      </c>
      <c r="AN55" s="438">
        <v>1640.62458184</v>
      </c>
      <c r="AO55" s="438">
        <v>1708.74232667</v>
      </c>
      <c r="AP55" s="438">
        <v>1612.5914442467999</v>
      </c>
      <c r="AQ55" s="438">
        <v>1633.8267005505998</v>
      </c>
      <c r="AR55" s="432">
        <v>1519.4963002048</v>
      </c>
      <c r="AS55" s="432">
        <v>1470.5025475099999</v>
      </c>
      <c r="AT55" s="432">
        <v>1507.49048021</v>
      </c>
      <c r="AU55" s="432">
        <v>1485.9416241719998</v>
      </c>
      <c r="AV55" s="432">
        <v>1562.1708126570002</v>
      </c>
      <c r="AW55" s="436">
        <v>1568.3009001152</v>
      </c>
      <c r="AX55" s="436">
        <v>1609.4369561307999</v>
      </c>
      <c r="AY55" s="436">
        <v>1504.4555740129001</v>
      </c>
      <c r="AZ55" s="436">
        <v>1535.4914448654999</v>
      </c>
      <c r="BA55" s="436">
        <v>1549.7753377923998</v>
      </c>
      <c r="BB55" s="436">
        <v>1401.6678407822999</v>
      </c>
      <c r="BC55" s="436">
        <v>1546.0777856960001</v>
      </c>
      <c r="BD55" s="436">
        <v>1763.3919846222</v>
      </c>
      <c r="BE55" s="436">
        <v>1609.0982713096002</v>
      </c>
      <c r="BF55" s="436">
        <v>1569.9114551200003</v>
      </c>
      <c r="BG55" s="436">
        <v>1640.400353578</v>
      </c>
      <c r="BH55" s="436">
        <v>1645.4479065085</v>
      </c>
      <c r="BI55" s="436">
        <v>1619.6103379081999</v>
      </c>
      <c r="BJ55" s="436">
        <v>1705.9283776083003</v>
      </c>
      <c r="BK55" s="436">
        <v>1895.0080960635003</v>
      </c>
      <c r="BL55" s="436">
        <v>1802.8477726194001</v>
      </c>
      <c r="BM55" s="436">
        <v>1796.2621740450004</v>
      </c>
      <c r="BN55" s="436">
        <v>1918.4197671179998</v>
      </c>
      <c r="BO55" s="436">
        <v>1825.1166806228</v>
      </c>
      <c r="BP55" s="436">
        <v>1940.1952077745998</v>
      </c>
      <c r="BQ55" s="436">
        <v>2097.7048947519002</v>
      </c>
      <c r="BR55" s="436">
        <v>2243.2512883203003</v>
      </c>
      <c r="BS55" s="436">
        <v>2178.3100403208005</v>
      </c>
      <c r="BT55" s="436">
        <v>2167.8786704667496</v>
      </c>
      <c r="BU55" s="436">
        <v>2259.2301837479345</v>
      </c>
      <c r="BV55" s="436">
        <v>2251.733822091092</v>
      </c>
      <c r="BW55" s="436">
        <v>2198.2134562885003</v>
      </c>
      <c r="BX55" s="436">
        <v>2179.3626134329998</v>
      </c>
      <c r="BY55" s="436">
        <v>1851.8332938256001</v>
      </c>
      <c r="BZ55" s="436">
        <v>1834.9</v>
      </c>
      <c r="CA55" s="436">
        <v>1907.5042333698</v>
      </c>
      <c r="CB55" s="436">
        <v>1998.1906784936002</v>
      </c>
      <c r="CC55" s="436">
        <v>1987.8912893275999</v>
      </c>
      <c r="CD55" s="436">
        <v>2175.1036625325823</v>
      </c>
      <c r="CE55" s="436">
        <v>2080.2410300655492</v>
      </c>
      <c r="CF55" s="436">
        <v>2116.6489087231457</v>
      </c>
      <c r="CG55" s="436">
        <v>2217.4506931106234</v>
      </c>
      <c r="CH55" s="436">
        <v>2061.7262615651457</v>
      </c>
      <c r="CI55" s="436">
        <v>2068.0837510276742</v>
      </c>
      <c r="CJ55" s="436">
        <v>2087.081989396946</v>
      </c>
      <c r="CK55" s="436">
        <v>2064.0744169051222</v>
      </c>
      <c r="CL55" s="436">
        <v>2129.4509004205233</v>
      </c>
      <c r="CM55" s="436">
        <v>2212.5829138430254</v>
      </c>
      <c r="CN55" s="436">
        <v>2158.4389556632905</v>
      </c>
      <c r="CO55" s="436">
        <v>2172.2381578465443</v>
      </c>
      <c r="CP55" s="436">
        <v>2314.5718388532496</v>
      </c>
      <c r="CQ55" s="436">
        <v>2393.9210115383235</v>
      </c>
      <c r="CR55" s="436">
        <v>2363.7193288048102</v>
      </c>
      <c r="CS55" s="436">
        <v>2472.0645565760237</v>
      </c>
      <c r="CT55" s="436">
        <v>2330.9486906231959</v>
      </c>
      <c r="CU55" s="436">
        <v>2405.3084911562246</v>
      </c>
      <c r="CV55" s="436">
        <v>2299.8712997877337</v>
      </c>
      <c r="CW55" s="436">
        <v>2362.5635054950994</v>
      </c>
      <c r="CX55" s="436">
        <v>2406.5559122739919</v>
      </c>
      <c r="CY55" s="436">
        <v>2313.4998768566452</v>
      </c>
      <c r="CZ55" s="436">
        <v>2413.4560482765523</v>
      </c>
      <c r="DA55" s="436">
        <v>2416.7546667293614</v>
      </c>
      <c r="DB55" s="439">
        <v>2529.1695671177267</v>
      </c>
      <c r="DC55" s="439">
        <v>2703.1720937330688</v>
      </c>
      <c r="DD55" s="439">
        <v>2703.0615968835928</v>
      </c>
      <c r="DE55" s="439">
        <v>2657.9965599061861</v>
      </c>
      <c r="DF55" s="439">
        <v>2717.891853269799</v>
      </c>
      <c r="DH55" s="430"/>
    </row>
    <row r="56" spans="1:112" ht="15.95" customHeight="1">
      <c r="A56" s="431" t="s">
        <v>315</v>
      </c>
      <c r="B56" s="432">
        <v>1566.2622638099999</v>
      </c>
      <c r="C56" s="433">
        <v>1531.7355509000001</v>
      </c>
      <c r="D56" s="433">
        <v>1480.9899711300002</v>
      </c>
      <c r="E56" s="434">
        <v>1509.5370252</v>
      </c>
      <c r="F56" s="433">
        <v>1399.6322762400002</v>
      </c>
      <c r="G56" s="433">
        <v>1574.8851512800002</v>
      </c>
      <c r="H56" s="433">
        <v>1592.0664303799997</v>
      </c>
      <c r="I56" s="433">
        <v>1604.3418368000002</v>
      </c>
      <c r="J56" s="433">
        <v>1616.6536442600002</v>
      </c>
      <c r="K56" s="434">
        <v>1397.6034185000001</v>
      </c>
      <c r="L56" s="433">
        <v>1413.0447133499999</v>
      </c>
      <c r="M56" s="433">
        <v>1405.9051855599998</v>
      </c>
      <c r="N56" s="433">
        <v>1422.7458716399999</v>
      </c>
      <c r="O56" s="434">
        <v>1399.8823031900004</v>
      </c>
      <c r="P56" s="433">
        <v>1490.062487343072</v>
      </c>
      <c r="Q56" s="433">
        <v>1455.2937506486001</v>
      </c>
      <c r="R56" s="434">
        <v>1440.2298126000001</v>
      </c>
      <c r="S56" s="433">
        <v>1504.8786693673999</v>
      </c>
      <c r="T56" s="433">
        <v>1563.0391757350001</v>
      </c>
      <c r="U56" s="435">
        <v>1563.3051408258368</v>
      </c>
      <c r="V56" s="435">
        <v>1594.3383725296349</v>
      </c>
      <c r="W56" s="435">
        <v>1588.0825185805002</v>
      </c>
      <c r="X56" s="435">
        <v>1646.9043621899998</v>
      </c>
      <c r="Y56" s="435">
        <v>1884.9417942299999</v>
      </c>
      <c r="Z56" s="435">
        <v>1881.7743529000113</v>
      </c>
      <c r="AA56" s="435">
        <v>2134.2113199099999</v>
      </c>
      <c r="AB56" s="435">
        <v>2276.8956580296735</v>
      </c>
      <c r="AC56" s="435">
        <v>2325.8508313611242</v>
      </c>
      <c r="AD56" s="435">
        <v>2531.1441753206004</v>
      </c>
      <c r="AE56" s="435">
        <v>2626.164427995142</v>
      </c>
      <c r="AF56" s="435">
        <v>2753.4232723566643</v>
      </c>
      <c r="AG56" s="435">
        <v>2777.084564852049</v>
      </c>
      <c r="AH56" s="435">
        <v>2706.8398072124105</v>
      </c>
      <c r="AI56" s="435">
        <v>3792.0184282425444</v>
      </c>
      <c r="AJ56" s="435">
        <v>3829.6012439856991</v>
      </c>
      <c r="AK56" s="435">
        <v>4149.0226086412713</v>
      </c>
      <c r="AL56" s="435">
        <v>4165.0506336005756</v>
      </c>
      <c r="AM56" s="438">
        <v>4272.5715158456724</v>
      </c>
      <c r="AN56" s="438">
        <v>4562.3505181211121</v>
      </c>
      <c r="AO56" s="438">
        <v>4636.2372954465636</v>
      </c>
      <c r="AP56" s="438">
        <v>5010.4701210429675</v>
      </c>
      <c r="AQ56" s="438">
        <v>5748.2683752771691</v>
      </c>
      <c r="AR56" s="432">
        <v>5443.9517062232007</v>
      </c>
      <c r="AS56" s="432">
        <v>5450.8960268687988</v>
      </c>
      <c r="AT56" s="432">
        <v>5968.2017388641871</v>
      </c>
      <c r="AU56" s="432">
        <v>5961.7218153548183</v>
      </c>
      <c r="AV56" s="432">
        <v>5997.204256061339</v>
      </c>
      <c r="AW56" s="436">
        <v>5959.0393518775409</v>
      </c>
      <c r="AX56" s="436">
        <v>6402.8197630342129</v>
      </c>
      <c r="AY56" s="436">
        <v>6533.5225808880414</v>
      </c>
      <c r="AZ56" s="436">
        <v>6708.3524122662539</v>
      </c>
      <c r="BA56" s="436">
        <v>6837.3582112271397</v>
      </c>
      <c r="BB56" s="436">
        <v>6652.6271805244578</v>
      </c>
      <c r="BC56" s="436">
        <v>6617.8851017674579</v>
      </c>
      <c r="BD56" s="436">
        <v>6583.9676465180737</v>
      </c>
      <c r="BE56" s="436">
        <v>6631.2531014145152</v>
      </c>
      <c r="BF56" s="436">
        <v>6925.8505582460912</v>
      </c>
      <c r="BG56" s="436">
        <v>6751.9981268280999</v>
      </c>
      <c r="BH56" s="436">
        <v>6876.1655090733348</v>
      </c>
      <c r="BI56" s="436">
        <v>6946.1621289767763</v>
      </c>
      <c r="BJ56" s="436">
        <v>6846.2399812526864</v>
      </c>
      <c r="BK56" s="436">
        <v>7181.7258415506685</v>
      </c>
      <c r="BL56" s="436">
        <v>7304.9543537676909</v>
      </c>
      <c r="BM56" s="436">
        <v>7062.88359449575</v>
      </c>
      <c r="BN56" s="436">
        <v>7161.5564283267231</v>
      </c>
      <c r="BO56" s="436">
        <v>7183.794132799886</v>
      </c>
      <c r="BP56" s="436">
        <v>6812.7885968926239</v>
      </c>
      <c r="BQ56" s="436">
        <v>6666.6104976179295</v>
      </c>
      <c r="BR56" s="436">
        <v>6758.7563611538581</v>
      </c>
      <c r="BS56" s="436">
        <v>6852.0285764284181</v>
      </c>
      <c r="BT56" s="436">
        <v>6844.879226694723</v>
      </c>
      <c r="BU56" s="436">
        <v>6760.4413757508555</v>
      </c>
      <c r="BV56" s="436">
        <v>7001.649657477732</v>
      </c>
      <c r="BW56" s="436">
        <v>6972.0043839220643</v>
      </c>
      <c r="BX56" s="436">
        <v>7178.0116337104982</v>
      </c>
      <c r="BY56" s="436">
        <v>7129.9206409353001</v>
      </c>
      <c r="BZ56" s="436">
        <v>7202.3</v>
      </c>
      <c r="CA56" s="436">
        <v>7257.6438286813172</v>
      </c>
      <c r="CB56" s="436">
        <v>9231.2591131296867</v>
      </c>
      <c r="CC56" s="436">
        <v>8883.6745443411037</v>
      </c>
      <c r="CD56" s="436">
        <v>9470.6598835068762</v>
      </c>
      <c r="CE56" s="436">
        <v>11192.246052263228</v>
      </c>
      <c r="CF56" s="436">
        <v>11329.015390783961</v>
      </c>
      <c r="CG56" s="436">
        <v>11700.572314512288</v>
      </c>
      <c r="CH56" s="436">
        <v>11697.831977097459</v>
      </c>
      <c r="CI56" s="436">
        <v>11992.786581141494</v>
      </c>
      <c r="CJ56" s="436">
        <v>12208.284283884432</v>
      </c>
      <c r="CK56" s="436">
        <v>12457.029866708373</v>
      </c>
      <c r="CL56" s="436">
        <v>12728.823514301599</v>
      </c>
      <c r="CM56" s="436">
        <v>12827.465229980042</v>
      </c>
      <c r="CN56" s="436">
        <v>13037.736085659824</v>
      </c>
      <c r="CO56" s="436">
        <v>13235.864578678416</v>
      </c>
      <c r="CP56" s="436">
        <v>13498.855750430224</v>
      </c>
      <c r="CQ56" s="436">
        <v>13490.761829445366</v>
      </c>
      <c r="CR56" s="436">
        <v>13787.716057873602</v>
      </c>
      <c r="CS56" s="436">
        <v>14327.360273678913</v>
      </c>
      <c r="CT56" s="436">
        <v>14269.084939308781</v>
      </c>
      <c r="CU56" s="436">
        <v>14214.311252855296</v>
      </c>
      <c r="CV56" s="436">
        <v>14068.469117132332</v>
      </c>
      <c r="CW56" s="436">
        <v>14174.067024497041</v>
      </c>
      <c r="CX56" s="436">
        <v>14065.019300594067</v>
      </c>
      <c r="CY56" s="436">
        <v>14151.109350088293</v>
      </c>
      <c r="CZ56" s="436">
        <v>14228.70234031387</v>
      </c>
      <c r="DA56" s="436">
        <v>14104.770334073473</v>
      </c>
      <c r="DB56" s="439">
        <v>14283.255333046203</v>
      </c>
      <c r="DC56" s="439">
        <v>13989.018947829045</v>
      </c>
      <c r="DD56" s="439">
        <v>14003.35124109553</v>
      </c>
      <c r="DE56" s="439">
        <v>13535.784060306049</v>
      </c>
      <c r="DF56" s="439">
        <v>14023.347963637516</v>
      </c>
      <c r="DH56" s="430"/>
    </row>
    <row r="57" spans="1:112" ht="15.95" customHeight="1">
      <c r="A57" s="431" t="s">
        <v>316</v>
      </c>
      <c r="B57" s="432">
        <v>365.25931791999994</v>
      </c>
      <c r="C57" s="433">
        <v>361.8610913</v>
      </c>
      <c r="D57" s="433">
        <v>330.61473683000003</v>
      </c>
      <c r="E57" s="434">
        <v>314.90546927999998</v>
      </c>
      <c r="F57" s="433">
        <v>464.41541280000001</v>
      </c>
      <c r="G57" s="433">
        <v>535.98596038000005</v>
      </c>
      <c r="H57" s="433">
        <v>507.23144483999999</v>
      </c>
      <c r="I57" s="433">
        <v>347.07756746000001</v>
      </c>
      <c r="J57" s="433">
        <v>353.24814714999997</v>
      </c>
      <c r="K57" s="434">
        <v>315.71153032999996</v>
      </c>
      <c r="L57" s="433">
        <v>286.45032800999996</v>
      </c>
      <c r="M57" s="433">
        <v>296.84140921999995</v>
      </c>
      <c r="N57" s="433">
        <v>373.34096868</v>
      </c>
      <c r="O57" s="434">
        <v>426.75881396000005</v>
      </c>
      <c r="P57" s="433">
        <v>438.14999667999996</v>
      </c>
      <c r="Q57" s="433">
        <v>411.17036044999998</v>
      </c>
      <c r="R57" s="434">
        <v>384.22773477999999</v>
      </c>
      <c r="S57" s="433">
        <v>418.06079294</v>
      </c>
      <c r="T57" s="433">
        <v>468.96860088000005</v>
      </c>
      <c r="U57" s="435">
        <v>502.07161587999997</v>
      </c>
      <c r="V57" s="435">
        <v>528.95760298000005</v>
      </c>
      <c r="W57" s="435">
        <v>526.10731516999999</v>
      </c>
      <c r="X57" s="435">
        <v>496.37015414000001</v>
      </c>
      <c r="Y57" s="435">
        <v>589.43051039000011</v>
      </c>
      <c r="Z57" s="435">
        <v>1156.8335474600001</v>
      </c>
      <c r="AA57" s="435">
        <v>1177.13001171</v>
      </c>
      <c r="AB57" s="435">
        <v>1113.1167142447498</v>
      </c>
      <c r="AC57" s="435">
        <v>969.76560168740593</v>
      </c>
      <c r="AD57" s="435">
        <v>973.69890130710792</v>
      </c>
      <c r="AE57" s="435">
        <v>1236.8878697847424</v>
      </c>
      <c r="AF57" s="435">
        <v>1602.1795898133626</v>
      </c>
      <c r="AG57" s="435">
        <v>1628.0579894203997</v>
      </c>
      <c r="AH57" s="435">
        <v>1773.3762698780004</v>
      </c>
      <c r="AI57" s="435">
        <v>2484.4017611039994</v>
      </c>
      <c r="AJ57" s="435">
        <v>2601.5383576075997</v>
      </c>
      <c r="AK57" s="435">
        <v>2602.822615416947</v>
      </c>
      <c r="AL57" s="435">
        <v>2653.6676484889003</v>
      </c>
      <c r="AM57" s="438">
        <v>2572.226221905501</v>
      </c>
      <c r="AN57" s="438">
        <v>2282.8665573268004</v>
      </c>
      <c r="AO57" s="438">
        <v>2243.6455807148996</v>
      </c>
      <c r="AP57" s="438">
        <v>2775.3329753995008</v>
      </c>
      <c r="AQ57" s="438">
        <v>2721.7722397025996</v>
      </c>
      <c r="AR57" s="432">
        <v>3140.2743375971995</v>
      </c>
      <c r="AS57" s="432">
        <v>3144.39203013</v>
      </c>
      <c r="AT57" s="432">
        <v>3374.4094140080006</v>
      </c>
      <c r="AU57" s="432">
        <v>3069.0888371211995</v>
      </c>
      <c r="AV57" s="432">
        <v>3175.7602510850002</v>
      </c>
      <c r="AW57" s="436">
        <v>3071.2505823612005</v>
      </c>
      <c r="AX57" s="436">
        <v>2829.7099757651999</v>
      </c>
      <c r="AY57" s="436">
        <v>2962.6516576695994</v>
      </c>
      <c r="AZ57" s="436">
        <v>3155.7950217121993</v>
      </c>
      <c r="BA57" s="436">
        <v>3083.3067973611996</v>
      </c>
      <c r="BB57" s="436">
        <v>3098.1781908583002</v>
      </c>
      <c r="BC57" s="436">
        <v>3080.8709042392561</v>
      </c>
      <c r="BD57" s="436">
        <v>3236.1291461471997</v>
      </c>
      <c r="BE57" s="436">
        <v>3200.0435941173</v>
      </c>
      <c r="BF57" s="436">
        <v>3406.4396988600001</v>
      </c>
      <c r="BG57" s="436">
        <v>4010.6163298287502</v>
      </c>
      <c r="BH57" s="436">
        <v>4048.8770797860002</v>
      </c>
      <c r="BI57" s="436">
        <v>4249.4890301041496</v>
      </c>
      <c r="BJ57" s="436">
        <v>4366.0857084736454</v>
      </c>
      <c r="BK57" s="436">
        <v>4196.8353017531881</v>
      </c>
      <c r="BL57" s="436">
        <v>4175.0032077067381</v>
      </c>
      <c r="BM57" s="436">
        <v>4318.9534405538288</v>
      </c>
      <c r="BN57" s="436">
        <v>4266.0638341539534</v>
      </c>
      <c r="BO57" s="436">
        <v>4273.167770528009</v>
      </c>
      <c r="BP57" s="436">
        <v>4680.1058535568773</v>
      </c>
      <c r="BQ57" s="436">
        <v>4755.0914769556639</v>
      </c>
      <c r="BR57" s="436">
        <v>4753.0898666692474</v>
      </c>
      <c r="BS57" s="436">
        <v>4584.9775715098785</v>
      </c>
      <c r="BT57" s="436">
        <v>4501.4529993351462</v>
      </c>
      <c r="BU57" s="436">
        <v>4521.3052740861467</v>
      </c>
      <c r="BV57" s="436">
        <v>3773.3878464071295</v>
      </c>
      <c r="BW57" s="436">
        <v>3768.8798634102004</v>
      </c>
      <c r="BX57" s="436">
        <v>3581.8004133934996</v>
      </c>
      <c r="BY57" s="436">
        <v>3436.5117452528002</v>
      </c>
      <c r="BZ57" s="436">
        <v>3628.3</v>
      </c>
      <c r="CA57" s="436">
        <v>3653.2146243049747</v>
      </c>
      <c r="CB57" s="436">
        <v>3679.6065133077082</v>
      </c>
      <c r="CC57" s="436">
        <v>3753.78241073139</v>
      </c>
      <c r="CD57" s="436">
        <v>3811.1887786942375</v>
      </c>
      <c r="CE57" s="436">
        <v>4216.3972755197501</v>
      </c>
      <c r="CF57" s="436">
        <v>4517.2079026743013</v>
      </c>
      <c r="CG57" s="436">
        <v>4321.9724095641668</v>
      </c>
      <c r="CH57" s="436">
        <v>4621.9124639954071</v>
      </c>
      <c r="CI57" s="436">
        <v>4583.5186320270868</v>
      </c>
      <c r="CJ57" s="436">
        <v>4936.0520529810428</v>
      </c>
      <c r="CK57" s="436">
        <v>4887.997586059988</v>
      </c>
      <c r="CL57" s="436">
        <v>4738.5123581679145</v>
      </c>
      <c r="CM57" s="436">
        <v>4787.6559034815509</v>
      </c>
      <c r="CN57" s="436">
        <v>4835.5571228939607</v>
      </c>
      <c r="CO57" s="436">
        <v>4782.5281280997242</v>
      </c>
      <c r="CP57" s="436">
        <v>4889.6314433460257</v>
      </c>
      <c r="CQ57" s="436">
        <v>4863.2096224159477</v>
      </c>
      <c r="CR57" s="436">
        <v>4868.1167274606532</v>
      </c>
      <c r="CS57" s="436">
        <v>5781.7471291037145</v>
      </c>
      <c r="CT57" s="436">
        <v>5946.3894674063804</v>
      </c>
      <c r="CU57" s="436">
        <v>6039.2969397134093</v>
      </c>
      <c r="CV57" s="436">
        <v>6127.3308193212852</v>
      </c>
      <c r="CW57" s="436">
        <v>6238.4139421177924</v>
      </c>
      <c r="CX57" s="436">
        <v>6295.2484385337111</v>
      </c>
      <c r="CY57" s="436">
        <v>6438.386264329908</v>
      </c>
      <c r="CZ57" s="436">
        <v>6614.641769967865</v>
      </c>
      <c r="DA57" s="436">
        <v>6709.3929162919712</v>
      </c>
      <c r="DB57" s="439">
        <v>6633.7018496885212</v>
      </c>
      <c r="DC57" s="439">
        <v>6629.0415436781104</v>
      </c>
      <c r="DD57" s="439">
        <v>6629.0532004636552</v>
      </c>
      <c r="DE57" s="439">
        <v>6914.0349647435132</v>
      </c>
      <c r="DF57" s="439">
        <v>7027.0305327276265</v>
      </c>
      <c r="DH57" s="430"/>
    </row>
    <row r="58" spans="1:112" ht="15.95" customHeight="1">
      <c r="A58" s="431" t="s">
        <v>317</v>
      </c>
      <c r="B58" s="432">
        <v>185.01832108000002</v>
      </c>
      <c r="C58" s="433">
        <v>188.02759985999998</v>
      </c>
      <c r="D58" s="433">
        <v>185.79252209999999</v>
      </c>
      <c r="E58" s="434">
        <v>188.77633824999998</v>
      </c>
      <c r="F58" s="433">
        <v>173.52918373999998</v>
      </c>
      <c r="G58" s="433">
        <v>170.86455001999997</v>
      </c>
      <c r="H58" s="433">
        <v>177.21621038999999</v>
      </c>
      <c r="I58" s="433">
        <v>172.39015129999999</v>
      </c>
      <c r="J58" s="433">
        <v>163.98166129000001</v>
      </c>
      <c r="K58" s="434">
        <v>155.2508359</v>
      </c>
      <c r="L58" s="433">
        <v>157.08504078000001</v>
      </c>
      <c r="M58" s="433">
        <v>151.11976501000001</v>
      </c>
      <c r="N58" s="433">
        <v>149.10142345</v>
      </c>
      <c r="O58" s="434">
        <v>148.56610813</v>
      </c>
      <c r="P58" s="433">
        <v>147.10318639000002</v>
      </c>
      <c r="Q58" s="433">
        <v>147.99634651000002</v>
      </c>
      <c r="R58" s="434">
        <v>143.11690654999998</v>
      </c>
      <c r="S58" s="433">
        <v>138.49085228000001</v>
      </c>
      <c r="T58" s="433">
        <v>129.73006006</v>
      </c>
      <c r="U58" s="435">
        <v>115.05742584000001</v>
      </c>
      <c r="V58" s="435">
        <v>112.83151508</v>
      </c>
      <c r="W58" s="435">
        <v>111.92142265999999</v>
      </c>
      <c r="X58" s="435">
        <v>108.78448612000001</v>
      </c>
      <c r="Y58" s="435">
        <v>116.90564415999999</v>
      </c>
      <c r="Z58" s="435">
        <v>161.84540453000002</v>
      </c>
      <c r="AA58" s="435">
        <v>156.20870775</v>
      </c>
      <c r="AB58" s="435">
        <v>165.79524011000001</v>
      </c>
      <c r="AC58" s="435">
        <v>168.96227317999998</v>
      </c>
      <c r="AD58" s="435">
        <v>168.01764791999997</v>
      </c>
      <c r="AE58" s="435">
        <v>159.68267114000002</v>
      </c>
      <c r="AF58" s="435">
        <v>190.50501496999999</v>
      </c>
      <c r="AG58" s="435">
        <v>233.15144351999999</v>
      </c>
      <c r="AH58" s="435">
        <v>216.99954342000001</v>
      </c>
      <c r="AI58" s="435">
        <v>224.34562079000003</v>
      </c>
      <c r="AJ58" s="435">
        <v>230.09703388</v>
      </c>
      <c r="AK58" s="435">
        <v>233.99931191000002</v>
      </c>
      <c r="AL58" s="435">
        <v>233.34379166999997</v>
      </c>
      <c r="AM58" s="438">
        <v>237.02058398</v>
      </c>
      <c r="AN58" s="438">
        <v>235.18330778999999</v>
      </c>
      <c r="AO58" s="438">
        <v>243.87884038999999</v>
      </c>
      <c r="AP58" s="438">
        <v>245.6496106699</v>
      </c>
      <c r="AQ58" s="438">
        <v>300.94986768080003</v>
      </c>
      <c r="AR58" s="432">
        <v>284.67342759159999</v>
      </c>
      <c r="AS58" s="432">
        <v>295.83519516000001</v>
      </c>
      <c r="AT58" s="432">
        <v>343.10847842040005</v>
      </c>
      <c r="AU58" s="432">
        <v>348.44781476719999</v>
      </c>
      <c r="AV58" s="432">
        <v>366.56424704199998</v>
      </c>
      <c r="AW58" s="436">
        <v>370.25325306600007</v>
      </c>
      <c r="AX58" s="436">
        <v>341.53584922200002</v>
      </c>
      <c r="AY58" s="436">
        <v>301.03869963569997</v>
      </c>
      <c r="AZ58" s="436">
        <v>302.83691266939996</v>
      </c>
      <c r="BA58" s="436">
        <v>285.45340182220002</v>
      </c>
      <c r="BB58" s="436">
        <v>278.9340786994</v>
      </c>
      <c r="BC58" s="436">
        <v>387.72219233239997</v>
      </c>
      <c r="BD58" s="436">
        <v>399.49902651399998</v>
      </c>
      <c r="BE58" s="436">
        <v>387.53493809939999</v>
      </c>
      <c r="BF58" s="436">
        <v>372.10580253750004</v>
      </c>
      <c r="BG58" s="436">
        <v>354.61298036199997</v>
      </c>
      <c r="BH58" s="436">
        <v>338.5783693674</v>
      </c>
      <c r="BI58" s="436">
        <v>362.51120013490004</v>
      </c>
      <c r="BJ58" s="436">
        <v>372.89365641310002</v>
      </c>
      <c r="BK58" s="436">
        <v>373.49857941569996</v>
      </c>
      <c r="BL58" s="436">
        <v>383.47908149759996</v>
      </c>
      <c r="BM58" s="436">
        <v>400.63592047720005</v>
      </c>
      <c r="BN58" s="436">
        <v>382.30440203199998</v>
      </c>
      <c r="BO58" s="436">
        <v>385.29415467400003</v>
      </c>
      <c r="BP58" s="436">
        <v>382.37777938580001</v>
      </c>
      <c r="BQ58" s="436">
        <v>376.40373162290001</v>
      </c>
      <c r="BR58" s="436">
        <v>378.61753864740001</v>
      </c>
      <c r="BS58" s="436">
        <v>378.26848467960002</v>
      </c>
      <c r="BT58" s="436">
        <v>377.98667100259001</v>
      </c>
      <c r="BU58" s="436">
        <v>397.65755499401405</v>
      </c>
      <c r="BV58" s="436">
        <v>306.79572368844794</v>
      </c>
      <c r="BW58" s="436">
        <v>534.24886212453498</v>
      </c>
      <c r="BX58" s="436">
        <v>503.44883088400002</v>
      </c>
      <c r="BY58" s="436">
        <v>433.1538485035</v>
      </c>
      <c r="BZ58" s="436">
        <v>525.29999999999995</v>
      </c>
      <c r="CA58" s="436">
        <v>542.36689110520001</v>
      </c>
      <c r="CB58" s="436">
        <v>491.09251104545001</v>
      </c>
      <c r="CC58" s="436">
        <v>446.38961586896994</v>
      </c>
      <c r="CD58" s="436">
        <v>454.80505154457001</v>
      </c>
      <c r="CE58" s="436">
        <v>474.52672758221394</v>
      </c>
      <c r="CF58" s="436">
        <v>498.53803474263162</v>
      </c>
      <c r="CG58" s="436">
        <v>960.66736685659669</v>
      </c>
      <c r="CH58" s="436">
        <v>993.93150187717856</v>
      </c>
      <c r="CI58" s="436">
        <v>1130.2070446361984</v>
      </c>
      <c r="CJ58" s="436">
        <v>1208.549435976513</v>
      </c>
      <c r="CK58" s="436">
        <v>1237.9194519800601</v>
      </c>
      <c r="CL58" s="436">
        <v>1320.8475223581036</v>
      </c>
      <c r="CM58" s="436">
        <v>1394.5520880896916</v>
      </c>
      <c r="CN58" s="436">
        <v>1447.021055491567</v>
      </c>
      <c r="CO58" s="436">
        <v>1475.0202552448577</v>
      </c>
      <c r="CP58" s="436">
        <v>1562.380050573425</v>
      </c>
      <c r="CQ58" s="436">
        <v>1585.1295592091374</v>
      </c>
      <c r="CR58" s="436">
        <v>1581.5899117100548</v>
      </c>
      <c r="CS58" s="436">
        <v>1596.1008058982159</v>
      </c>
      <c r="CT58" s="436">
        <v>1584.2864089168208</v>
      </c>
      <c r="CU58" s="436">
        <v>1531.2978367070261</v>
      </c>
      <c r="CV58" s="436">
        <v>1422.6789150511049</v>
      </c>
      <c r="CW58" s="436">
        <v>1359.0071309955845</v>
      </c>
      <c r="CX58" s="436">
        <v>1273.2068672698365</v>
      </c>
      <c r="CY58" s="436">
        <v>1238.3095816902833</v>
      </c>
      <c r="CZ58" s="436">
        <v>1220.1803695549781</v>
      </c>
      <c r="DA58" s="436">
        <v>1161.1948348075357</v>
      </c>
      <c r="DB58" s="439">
        <v>1181.4424501755905</v>
      </c>
      <c r="DC58" s="439">
        <v>1434.3044549933954</v>
      </c>
      <c r="DD58" s="439">
        <v>1437.6126339054933</v>
      </c>
      <c r="DE58" s="439">
        <v>1469.1744700138879</v>
      </c>
      <c r="DF58" s="439">
        <v>1465.786055043181</v>
      </c>
      <c r="DH58" s="430"/>
    </row>
    <row r="59" spans="1:112" ht="15.95" customHeight="1">
      <c r="A59" s="431" t="s">
        <v>318</v>
      </c>
      <c r="B59" s="432">
        <v>11010.618627710001</v>
      </c>
      <c r="C59" s="433">
        <v>11202.324978660003</v>
      </c>
      <c r="D59" s="433">
        <v>11392.66895213</v>
      </c>
      <c r="E59" s="434">
        <v>11612.441834360001</v>
      </c>
      <c r="F59" s="433">
        <v>11835.078289169998</v>
      </c>
      <c r="G59" s="433">
        <v>12010.31649066</v>
      </c>
      <c r="H59" s="433">
        <v>12223.067262169998</v>
      </c>
      <c r="I59" s="433">
        <v>12383.631140320003</v>
      </c>
      <c r="J59" s="433">
        <v>12495.888205270001</v>
      </c>
      <c r="K59" s="434">
        <v>12703.43300549</v>
      </c>
      <c r="L59" s="433">
        <v>12889.349938979996</v>
      </c>
      <c r="M59" s="433">
        <v>13057.569455209992</v>
      </c>
      <c r="N59" s="433">
        <v>13273.510894790004</v>
      </c>
      <c r="O59" s="434">
        <v>13386.098248070011</v>
      </c>
      <c r="P59" s="433">
        <v>13517.619478389994</v>
      </c>
      <c r="Q59" s="433">
        <v>13631.621207400012</v>
      </c>
      <c r="R59" s="434">
        <v>13790.01204564</v>
      </c>
      <c r="S59" s="433">
        <v>13962.252826749997</v>
      </c>
      <c r="T59" s="433">
        <v>14046.401857769995</v>
      </c>
      <c r="U59" s="435">
        <v>14128.511417380003</v>
      </c>
      <c r="V59" s="435">
        <v>14179.680991970003</v>
      </c>
      <c r="W59" s="435">
        <v>14332.369292889995</v>
      </c>
      <c r="X59" s="435">
        <v>14469.207694979992</v>
      </c>
      <c r="Y59" s="435">
        <v>14681.818957656398</v>
      </c>
      <c r="Z59" s="435">
        <v>14867.699041133901</v>
      </c>
      <c r="AA59" s="435">
        <v>15082.746113438385</v>
      </c>
      <c r="AB59" s="435">
        <v>15240.438459331968</v>
      </c>
      <c r="AC59" s="435">
        <v>15420.251653239993</v>
      </c>
      <c r="AD59" s="435">
        <v>15573.803864928304</v>
      </c>
      <c r="AE59" s="435">
        <v>15743.442259409143</v>
      </c>
      <c r="AF59" s="435">
        <v>15947.154507084686</v>
      </c>
      <c r="AG59" s="435">
        <v>16025.25354351721</v>
      </c>
      <c r="AH59" s="435">
        <v>16286.830751029996</v>
      </c>
      <c r="AI59" s="435">
        <v>16554.392915754779</v>
      </c>
      <c r="AJ59" s="435">
        <v>16762.523575996387</v>
      </c>
      <c r="AK59" s="435">
        <v>16989.085144613597</v>
      </c>
      <c r="AL59" s="435">
        <v>17189.504357741349</v>
      </c>
      <c r="AM59" s="438">
        <v>17458.849659500502</v>
      </c>
      <c r="AN59" s="438">
        <v>17531.998178534421</v>
      </c>
      <c r="AO59" s="438">
        <v>17706.625259815803</v>
      </c>
      <c r="AP59" s="438">
        <v>18343.053950757694</v>
      </c>
      <c r="AQ59" s="438">
        <v>18638.270237909608</v>
      </c>
      <c r="AR59" s="432">
        <v>19332.854220664809</v>
      </c>
      <c r="AS59" s="432">
        <v>19240.58847106</v>
      </c>
      <c r="AT59" s="432">
        <v>19478.913626610411</v>
      </c>
      <c r="AU59" s="432">
        <v>19650.556629893399</v>
      </c>
      <c r="AV59" s="432">
        <v>19719.546707906989</v>
      </c>
      <c r="AW59" s="436">
        <v>19725.976171224804</v>
      </c>
      <c r="AX59" s="436">
        <v>19860.443059875994</v>
      </c>
      <c r="AY59" s="436">
        <v>20053.6256522699</v>
      </c>
      <c r="AZ59" s="436">
        <v>20191.790771405998</v>
      </c>
      <c r="BA59" s="436">
        <v>20402.60927109421</v>
      </c>
      <c r="BB59" s="436">
        <v>20743.580143666008</v>
      </c>
      <c r="BC59" s="436">
        <v>20957.054775260396</v>
      </c>
      <c r="BD59" s="436">
        <v>21247.133820976604</v>
      </c>
      <c r="BE59" s="436">
        <v>21578.14483334959</v>
      </c>
      <c r="BF59" s="436">
        <v>21724.611324630001</v>
      </c>
      <c r="BG59" s="436">
        <v>21944.392615133998</v>
      </c>
      <c r="BH59" s="436">
        <v>22327.888310330909</v>
      </c>
      <c r="BI59" s="436">
        <v>22581.253492929201</v>
      </c>
      <c r="BJ59" s="436">
        <v>22928.326913878809</v>
      </c>
      <c r="BK59" s="436">
        <v>23372.214273920097</v>
      </c>
      <c r="BL59" s="436">
        <v>23809.493949092102</v>
      </c>
      <c r="BM59" s="436">
        <v>24204.688039687207</v>
      </c>
      <c r="BN59" s="436">
        <v>24518.506815144989</v>
      </c>
      <c r="BO59" s="436">
        <v>25009.841098352797</v>
      </c>
      <c r="BP59" s="436">
        <v>25330.8556352944</v>
      </c>
      <c r="BQ59" s="436">
        <v>25621.873178296599</v>
      </c>
      <c r="BR59" s="436">
        <v>25880.753915547804</v>
      </c>
      <c r="BS59" s="436">
        <v>26134.063912338792</v>
      </c>
      <c r="BT59" s="436">
        <v>26783.442174754564</v>
      </c>
      <c r="BU59" s="436">
        <v>27231.678537588177</v>
      </c>
      <c r="BV59" s="436">
        <v>27868.145133442464</v>
      </c>
      <c r="BW59" s="436">
        <v>28417.323148484262</v>
      </c>
      <c r="BX59" s="436">
        <v>29061.201910298005</v>
      </c>
      <c r="BY59" s="436">
        <v>30054.974832489399</v>
      </c>
      <c r="BZ59" s="436">
        <v>30466.1</v>
      </c>
      <c r="CA59" s="436">
        <v>30977.842405780913</v>
      </c>
      <c r="CB59" s="436">
        <v>31490.903773928971</v>
      </c>
      <c r="CC59" s="436">
        <v>31970.670609225093</v>
      </c>
      <c r="CD59" s="436">
        <v>32384.092497791309</v>
      </c>
      <c r="CE59" s="436">
        <v>32870.359955996508</v>
      </c>
      <c r="CF59" s="436">
        <v>33378.686694493044</v>
      </c>
      <c r="CG59" s="436">
        <v>33891.799166235971</v>
      </c>
      <c r="CH59" s="436">
        <v>34311.464803678777</v>
      </c>
      <c r="CI59" s="436">
        <v>34917.457011666367</v>
      </c>
      <c r="CJ59" s="436">
        <v>35605.307711334113</v>
      </c>
      <c r="CK59" s="436">
        <v>36025.001647723097</v>
      </c>
      <c r="CL59" s="436">
        <v>36562.461381562331</v>
      </c>
      <c r="CM59" s="436">
        <v>37169.659161722098</v>
      </c>
      <c r="CN59" s="436">
        <v>37592.635690536277</v>
      </c>
      <c r="CO59" s="436">
        <v>38009.922146942183</v>
      </c>
      <c r="CP59" s="436">
        <v>38360.681111363403</v>
      </c>
      <c r="CQ59" s="436">
        <v>38858.583398625604</v>
      </c>
      <c r="CR59" s="436">
        <v>37716.308529555099</v>
      </c>
      <c r="CS59" s="436">
        <v>38425.795412666463</v>
      </c>
      <c r="CT59" s="436">
        <v>39054.022377341382</v>
      </c>
      <c r="CU59" s="436">
        <v>39601.024353011329</v>
      </c>
      <c r="CV59" s="436">
        <v>40132.044547241152</v>
      </c>
      <c r="CW59" s="436">
        <v>40584.967509081253</v>
      </c>
      <c r="CX59" s="436">
        <v>41070.72339519221</v>
      </c>
      <c r="CY59" s="436">
        <v>41427.67088187582</v>
      </c>
      <c r="CZ59" s="436">
        <v>41810.227177622</v>
      </c>
      <c r="DA59" s="436">
        <v>41838.392578658539</v>
      </c>
      <c r="DB59" s="439">
        <v>42150.554228513916</v>
      </c>
      <c r="DC59" s="439">
        <v>42396.253214705474</v>
      </c>
      <c r="DD59" s="439">
        <v>42669.093034207937</v>
      </c>
      <c r="DE59" s="439">
        <v>42960.795226602189</v>
      </c>
      <c r="DF59" s="439">
        <v>43266.288489871513</v>
      </c>
      <c r="DH59" s="430"/>
    </row>
    <row r="60" spans="1:112" ht="15.95" customHeight="1">
      <c r="A60" s="431" t="s">
        <v>319</v>
      </c>
      <c r="B60" s="432">
        <v>631.71260848199995</v>
      </c>
      <c r="C60" s="433">
        <v>637.00001189880004</v>
      </c>
      <c r="D60" s="433">
        <v>630.79652337100003</v>
      </c>
      <c r="E60" s="434">
        <v>918.9091715141999</v>
      </c>
      <c r="F60" s="433">
        <v>916.59575032760006</v>
      </c>
      <c r="G60" s="433">
        <v>913.59674971639993</v>
      </c>
      <c r="H60" s="433">
        <v>912.87297314240016</v>
      </c>
      <c r="I60" s="433">
        <v>911.02767978169993</v>
      </c>
      <c r="J60" s="433">
        <v>915.69908700020005</v>
      </c>
      <c r="K60" s="434">
        <v>918.71441057212007</v>
      </c>
      <c r="L60" s="433">
        <v>917.90057680439998</v>
      </c>
      <c r="M60" s="433">
        <v>949.32647059750002</v>
      </c>
      <c r="N60" s="433">
        <v>961.73905879910001</v>
      </c>
      <c r="O60" s="434">
        <v>963.09920581979998</v>
      </c>
      <c r="P60" s="433">
        <v>960.8066742348002</v>
      </c>
      <c r="Q60" s="433">
        <v>961.63381638429996</v>
      </c>
      <c r="R60" s="434">
        <v>970.66404638539996</v>
      </c>
      <c r="S60" s="433">
        <v>974.15898084960008</v>
      </c>
      <c r="T60" s="433">
        <v>993.93218605999994</v>
      </c>
      <c r="U60" s="435">
        <v>1012.3027969685002</v>
      </c>
      <c r="V60" s="435">
        <v>1020.202496649023</v>
      </c>
      <c r="W60" s="435">
        <v>1032.7421272022</v>
      </c>
      <c r="X60" s="435">
        <v>1049.0586421827602</v>
      </c>
      <c r="Y60" s="435">
        <v>1064.0716994639001</v>
      </c>
      <c r="Z60" s="435">
        <v>1098.9543632306334</v>
      </c>
      <c r="AA60" s="435">
        <v>1106.1971092105291</v>
      </c>
      <c r="AB60" s="435">
        <v>1136.9087957993979</v>
      </c>
      <c r="AC60" s="435">
        <v>1155.9041027123999</v>
      </c>
      <c r="AD60" s="435">
        <v>1180.3898544476001</v>
      </c>
      <c r="AE60" s="435">
        <v>1214.1712031896666</v>
      </c>
      <c r="AF60" s="435">
        <v>1248.4742800066417</v>
      </c>
      <c r="AG60" s="435">
        <v>1271.8292897569199</v>
      </c>
      <c r="AH60" s="435">
        <v>1298.9702330919999</v>
      </c>
      <c r="AI60" s="435">
        <v>1325.6868942647998</v>
      </c>
      <c r="AJ60" s="435">
        <v>1355.3092489564003</v>
      </c>
      <c r="AK60" s="435">
        <v>1403.1711733903994</v>
      </c>
      <c r="AL60" s="435">
        <v>1426.067926007825</v>
      </c>
      <c r="AM60" s="438">
        <v>1474.0650294185004</v>
      </c>
      <c r="AN60" s="438">
        <v>1527.1223110706208</v>
      </c>
      <c r="AO60" s="438">
        <v>1565.6830659072839</v>
      </c>
      <c r="AP60" s="438">
        <v>1681.4288204078998</v>
      </c>
      <c r="AQ60" s="438">
        <v>1745.9539638031999</v>
      </c>
      <c r="AR60" s="432">
        <v>1776.6598231776002</v>
      </c>
      <c r="AS60" s="432">
        <v>1791.6207647699996</v>
      </c>
      <c r="AT60" s="432">
        <v>1795.8939063324003</v>
      </c>
      <c r="AU60" s="432">
        <v>1820.4244094390001</v>
      </c>
      <c r="AV60" s="432">
        <v>1859.6791881839997</v>
      </c>
      <c r="AW60" s="436">
        <v>1903.1595622968</v>
      </c>
      <c r="AX60" s="436">
        <v>1929.2430072007999</v>
      </c>
      <c r="AY60" s="436">
        <v>1961.3788750359004</v>
      </c>
      <c r="AZ60" s="436">
        <v>2024.7393850504006</v>
      </c>
      <c r="BA60" s="436">
        <v>2079.1979434475998</v>
      </c>
      <c r="BB60" s="436">
        <v>2119.6187428467997</v>
      </c>
      <c r="BC60" s="436">
        <v>2153.1713852019989</v>
      </c>
      <c r="BD60" s="436">
        <v>2197.3523498787995</v>
      </c>
      <c r="BE60" s="436">
        <v>2228.5211790778994</v>
      </c>
      <c r="BF60" s="436">
        <v>2259.5613418749999</v>
      </c>
      <c r="BG60" s="436">
        <v>2294.9202719520013</v>
      </c>
      <c r="BH60" s="436">
        <v>2333.1617905786989</v>
      </c>
      <c r="BI60" s="436">
        <v>2375.0995313164995</v>
      </c>
      <c r="BJ60" s="436">
        <v>2448.5308218214</v>
      </c>
      <c r="BK60" s="436">
        <v>2487.9593940598998</v>
      </c>
      <c r="BL60" s="436">
        <v>2542.6851438756999</v>
      </c>
      <c r="BM60" s="436">
        <v>2637.156302199201</v>
      </c>
      <c r="BN60" s="436">
        <v>2659.6984717227997</v>
      </c>
      <c r="BO60" s="436">
        <v>2709.0022434984012</v>
      </c>
      <c r="BP60" s="436">
        <v>2910.2628512496999</v>
      </c>
      <c r="BQ60" s="436">
        <v>2917.9134025144999</v>
      </c>
      <c r="BR60" s="436">
        <v>2926.2977547710989</v>
      </c>
      <c r="BS60" s="436">
        <v>3018.2850252375993</v>
      </c>
      <c r="BT60" s="436">
        <v>3055.6996900502513</v>
      </c>
      <c r="BU60" s="436">
        <v>2914.6141085252052</v>
      </c>
      <c r="BV60" s="436">
        <v>2969.5485552010991</v>
      </c>
      <c r="BW60" s="436">
        <v>3001.1978016363205</v>
      </c>
      <c r="BX60" s="436">
        <v>3009.6356242064999</v>
      </c>
      <c r="BY60" s="436">
        <v>3052.7995709551001</v>
      </c>
      <c r="BZ60" s="436">
        <v>3082.6</v>
      </c>
      <c r="CA60" s="436">
        <v>3112.3396293357009</v>
      </c>
      <c r="CB60" s="436">
        <v>3142.4687992971985</v>
      </c>
      <c r="CC60" s="436">
        <v>3151.2523367216018</v>
      </c>
      <c r="CD60" s="436">
        <v>3199.9707890491995</v>
      </c>
      <c r="CE60" s="436">
        <v>3233.8724895027303</v>
      </c>
      <c r="CF60" s="436">
        <v>3267.1263667738085</v>
      </c>
      <c r="CG60" s="436">
        <v>3291.6696433701909</v>
      </c>
      <c r="CH60" s="436">
        <v>3291.9195893411443</v>
      </c>
      <c r="CI60" s="436">
        <v>3298.2474081800005</v>
      </c>
      <c r="CJ60" s="436">
        <v>3247.0803038599997</v>
      </c>
      <c r="CK60" s="436">
        <v>3273.5065260099987</v>
      </c>
      <c r="CL60" s="436">
        <v>3363.7515723800002</v>
      </c>
      <c r="CM60" s="436">
        <v>3333.9225746899988</v>
      </c>
      <c r="CN60" s="436">
        <v>3365.1635800800013</v>
      </c>
      <c r="CO60" s="436">
        <v>3370.533729530001</v>
      </c>
      <c r="CP60" s="436">
        <v>3389.4861993299996</v>
      </c>
      <c r="CQ60" s="436">
        <v>3415.4069981100006</v>
      </c>
      <c r="CR60" s="436">
        <v>3478.2671618199997</v>
      </c>
      <c r="CS60" s="436">
        <v>3535.3164877310041</v>
      </c>
      <c r="CT60" s="436">
        <v>3550.2310994156496</v>
      </c>
      <c r="CU60" s="436">
        <v>3569.4225351789082</v>
      </c>
      <c r="CV60" s="436">
        <v>3600.0251948350265</v>
      </c>
      <c r="CW60" s="436">
        <v>3633.4429546541187</v>
      </c>
      <c r="CX60" s="436">
        <v>3666.376880302822</v>
      </c>
      <c r="CY60" s="436">
        <v>3689.3286526572901</v>
      </c>
      <c r="CZ60" s="436">
        <v>3711.7613543658294</v>
      </c>
      <c r="DA60" s="436">
        <v>3698.2817866299997</v>
      </c>
      <c r="DB60" s="439">
        <v>3710.6487160171123</v>
      </c>
      <c r="DC60" s="439">
        <v>3722.2408185513746</v>
      </c>
      <c r="DD60" s="439">
        <v>3729.7986596067994</v>
      </c>
      <c r="DE60" s="439">
        <v>3742.1958524304314</v>
      </c>
      <c r="DF60" s="439">
        <v>3763.5478403285319</v>
      </c>
      <c r="DH60" s="430"/>
    </row>
    <row r="61" spans="1:112" ht="15.95" customHeight="1">
      <c r="A61" s="431" t="s">
        <v>320</v>
      </c>
      <c r="B61" s="432">
        <v>9.9808426500000014</v>
      </c>
      <c r="C61" s="433">
        <v>9.8149648499999991</v>
      </c>
      <c r="D61" s="433">
        <v>9.7280374600000012</v>
      </c>
      <c r="E61" s="434">
        <v>8.1770788599999999</v>
      </c>
      <c r="F61" s="433">
        <v>7.89085693</v>
      </c>
      <c r="G61" s="433">
        <v>7.9313178000000004</v>
      </c>
      <c r="H61" s="433">
        <v>5.4065174000000003</v>
      </c>
      <c r="I61" s="433">
        <v>5.4201941600000003</v>
      </c>
      <c r="J61" s="433">
        <v>5.4044984700000009</v>
      </c>
      <c r="K61" s="434">
        <v>5.3770552399999998</v>
      </c>
      <c r="L61" s="433">
        <v>5.38715878</v>
      </c>
      <c r="M61" s="433">
        <v>5.3601309100000005</v>
      </c>
      <c r="N61" s="433">
        <v>5.33641407</v>
      </c>
      <c r="O61" s="434">
        <v>5.3114658800000001</v>
      </c>
      <c r="P61" s="433">
        <v>5.2709023200000003</v>
      </c>
      <c r="Q61" s="433">
        <v>8.7580862400000008</v>
      </c>
      <c r="R61" s="434">
        <v>5.2622938399999999</v>
      </c>
      <c r="S61" s="433">
        <v>8.7118640099999993</v>
      </c>
      <c r="T61" s="433">
        <v>8.6888613700000015</v>
      </c>
      <c r="U61" s="435">
        <v>8.6770204100000008</v>
      </c>
      <c r="V61" s="435">
        <v>8.6485261199999997</v>
      </c>
      <c r="W61" s="435">
        <v>8.8464252699999992</v>
      </c>
      <c r="X61" s="435">
        <v>8.2074176200000011</v>
      </c>
      <c r="Y61" s="435">
        <v>8.1960267700000013</v>
      </c>
      <c r="Z61" s="435">
        <v>8.399846890000001</v>
      </c>
      <c r="AA61" s="435">
        <v>8.3869613200000011</v>
      </c>
      <c r="AB61" s="435">
        <v>8.3944371999999987</v>
      </c>
      <c r="AC61" s="435">
        <v>8.4671845700000006</v>
      </c>
      <c r="AD61" s="435">
        <v>8.4482525299999995</v>
      </c>
      <c r="AE61" s="435">
        <v>4.9780152500000003</v>
      </c>
      <c r="AF61" s="435">
        <v>7.2950473499999999</v>
      </c>
      <c r="AG61" s="435">
        <v>7.672283199999999</v>
      </c>
      <c r="AH61" s="435">
        <v>4.9625663800000002</v>
      </c>
      <c r="AI61" s="435">
        <v>5.0275298199999989</v>
      </c>
      <c r="AJ61" s="435">
        <v>4.8951895499999996</v>
      </c>
      <c r="AK61" s="435">
        <v>8.3795621199999992</v>
      </c>
      <c r="AL61" s="435">
        <v>4.5342190700000007</v>
      </c>
      <c r="AM61" s="438">
        <v>7.5664676000000002</v>
      </c>
      <c r="AN61" s="438">
        <v>7.5585472100000004</v>
      </c>
      <c r="AO61" s="438">
        <v>3.1547836600000001</v>
      </c>
      <c r="AP61" s="438">
        <v>2.9795511999999995</v>
      </c>
      <c r="AQ61" s="438">
        <v>2.6668689900000002</v>
      </c>
      <c r="AR61" s="432">
        <v>2.8384443800000003</v>
      </c>
      <c r="AS61" s="432">
        <v>2.7407553500000001</v>
      </c>
      <c r="AT61" s="432">
        <v>2.3255312999999997</v>
      </c>
      <c r="AU61" s="432">
        <v>2.3075071199999999</v>
      </c>
      <c r="AV61" s="432">
        <v>2.3237800000000002</v>
      </c>
      <c r="AW61" s="436">
        <v>2.3132649199999999</v>
      </c>
      <c r="AX61" s="436">
        <v>2.3129326099999998</v>
      </c>
      <c r="AY61" s="436">
        <v>2.2579218299999999</v>
      </c>
      <c r="AZ61" s="436">
        <v>2.2117266200000003</v>
      </c>
      <c r="BA61" s="436">
        <v>2.2284190699999997</v>
      </c>
      <c r="BB61" s="436">
        <v>2.2283840000000001</v>
      </c>
      <c r="BC61" s="436">
        <v>2.2134575699999997</v>
      </c>
      <c r="BD61" s="436">
        <v>2.01994265</v>
      </c>
      <c r="BE61" s="436">
        <v>2.04378269</v>
      </c>
      <c r="BF61" s="436">
        <v>2.1678721899999998</v>
      </c>
      <c r="BG61" s="436">
        <v>3.1071423899999995</v>
      </c>
      <c r="BH61" s="436">
        <v>3.4835488300000002</v>
      </c>
      <c r="BI61" s="436">
        <v>3.6076444700000003</v>
      </c>
      <c r="BJ61" s="436">
        <v>3.4998180700000003</v>
      </c>
      <c r="BK61" s="436">
        <v>3.4727188900000003</v>
      </c>
      <c r="BL61" s="436">
        <v>3.4736296499999999</v>
      </c>
      <c r="BM61" s="436">
        <v>3.4559141900000001</v>
      </c>
      <c r="BN61" s="436">
        <v>3.4565265700000003</v>
      </c>
      <c r="BO61" s="436">
        <v>3.4388177099999999</v>
      </c>
      <c r="BP61" s="436">
        <v>0.94530492999999993</v>
      </c>
      <c r="BQ61" s="436">
        <v>0.69698305000000005</v>
      </c>
      <c r="BR61" s="436">
        <v>0.92583046000000013</v>
      </c>
      <c r="BS61" s="436">
        <v>1.0274726699999999</v>
      </c>
      <c r="BT61" s="436">
        <v>0.99933654000000005</v>
      </c>
      <c r="BU61" s="436">
        <v>1.00845549</v>
      </c>
      <c r="BV61" s="436">
        <v>1.0014700599999999</v>
      </c>
      <c r="BW61" s="436">
        <v>1.0112683599999999</v>
      </c>
      <c r="BX61" s="436">
        <v>1.004265</v>
      </c>
      <c r="BY61" s="436">
        <v>1.014052</v>
      </c>
      <c r="BZ61" s="436">
        <v>1</v>
      </c>
      <c r="CA61" s="436">
        <v>1.00649448</v>
      </c>
      <c r="CB61" s="436">
        <v>1.20555335</v>
      </c>
      <c r="CC61" s="436">
        <v>1.00547502</v>
      </c>
      <c r="CD61" s="436">
        <v>0.97817841999999999</v>
      </c>
      <c r="CE61" s="436">
        <v>1.4192554499999999</v>
      </c>
      <c r="CF61" s="436">
        <v>2.72232545</v>
      </c>
      <c r="CG61" s="436">
        <v>2.6961549000000002</v>
      </c>
      <c r="CH61" s="436">
        <v>2.6462249499999997</v>
      </c>
      <c r="CI61" s="436">
        <v>7.4809402800000004</v>
      </c>
      <c r="CJ61" s="436">
        <v>7.47466527</v>
      </c>
      <c r="CK61" s="436">
        <v>7.4792752100000008</v>
      </c>
      <c r="CL61" s="436">
        <v>9.8450686400000009</v>
      </c>
      <c r="CM61" s="436">
        <v>9.8834158899999984</v>
      </c>
      <c r="CN61" s="436">
        <v>10.577841759999998</v>
      </c>
      <c r="CO61" s="436">
        <v>10.606186959999999</v>
      </c>
      <c r="CP61" s="436">
        <v>11.113459800000001</v>
      </c>
      <c r="CQ61" s="436">
        <v>11.630131799999999</v>
      </c>
      <c r="CR61" s="436">
        <v>11.668199100000001</v>
      </c>
      <c r="CS61" s="436">
        <v>14.11259476</v>
      </c>
      <c r="CT61" s="436">
        <v>13.771408560000001</v>
      </c>
      <c r="CU61" s="436">
        <v>13.791556040000001</v>
      </c>
      <c r="CV61" s="436">
        <v>13.465634830000001</v>
      </c>
      <c r="CW61" s="436">
        <v>13.637862629999999</v>
      </c>
      <c r="CX61" s="436">
        <v>13.624181800000001</v>
      </c>
      <c r="CY61" s="436">
        <v>13.691553900000001</v>
      </c>
      <c r="CZ61" s="436">
        <v>13.754211829999997</v>
      </c>
      <c r="DA61" s="436">
        <v>13.840621050000001</v>
      </c>
      <c r="DB61" s="439">
        <v>13.898299640000001</v>
      </c>
      <c r="DC61" s="439">
        <v>14.355154859999999</v>
      </c>
      <c r="DD61" s="439">
        <v>14.43653331</v>
      </c>
      <c r="DE61" s="439">
        <v>14.526087310000001</v>
      </c>
      <c r="DF61" s="439">
        <v>14.68507235</v>
      </c>
      <c r="DH61" s="430"/>
    </row>
    <row r="62" spans="1:112" ht="15.95" customHeight="1">
      <c r="A62" s="431" t="s">
        <v>321</v>
      </c>
      <c r="B62" s="432">
        <v>294.50537011</v>
      </c>
      <c r="C62" s="433">
        <v>309.22604920999999</v>
      </c>
      <c r="D62" s="433">
        <v>307.83309158000003</v>
      </c>
      <c r="E62" s="434">
        <v>306.58122959999997</v>
      </c>
      <c r="F62" s="433">
        <v>306.58356157999998</v>
      </c>
      <c r="G62" s="433">
        <v>306.90930859999997</v>
      </c>
      <c r="H62" s="433">
        <v>292.20769429999996</v>
      </c>
      <c r="I62" s="433">
        <v>291.44275493999993</v>
      </c>
      <c r="J62" s="433">
        <v>287.71508945000005</v>
      </c>
      <c r="K62" s="434">
        <v>286.11354533000002</v>
      </c>
      <c r="L62" s="433">
        <v>284.09246360000003</v>
      </c>
      <c r="M62" s="433">
        <v>288.90431547000003</v>
      </c>
      <c r="N62" s="433">
        <v>289.67582743000003</v>
      </c>
      <c r="O62" s="434">
        <v>285.62669486999999</v>
      </c>
      <c r="P62" s="433">
        <v>282.00744011</v>
      </c>
      <c r="Q62" s="433">
        <v>284.71647494000001</v>
      </c>
      <c r="R62" s="434">
        <v>286.71388327999995</v>
      </c>
      <c r="S62" s="433">
        <v>282.67293098000005</v>
      </c>
      <c r="T62" s="433">
        <v>270.42824202999998</v>
      </c>
      <c r="U62" s="435">
        <v>279.42851538999997</v>
      </c>
      <c r="V62" s="435">
        <v>280.20051742999999</v>
      </c>
      <c r="W62" s="435">
        <v>279.26243044</v>
      </c>
      <c r="X62" s="435">
        <v>278.66283408000004</v>
      </c>
      <c r="Y62" s="435">
        <v>276.25474016999999</v>
      </c>
      <c r="Z62" s="435">
        <v>292.25515937</v>
      </c>
      <c r="AA62" s="435">
        <v>297.73404515999999</v>
      </c>
      <c r="AB62" s="435">
        <v>324.86315264999996</v>
      </c>
      <c r="AC62" s="435">
        <v>340.37277509000006</v>
      </c>
      <c r="AD62" s="435">
        <v>427.51742122000002</v>
      </c>
      <c r="AE62" s="435">
        <v>440.68611987000003</v>
      </c>
      <c r="AF62" s="435">
        <v>415.26327158000004</v>
      </c>
      <c r="AG62" s="435">
        <v>407.08002520000002</v>
      </c>
      <c r="AH62" s="435">
        <v>403.79710920000002</v>
      </c>
      <c r="AI62" s="435">
        <v>405.45311278999998</v>
      </c>
      <c r="AJ62" s="435">
        <v>406.04402293999993</v>
      </c>
      <c r="AK62" s="435">
        <v>426.74817350000001</v>
      </c>
      <c r="AL62" s="435">
        <v>505.87953292999998</v>
      </c>
      <c r="AM62" s="438">
        <v>485.03210646000002</v>
      </c>
      <c r="AN62" s="438">
        <v>1558.2646258699999</v>
      </c>
      <c r="AO62" s="438">
        <v>1589.7636474600001</v>
      </c>
      <c r="AP62" s="438">
        <v>1494.6753104200002</v>
      </c>
      <c r="AQ62" s="438">
        <v>1499.8570238099999</v>
      </c>
      <c r="AR62" s="432">
        <v>2393.90315057</v>
      </c>
      <c r="AS62" s="432">
        <v>2340.9249284499997</v>
      </c>
      <c r="AT62" s="432">
        <v>2326.9402252</v>
      </c>
      <c r="AU62" s="432">
        <v>2327.8791736200001</v>
      </c>
      <c r="AV62" s="432">
        <v>2059.5995445500002</v>
      </c>
      <c r="AW62" s="436">
        <v>2446.6309702100002</v>
      </c>
      <c r="AX62" s="436">
        <v>2497.6059817300002</v>
      </c>
      <c r="AY62" s="436">
        <v>2480.5561823799994</v>
      </c>
      <c r="AZ62" s="436">
        <v>2482.2471686399999</v>
      </c>
      <c r="BA62" s="436">
        <v>2543.9018218299998</v>
      </c>
      <c r="BB62" s="436">
        <v>1322.3910939599998</v>
      </c>
      <c r="BC62" s="436">
        <v>1322.19017633</v>
      </c>
      <c r="BD62" s="436">
        <v>1348.0704138599999</v>
      </c>
      <c r="BE62" s="436">
        <v>1402.46238877</v>
      </c>
      <c r="BF62" s="436">
        <v>1440.7662939900001</v>
      </c>
      <c r="BG62" s="436">
        <v>1373.0354699</v>
      </c>
      <c r="BH62" s="436">
        <v>1373.0519666299999</v>
      </c>
      <c r="BI62" s="436">
        <v>1439.0419675099997</v>
      </c>
      <c r="BJ62" s="436">
        <v>1445.6863327900001</v>
      </c>
      <c r="BK62" s="436">
        <v>1444.1156218800002</v>
      </c>
      <c r="BL62" s="436">
        <v>1355.31208773</v>
      </c>
      <c r="BM62" s="436">
        <v>1383.47868221</v>
      </c>
      <c r="BN62" s="436">
        <v>1385.4216584799999</v>
      </c>
      <c r="BO62" s="436">
        <v>1384.8326780499999</v>
      </c>
      <c r="BP62" s="436">
        <v>1384.0214552899999</v>
      </c>
      <c r="BQ62" s="436">
        <v>1380.7156107399999</v>
      </c>
      <c r="BR62" s="436">
        <v>1359.9752064500001</v>
      </c>
      <c r="BS62" s="436">
        <v>1366.1160118599998</v>
      </c>
      <c r="BT62" s="436">
        <v>1364.8385442499998</v>
      </c>
      <c r="BU62" s="436">
        <v>1365.6719042499999</v>
      </c>
      <c r="BV62" s="436">
        <v>1370.8775303800003</v>
      </c>
      <c r="BW62" s="436">
        <v>1373.10277232</v>
      </c>
      <c r="BX62" s="436">
        <v>1372.4082202300001</v>
      </c>
      <c r="BY62" s="436">
        <v>1379.5487195599999</v>
      </c>
      <c r="BZ62" s="436">
        <v>1378.3</v>
      </c>
      <c r="CA62" s="436">
        <v>1379.76744214</v>
      </c>
      <c r="CB62" s="436">
        <v>1380.1239040200001</v>
      </c>
      <c r="CC62" s="436">
        <v>1391.0661241199998</v>
      </c>
      <c r="CD62" s="436">
        <v>1389.9123051515003</v>
      </c>
      <c r="CE62" s="436">
        <v>1388.8680658599999</v>
      </c>
      <c r="CF62" s="436">
        <v>1391.1056217500002</v>
      </c>
      <c r="CG62" s="436">
        <v>1392.4293216400004</v>
      </c>
      <c r="CH62" s="436">
        <v>1395.1148538914999</v>
      </c>
      <c r="CI62" s="436">
        <v>1395.2045185099</v>
      </c>
      <c r="CJ62" s="436">
        <v>1419.2337149098998</v>
      </c>
      <c r="CK62" s="436">
        <v>1420.5669980799998</v>
      </c>
      <c r="CL62" s="436">
        <v>1419.2120360900001</v>
      </c>
      <c r="CM62" s="436">
        <v>1415.7956043400002</v>
      </c>
      <c r="CN62" s="436">
        <v>1417.2814561599998</v>
      </c>
      <c r="CO62" s="436">
        <v>1416.991272</v>
      </c>
      <c r="CP62" s="436">
        <v>1415.86874719</v>
      </c>
      <c r="CQ62" s="436">
        <v>1415.2641105599998</v>
      </c>
      <c r="CR62" s="436">
        <v>1414.5041604899998</v>
      </c>
      <c r="CS62" s="436">
        <v>1414.34517274</v>
      </c>
      <c r="CT62" s="436">
        <v>1414.1375922699999</v>
      </c>
      <c r="CU62" s="436">
        <v>1396.59802132</v>
      </c>
      <c r="CV62" s="436">
        <v>1396.5538977799999</v>
      </c>
      <c r="CW62" s="436">
        <v>1394.39272974</v>
      </c>
      <c r="CX62" s="436">
        <v>1397.9757551</v>
      </c>
      <c r="CY62" s="436">
        <v>1397.65335224</v>
      </c>
      <c r="CZ62" s="436">
        <v>1505.0988326500001</v>
      </c>
      <c r="DA62" s="436">
        <v>1400.7483568</v>
      </c>
      <c r="DB62" s="439">
        <v>1401.3853642700001</v>
      </c>
      <c r="DC62" s="439">
        <v>1396.8052459999999</v>
      </c>
      <c r="DD62" s="439">
        <v>1093.8735589999999</v>
      </c>
      <c r="DE62" s="439">
        <v>1093.3909699999999</v>
      </c>
      <c r="DF62" s="439">
        <v>1093.6664270000001</v>
      </c>
      <c r="DH62" s="430"/>
    </row>
    <row r="63" spans="1:112" ht="15.95" customHeight="1">
      <c r="A63" s="431" t="s">
        <v>322</v>
      </c>
      <c r="B63" s="432">
        <v>0</v>
      </c>
      <c r="C63" s="433">
        <v>0</v>
      </c>
      <c r="D63" s="433">
        <v>0</v>
      </c>
      <c r="E63" s="434">
        <v>0</v>
      </c>
      <c r="F63" s="433">
        <v>0</v>
      </c>
      <c r="G63" s="433">
        <v>0</v>
      </c>
      <c r="H63" s="433">
        <v>0</v>
      </c>
      <c r="I63" s="433">
        <v>0</v>
      </c>
      <c r="J63" s="433">
        <v>0.20513799999999999</v>
      </c>
      <c r="K63" s="434">
        <v>0.2</v>
      </c>
      <c r="L63" s="433">
        <v>0.395428</v>
      </c>
      <c r="M63" s="433">
        <v>0.39283400000000002</v>
      </c>
      <c r="N63" s="433">
        <v>0.39283400000000002</v>
      </c>
      <c r="O63" s="434">
        <v>0.38978099999999999</v>
      </c>
      <c r="P63" s="433">
        <v>1.1624669999999999</v>
      </c>
      <c r="Q63" s="433">
        <v>2.1069800000000001</v>
      </c>
      <c r="R63" s="434">
        <v>0.71001499999999995</v>
      </c>
      <c r="S63" s="433">
        <v>46.532303450629996</v>
      </c>
      <c r="T63" s="433">
        <v>45.416089142500006</v>
      </c>
      <c r="U63" s="435">
        <v>45.697390117930006</v>
      </c>
      <c r="V63" s="435">
        <v>45.854682412525001</v>
      </c>
      <c r="W63" s="435">
        <v>46.653371876400001</v>
      </c>
      <c r="X63" s="435">
        <v>47.848470621609991</v>
      </c>
      <c r="Y63" s="435">
        <v>48.277402693775997</v>
      </c>
      <c r="Z63" s="435">
        <v>67.329248030683999</v>
      </c>
      <c r="AA63" s="435">
        <v>67.488079579203344</v>
      </c>
      <c r="AB63" s="435">
        <v>70.492799647650003</v>
      </c>
      <c r="AC63" s="435">
        <v>69.551865608000014</v>
      </c>
      <c r="AD63" s="435">
        <v>132.20860703531503</v>
      </c>
      <c r="AE63" s="435">
        <v>105.88370750471934</v>
      </c>
      <c r="AF63" s="435">
        <v>107.670793580375</v>
      </c>
      <c r="AG63" s="435">
        <v>104.81736885385999</v>
      </c>
      <c r="AH63" s="435">
        <v>105.5450898898</v>
      </c>
      <c r="AI63" s="435">
        <v>232.64868494712002</v>
      </c>
      <c r="AJ63" s="435">
        <v>230.82875473394</v>
      </c>
      <c r="AK63" s="435">
        <v>235.08344324411999</v>
      </c>
      <c r="AL63" s="435">
        <v>216.1114739425</v>
      </c>
      <c r="AM63" s="438">
        <v>228.49271256343002</v>
      </c>
      <c r="AN63" s="438">
        <v>231.99992283203798</v>
      </c>
      <c r="AO63" s="438">
        <v>240.880553185</v>
      </c>
      <c r="AP63" s="438">
        <v>260.02803533600098</v>
      </c>
      <c r="AQ63" s="438">
        <v>236.27924863472998</v>
      </c>
      <c r="AR63" s="432">
        <v>247.27114239359997</v>
      </c>
      <c r="AS63" s="432">
        <v>237.46919503000004</v>
      </c>
      <c r="AT63" s="432">
        <v>292.92546086686394</v>
      </c>
      <c r="AU63" s="432">
        <v>305.225745824</v>
      </c>
      <c r="AV63" s="432">
        <v>307.643986477</v>
      </c>
      <c r="AW63" s="436">
        <v>297.10204076880001</v>
      </c>
      <c r="AX63" s="436">
        <v>250.42772057763196</v>
      </c>
      <c r="AY63" s="436">
        <v>270.51253293860009</v>
      </c>
      <c r="AZ63" s="436">
        <v>282.52861379639995</v>
      </c>
      <c r="BA63" s="436">
        <v>243.24641008452002</v>
      </c>
      <c r="BB63" s="436">
        <v>239.28703368490002</v>
      </c>
      <c r="BC63" s="436">
        <v>245.07685800317304</v>
      </c>
      <c r="BD63" s="436">
        <v>240.2716544996</v>
      </c>
      <c r="BE63" s="436">
        <v>298.59197900605301</v>
      </c>
      <c r="BF63" s="436">
        <v>256.12390377997502</v>
      </c>
      <c r="BG63" s="436">
        <v>259.88479059079998</v>
      </c>
      <c r="BH63" s="436">
        <v>255.41131892890596</v>
      </c>
      <c r="BI63" s="436">
        <v>266.76454516393204</v>
      </c>
      <c r="BJ63" s="436">
        <v>279.52291911155703</v>
      </c>
      <c r="BK63" s="436">
        <v>293.71030543915901</v>
      </c>
      <c r="BL63" s="436">
        <v>289.75037822088899</v>
      </c>
      <c r="BM63" s="436">
        <v>277.455306652204</v>
      </c>
      <c r="BN63" s="436">
        <v>343.447145507264</v>
      </c>
      <c r="BO63" s="436">
        <v>273.87357951407199</v>
      </c>
      <c r="BP63" s="436">
        <v>398.72208677236495</v>
      </c>
      <c r="BQ63" s="436">
        <v>637.82022482507693</v>
      </c>
      <c r="BR63" s="436">
        <v>816.22195751804202</v>
      </c>
      <c r="BS63" s="436">
        <v>1017.4135711990721</v>
      </c>
      <c r="BT63" s="436">
        <v>1189.2738507081549</v>
      </c>
      <c r="BU63" s="436">
        <v>1188.075049111598</v>
      </c>
      <c r="BV63" s="436">
        <v>1342.4756343356039</v>
      </c>
      <c r="BW63" s="436">
        <v>1646.6930746732751</v>
      </c>
      <c r="BX63" s="436">
        <v>2004.533338615</v>
      </c>
      <c r="BY63" s="436">
        <v>2355.5691974860001</v>
      </c>
      <c r="BZ63" s="436">
        <v>2422.1</v>
      </c>
      <c r="CA63" s="436">
        <v>2697.408163623033</v>
      </c>
      <c r="CB63" s="436">
        <v>691.15808217716403</v>
      </c>
      <c r="CC63" s="436">
        <v>717.11172945798</v>
      </c>
      <c r="CD63" s="436">
        <v>719.78197362128196</v>
      </c>
      <c r="CE63" s="436">
        <v>720.98173912270659</v>
      </c>
      <c r="CF63" s="436">
        <v>723.46041874714194</v>
      </c>
      <c r="CG63" s="436">
        <v>733.45360677763665</v>
      </c>
      <c r="CH63" s="436">
        <v>832.72349062846331</v>
      </c>
      <c r="CI63" s="436">
        <v>801.48684113467868</v>
      </c>
      <c r="CJ63" s="436">
        <v>879.02064366914192</v>
      </c>
      <c r="CK63" s="436">
        <v>899.08549744400193</v>
      </c>
      <c r="CL63" s="436">
        <v>906.8845209212102</v>
      </c>
      <c r="CM63" s="436">
        <v>1021.5683065521119</v>
      </c>
      <c r="CN63" s="436">
        <v>1030.2582549933056</v>
      </c>
      <c r="CO63" s="436">
        <v>1038.173754228915</v>
      </c>
      <c r="CP63" s="436">
        <v>1043.8404766330998</v>
      </c>
      <c r="CQ63" s="436">
        <v>1054.1377189657255</v>
      </c>
      <c r="CR63" s="436">
        <v>987.03765326873997</v>
      </c>
      <c r="CS63" s="436">
        <v>1111.6598963793301</v>
      </c>
      <c r="CT63" s="436">
        <v>1067.75626788</v>
      </c>
      <c r="CU63" s="436">
        <v>1050.1460565899999</v>
      </c>
      <c r="CV63" s="436">
        <v>1032.2639547900001</v>
      </c>
      <c r="CW63" s="436">
        <v>1055.0663191595315</v>
      </c>
      <c r="CX63" s="436">
        <v>1106.154974281322</v>
      </c>
      <c r="CY63" s="436">
        <v>1089.2936650036499</v>
      </c>
      <c r="CZ63" s="436">
        <v>1092.6400797914728</v>
      </c>
      <c r="DA63" s="436">
        <v>1019.41790156</v>
      </c>
      <c r="DB63" s="439">
        <v>1023.7252654399999</v>
      </c>
      <c r="DC63" s="439">
        <v>989.77706490000003</v>
      </c>
      <c r="DD63" s="439">
        <v>960.5135567296461</v>
      </c>
      <c r="DE63" s="439">
        <v>1023.6908026400001</v>
      </c>
      <c r="DF63" s="439">
        <v>1118.7979761600002</v>
      </c>
      <c r="DH63" s="430"/>
    </row>
    <row r="64" spans="1:112" ht="15.95" customHeight="1">
      <c r="A64" s="431" t="s">
        <v>323</v>
      </c>
      <c r="B64" s="432">
        <v>549.71802000000002</v>
      </c>
      <c r="C64" s="433">
        <v>696.68651899999986</v>
      </c>
      <c r="D64" s="433">
        <v>638.79334668000001</v>
      </c>
      <c r="E64" s="434">
        <v>644.70483925999997</v>
      </c>
      <c r="F64" s="433">
        <v>586.74018040999999</v>
      </c>
      <c r="G64" s="433">
        <v>733.00387278000017</v>
      </c>
      <c r="H64" s="433">
        <v>792.88652451999997</v>
      </c>
      <c r="I64" s="433">
        <v>782.05659328000002</v>
      </c>
      <c r="J64" s="433">
        <v>826.35706493000009</v>
      </c>
      <c r="K64" s="434">
        <v>707.45955255999991</v>
      </c>
      <c r="L64" s="433">
        <v>725.54649027000005</v>
      </c>
      <c r="M64" s="433">
        <v>711.18432359000008</v>
      </c>
      <c r="N64" s="433">
        <v>693.41795595000008</v>
      </c>
      <c r="O64" s="434">
        <v>754.83476208000002</v>
      </c>
      <c r="P64" s="433">
        <v>692.88464036000005</v>
      </c>
      <c r="Q64" s="433">
        <v>822.22808474999999</v>
      </c>
      <c r="R64" s="434">
        <v>866.54725947110012</v>
      </c>
      <c r="S64" s="433">
        <v>820.20297935999986</v>
      </c>
      <c r="T64" s="433">
        <v>803.27360246000001</v>
      </c>
      <c r="U64" s="435">
        <v>813.29766709</v>
      </c>
      <c r="V64" s="435">
        <v>816.58247028000005</v>
      </c>
      <c r="W64" s="435">
        <v>807.34459677999996</v>
      </c>
      <c r="X64" s="435">
        <v>799.99863003999997</v>
      </c>
      <c r="Y64" s="435">
        <v>718.30319977000011</v>
      </c>
      <c r="Z64" s="435">
        <v>928.59953433999988</v>
      </c>
      <c r="AA64" s="435">
        <v>937.40553345000001</v>
      </c>
      <c r="AB64" s="435">
        <v>930.1391129299999</v>
      </c>
      <c r="AC64" s="435">
        <v>983.11990701000002</v>
      </c>
      <c r="AD64" s="435">
        <v>971.26467135999997</v>
      </c>
      <c r="AE64" s="435">
        <v>1001.64040087</v>
      </c>
      <c r="AF64" s="435">
        <v>1003.78871537</v>
      </c>
      <c r="AG64" s="435">
        <v>1003.7396825099999</v>
      </c>
      <c r="AH64" s="435">
        <v>1031.34612178</v>
      </c>
      <c r="AI64" s="435">
        <v>842.97370915999988</v>
      </c>
      <c r="AJ64" s="435">
        <v>812.24615616999995</v>
      </c>
      <c r="AK64" s="435">
        <v>603.36682326999994</v>
      </c>
      <c r="AL64" s="435">
        <v>598.3713905699999</v>
      </c>
      <c r="AM64" s="438">
        <v>606.06347870000002</v>
      </c>
      <c r="AN64" s="438">
        <v>593.70921620000001</v>
      </c>
      <c r="AO64" s="438">
        <v>639.95014982999987</v>
      </c>
      <c r="AP64" s="438">
        <v>598.256936569</v>
      </c>
      <c r="AQ64" s="438">
        <v>599.07373795180001</v>
      </c>
      <c r="AR64" s="432">
        <v>671.72101844120004</v>
      </c>
      <c r="AS64" s="432">
        <v>695.72690526999997</v>
      </c>
      <c r="AT64" s="432">
        <v>628.89181501120004</v>
      </c>
      <c r="AU64" s="432">
        <v>614.20757529139996</v>
      </c>
      <c r="AV64" s="432">
        <v>574.28353460499989</v>
      </c>
      <c r="AW64" s="436">
        <v>560.68422718240004</v>
      </c>
      <c r="AX64" s="436">
        <v>645.27885286679998</v>
      </c>
      <c r="AY64" s="436">
        <v>616.8338107843</v>
      </c>
      <c r="AZ64" s="436">
        <v>607.01744748090005</v>
      </c>
      <c r="BA64" s="436">
        <v>602.38526572299997</v>
      </c>
      <c r="BB64" s="436">
        <v>614.539236104</v>
      </c>
      <c r="BC64" s="436">
        <v>632.00968978920002</v>
      </c>
      <c r="BD64" s="436">
        <v>721.03173345519986</v>
      </c>
      <c r="BE64" s="436">
        <v>753.75245776349982</v>
      </c>
      <c r="BF64" s="436">
        <v>882.23907725499998</v>
      </c>
      <c r="BG64" s="436">
        <v>896.71026415999995</v>
      </c>
      <c r="BH64" s="436">
        <v>927.23789174800015</v>
      </c>
      <c r="BI64" s="436">
        <v>777.2604059726001</v>
      </c>
      <c r="BJ64" s="436">
        <v>938.45391406529995</v>
      </c>
      <c r="BK64" s="436">
        <v>818.45527172909999</v>
      </c>
      <c r="BL64" s="436">
        <v>786.29643005219998</v>
      </c>
      <c r="BM64" s="436">
        <v>935.91765644940017</v>
      </c>
      <c r="BN64" s="436">
        <v>896.85316478279992</v>
      </c>
      <c r="BO64" s="436">
        <v>843.47685015280001</v>
      </c>
      <c r="BP64" s="436">
        <v>811.35715418539996</v>
      </c>
      <c r="BQ64" s="436">
        <v>957.23400288240009</v>
      </c>
      <c r="BR64" s="436">
        <v>705.23344926199991</v>
      </c>
      <c r="BS64" s="436">
        <v>688.6951387900001</v>
      </c>
      <c r="BT64" s="436">
        <v>773.26000557167004</v>
      </c>
      <c r="BU64" s="436">
        <v>927.69110650116602</v>
      </c>
      <c r="BV64" s="436">
        <v>930.17612321315789</v>
      </c>
      <c r="BW64" s="436">
        <v>881.59767940023505</v>
      </c>
      <c r="BX64" s="436">
        <v>818.86442002799993</v>
      </c>
      <c r="BY64" s="436">
        <v>731.37743129109992</v>
      </c>
      <c r="BZ64" s="436">
        <v>750.3</v>
      </c>
      <c r="CA64" s="436">
        <v>737.15373804559999</v>
      </c>
      <c r="CB64" s="436">
        <v>734.18520579360006</v>
      </c>
      <c r="CC64" s="436">
        <v>921.91695225066996</v>
      </c>
      <c r="CD64" s="436">
        <v>749.4697966341281</v>
      </c>
      <c r="CE64" s="436">
        <v>779.55187434269965</v>
      </c>
      <c r="CF64" s="436">
        <v>743.04435423856364</v>
      </c>
      <c r="CG64" s="436">
        <v>658.68847528270999</v>
      </c>
      <c r="CH64" s="436">
        <v>715.56691509104769</v>
      </c>
      <c r="CI64" s="436">
        <v>737.39945561116826</v>
      </c>
      <c r="CJ64" s="436">
        <v>722.32744391527206</v>
      </c>
      <c r="CK64" s="436">
        <v>728.18581182387391</v>
      </c>
      <c r="CL64" s="436">
        <v>702.0914089991586</v>
      </c>
      <c r="CM64" s="436">
        <v>703.46917572772008</v>
      </c>
      <c r="CN64" s="436">
        <v>562.81119576563606</v>
      </c>
      <c r="CO64" s="436">
        <v>623.00234604404795</v>
      </c>
      <c r="CP64" s="436">
        <v>568.54883975334985</v>
      </c>
      <c r="CQ64" s="436">
        <v>571.65821758883362</v>
      </c>
      <c r="CR64" s="436">
        <v>573.49589754086503</v>
      </c>
      <c r="CS64" s="436">
        <v>521.98917123526985</v>
      </c>
      <c r="CT64" s="436">
        <v>624.02140040742177</v>
      </c>
      <c r="CU64" s="436">
        <v>564.12743335921937</v>
      </c>
      <c r="CV64" s="436">
        <v>547.45190827908277</v>
      </c>
      <c r="CW64" s="436">
        <v>520.13609651934519</v>
      </c>
      <c r="CX64" s="436">
        <v>499.66604723699106</v>
      </c>
      <c r="CY64" s="436">
        <v>505.48670022399796</v>
      </c>
      <c r="CZ64" s="436">
        <v>516.53068841770198</v>
      </c>
      <c r="DA64" s="436">
        <v>548.42563738626814</v>
      </c>
      <c r="DB64" s="439">
        <v>498.7774743251374</v>
      </c>
      <c r="DC64" s="439">
        <v>521.1287166118741</v>
      </c>
      <c r="DD64" s="439">
        <v>543.23159397000006</v>
      </c>
      <c r="DE64" s="439">
        <v>534.20541866633596</v>
      </c>
      <c r="DF64" s="439">
        <v>586.27281080367709</v>
      </c>
      <c r="DH64" s="430"/>
    </row>
    <row r="65" spans="1:112" ht="15.95" customHeight="1">
      <c r="A65" s="431" t="s">
        <v>284</v>
      </c>
      <c r="B65" s="432">
        <v>674.17864708000002</v>
      </c>
      <c r="C65" s="433">
        <v>706.76778059999992</v>
      </c>
      <c r="D65" s="433">
        <v>707.05907008000008</v>
      </c>
      <c r="E65" s="434">
        <v>745.29963460999988</v>
      </c>
      <c r="F65" s="433">
        <v>580.49124470000004</v>
      </c>
      <c r="G65" s="433">
        <v>582.30800992000002</v>
      </c>
      <c r="H65" s="433">
        <v>596.79371203999995</v>
      </c>
      <c r="I65" s="433">
        <v>601.44582905000004</v>
      </c>
      <c r="J65" s="433">
        <v>648.31952114000001</v>
      </c>
      <c r="K65" s="434">
        <v>694.29697771999997</v>
      </c>
      <c r="L65" s="433">
        <v>720.60236027999986</v>
      </c>
      <c r="M65" s="433">
        <v>734.65367463999996</v>
      </c>
      <c r="N65" s="433">
        <v>730.80384248999997</v>
      </c>
      <c r="O65" s="434">
        <v>755.77603908122205</v>
      </c>
      <c r="P65" s="433">
        <v>781.59750591</v>
      </c>
      <c r="Q65" s="433">
        <v>730.71248932999993</v>
      </c>
      <c r="R65" s="434">
        <v>771.89773958000001</v>
      </c>
      <c r="S65" s="433">
        <v>797.59056128999998</v>
      </c>
      <c r="T65" s="433">
        <v>875.31153332999997</v>
      </c>
      <c r="U65" s="435">
        <v>927.79275436000012</v>
      </c>
      <c r="V65" s="435">
        <v>923.37752044000001</v>
      </c>
      <c r="W65" s="435">
        <v>865.38770993000003</v>
      </c>
      <c r="X65" s="435">
        <v>934.72422666000011</v>
      </c>
      <c r="Y65" s="435">
        <v>982.30806139999993</v>
      </c>
      <c r="Z65" s="435">
        <v>913.00096287999997</v>
      </c>
      <c r="AA65" s="435">
        <v>909.44524076000005</v>
      </c>
      <c r="AB65" s="435">
        <v>784.93725673000006</v>
      </c>
      <c r="AC65" s="435">
        <v>767.18885526967188</v>
      </c>
      <c r="AD65" s="435">
        <v>807.95366602000013</v>
      </c>
      <c r="AE65" s="435">
        <v>820.23825711999996</v>
      </c>
      <c r="AF65" s="435">
        <v>927.30651711999985</v>
      </c>
      <c r="AG65" s="435">
        <v>987.56416375000003</v>
      </c>
      <c r="AH65" s="435">
        <v>1005.3925882999999</v>
      </c>
      <c r="AI65" s="435">
        <v>1092.0357902000001</v>
      </c>
      <c r="AJ65" s="435">
        <v>1069.8626834199999</v>
      </c>
      <c r="AK65" s="435">
        <v>1237.9937549599999</v>
      </c>
      <c r="AL65" s="435">
        <v>1376.7569616400001</v>
      </c>
      <c r="AM65" s="438">
        <v>1477.3478381199996</v>
      </c>
      <c r="AN65" s="438">
        <v>1517.3599191499991</v>
      </c>
      <c r="AO65" s="438">
        <v>1597.4944163799992</v>
      </c>
      <c r="AP65" s="438">
        <v>1645.0014562460979</v>
      </c>
      <c r="AQ65" s="438">
        <v>1840.1817647506016</v>
      </c>
      <c r="AR65" s="432">
        <v>1818.6730189992027</v>
      </c>
      <c r="AS65" s="432">
        <v>1844.1208314099974</v>
      </c>
      <c r="AT65" s="432">
        <v>1855.3125900739997</v>
      </c>
      <c r="AU65" s="432">
        <v>1901.7251349566004</v>
      </c>
      <c r="AV65" s="432">
        <v>1899.9024457050002</v>
      </c>
      <c r="AW65" s="436">
        <v>1909.0267832320001</v>
      </c>
      <c r="AX65" s="436">
        <v>1879.3713856188001</v>
      </c>
      <c r="AY65" s="436">
        <v>1938.8317849043999</v>
      </c>
      <c r="AZ65" s="436">
        <v>2033.5676046596991</v>
      </c>
      <c r="BA65" s="436">
        <v>1847.9801696956006</v>
      </c>
      <c r="BB65" s="436">
        <v>2023.8180328912006</v>
      </c>
      <c r="BC65" s="436">
        <v>1874.331628841599</v>
      </c>
      <c r="BD65" s="436">
        <v>1968.9567622912011</v>
      </c>
      <c r="BE65" s="436">
        <v>1996.1312356425019</v>
      </c>
      <c r="BF65" s="436">
        <v>1724.9742009699996</v>
      </c>
      <c r="BG65" s="436">
        <v>2012.9245668140002</v>
      </c>
      <c r="BH65" s="436">
        <v>1795.9712818479009</v>
      </c>
      <c r="BI65" s="436">
        <v>1948.0119240127005</v>
      </c>
      <c r="BJ65" s="436">
        <v>2065.5990897659008</v>
      </c>
      <c r="BK65" s="436">
        <v>2138.4812930608</v>
      </c>
      <c r="BL65" s="436">
        <v>2205.5345366078996</v>
      </c>
      <c r="BM65" s="436">
        <v>1973.407525913</v>
      </c>
      <c r="BN65" s="436">
        <v>1942.6227002523995</v>
      </c>
      <c r="BO65" s="436">
        <v>2172.0236380287997</v>
      </c>
      <c r="BP65" s="436">
        <v>1700.9011893119014</v>
      </c>
      <c r="BQ65" s="436">
        <v>1844.1333598331003</v>
      </c>
      <c r="BR65" s="436">
        <v>1881.3146164784009</v>
      </c>
      <c r="BS65" s="436">
        <v>1880.9652851308001</v>
      </c>
      <c r="BT65" s="436">
        <v>1880.2954700048401</v>
      </c>
      <c r="BU65" s="436">
        <v>1825.8531014793996</v>
      </c>
      <c r="BV65" s="436">
        <v>1880.6848718600002</v>
      </c>
      <c r="BW65" s="436">
        <v>1831.4687303483151</v>
      </c>
      <c r="BX65" s="436">
        <v>1697.1439994410002</v>
      </c>
      <c r="BY65" s="436">
        <v>1702.3459929057999</v>
      </c>
      <c r="BZ65" s="436">
        <v>1967.4</v>
      </c>
      <c r="CA65" s="436">
        <v>1964.3180499324005</v>
      </c>
      <c r="CB65" s="436">
        <v>1995.3018809564001</v>
      </c>
      <c r="CC65" s="436">
        <v>1817.7463328880001</v>
      </c>
      <c r="CD65" s="436">
        <v>2082.5293196479661</v>
      </c>
      <c r="CE65" s="436">
        <v>1883.6659007779381</v>
      </c>
      <c r="CF65" s="436">
        <v>1915.5019019245615</v>
      </c>
      <c r="CG65" s="436">
        <v>1768.5289212379066</v>
      </c>
      <c r="CH65" s="436">
        <v>1947.4130193710671</v>
      </c>
      <c r="CI65" s="436">
        <v>2122.2853427087834</v>
      </c>
      <c r="CJ65" s="436">
        <v>2113.746955407828</v>
      </c>
      <c r="CK65" s="436">
        <v>2086.7824669300021</v>
      </c>
      <c r="CL65" s="436">
        <v>2088.4495365623284</v>
      </c>
      <c r="CM65" s="436">
        <v>2051.9630958496045</v>
      </c>
      <c r="CN65" s="436">
        <v>2188.8562011476452</v>
      </c>
      <c r="CO65" s="436">
        <v>2194.0324919406985</v>
      </c>
      <c r="CP65" s="436">
        <v>2014.932236953925</v>
      </c>
      <c r="CQ65" s="436">
        <v>2131.7030845426934</v>
      </c>
      <c r="CR65" s="436">
        <v>2108.1578031917002</v>
      </c>
      <c r="CS65" s="436">
        <v>2025.5853234462472</v>
      </c>
      <c r="CT65" s="436">
        <v>2133.8516917276565</v>
      </c>
      <c r="CU65" s="436">
        <v>2061.1036627028793</v>
      </c>
      <c r="CV65" s="436">
        <v>2110.6947561199886</v>
      </c>
      <c r="CW65" s="436">
        <v>2110.2206895628678</v>
      </c>
      <c r="CX65" s="436">
        <v>2035.3660772926742</v>
      </c>
      <c r="CY65" s="436">
        <v>2106.5708892856323</v>
      </c>
      <c r="CZ65" s="436">
        <v>1997.1258950458141</v>
      </c>
      <c r="DA65" s="436">
        <v>1921.3519921208942</v>
      </c>
      <c r="DB65" s="439">
        <v>2008.393867451168</v>
      </c>
      <c r="DC65" s="439">
        <v>1846.2343383083</v>
      </c>
      <c r="DD65" s="439">
        <v>1846.02799150277</v>
      </c>
      <c r="DE65" s="439">
        <v>1950.4450180282013</v>
      </c>
      <c r="DF65" s="439">
        <v>1620.8388893086365</v>
      </c>
      <c r="DH65" s="430"/>
    </row>
    <row r="66" spans="1:112" ht="15.75" thickBot="1">
      <c r="A66" s="442"/>
      <c r="B66" s="443"/>
      <c r="C66" s="444"/>
      <c r="D66" s="445"/>
      <c r="E66" s="434"/>
      <c r="F66" s="433"/>
      <c r="G66" s="433"/>
      <c r="H66" s="444"/>
      <c r="I66" s="444"/>
      <c r="J66" s="446"/>
      <c r="K66" s="447"/>
      <c r="L66" s="446"/>
      <c r="M66" s="446"/>
      <c r="N66" s="446"/>
      <c r="O66" s="447"/>
      <c r="P66" s="446"/>
      <c r="Q66" s="446"/>
      <c r="R66" s="448"/>
      <c r="S66" s="444"/>
      <c r="T66" s="444"/>
      <c r="U66" s="449"/>
      <c r="V66" s="450"/>
      <c r="W66" s="450"/>
      <c r="X66" s="450"/>
      <c r="Y66" s="450"/>
      <c r="Z66" s="450"/>
      <c r="AA66" s="450"/>
      <c r="AB66" s="450"/>
      <c r="AC66" s="450"/>
      <c r="AD66" s="450"/>
      <c r="AE66" s="450"/>
      <c r="AF66" s="450"/>
      <c r="AG66" s="450"/>
      <c r="AH66" s="450"/>
      <c r="AI66" s="451"/>
      <c r="AJ66" s="451"/>
      <c r="AK66" s="451"/>
      <c r="AL66" s="451"/>
      <c r="AM66" s="451"/>
      <c r="AN66" s="451"/>
      <c r="AO66" s="451"/>
      <c r="AP66" s="451"/>
      <c r="AQ66" s="450"/>
      <c r="AR66" s="443"/>
      <c r="AS66" s="443"/>
      <c r="AT66" s="443"/>
      <c r="AU66" s="443"/>
      <c r="AV66" s="443"/>
      <c r="AW66" s="451"/>
      <c r="AX66" s="451"/>
      <c r="AY66" s="451"/>
      <c r="AZ66" s="451"/>
      <c r="BA66" s="451"/>
      <c r="BB66" s="451"/>
      <c r="BC66" s="451"/>
      <c r="BD66" s="451"/>
      <c r="BE66" s="451"/>
      <c r="BF66" s="451"/>
      <c r="BG66" s="451"/>
      <c r="BH66" s="451"/>
      <c r="BI66" s="451"/>
      <c r="BJ66" s="451"/>
      <c r="BK66" s="451"/>
      <c r="BL66" s="451"/>
      <c r="BM66" s="451"/>
      <c r="BN66" s="451"/>
      <c r="BO66" s="451"/>
      <c r="BP66" s="451"/>
      <c r="BQ66" s="451"/>
      <c r="BR66" s="451"/>
      <c r="BS66" s="451"/>
      <c r="BT66" s="451"/>
      <c r="BU66" s="451"/>
      <c r="BV66" s="451"/>
      <c r="BW66" s="451"/>
      <c r="BX66" s="451"/>
      <c r="BY66" s="451"/>
      <c r="BZ66" s="451"/>
      <c r="CA66" s="451"/>
      <c r="CB66" s="451"/>
      <c r="CC66" s="451"/>
      <c r="CD66" s="451"/>
      <c r="CE66" s="451"/>
      <c r="CF66" s="451"/>
      <c r="CG66" s="451"/>
      <c r="CH66" s="451"/>
      <c r="CI66" s="451"/>
      <c r="CJ66" s="451"/>
      <c r="CK66" s="451"/>
      <c r="CL66" s="451"/>
      <c r="CM66" s="451"/>
      <c r="CN66" s="451"/>
      <c r="CO66" s="451"/>
      <c r="CP66" s="451"/>
      <c r="CQ66" s="451"/>
      <c r="CR66" s="451"/>
      <c r="CS66" s="451"/>
      <c r="CT66" s="451"/>
      <c r="CU66" s="451"/>
      <c r="CV66" s="451"/>
      <c r="CW66" s="451"/>
      <c r="CX66" s="451"/>
      <c r="CY66" s="451"/>
      <c r="CZ66" s="451"/>
      <c r="DA66" s="451"/>
      <c r="DB66" s="452"/>
      <c r="DC66" s="452"/>
      <c r="DD66" s="452"/>
      <c r="DE66" s="452"/>
      <c r="DF66" s="452"/>
      <c r="DH66" s="430"/>
    </row>
    <row r="67" spans="1:112" ht="16.5" thickTop="1" thickBot="1">
      <c r="A67" s="453" t="s">
        <v>324</v>
      </c>
      <c r="B67" s="454"/>
      <c r="C67" s="454"/>
      <c r="D67" s="454"/>
      <c r="E67" s="454"/>
      <c r="F67" s="454"/>
      <c r="G67" s="454"/>
      <c r="H67" s="434"/>
      <c r="I67" s="434"/>
      <c r="J67" s="455"/>
      <c r="K67" s="455"/>
      <c r="L67" s="455"/>
      <c r="M67" s="455"/>
      <c r="N67" s="455"/>
      <c r="O67" s="455"/>
      <c r="P67" s="455"/>
      <c r="Q67" s="455"/>
      <c r="R67" s="434"/>
      <c r="S67" s="434"/>
      <c r="T67" s="434"/>
      <c r="U67" s="434"/>
      <c r="V67" s="455"/>
      <c r="W67" s="455"/>
      <c r="X67" s="455"/>
      <c r="Y67" s="455"/>
      <c r="Z67" s="455"/>
      <c r="AA67" s="455"/>
      <c r="AB67" s="455"/>
      <c r="AC67" s="455"/>
      <c r="AD67" s="455"/>
      <c r="AE67" s="455"/>
      <c r="AF67" s="455"/>
      <c r="AG67" s="455"/>
      <c r="AH67" s="455"/>
      <c r="AI67" s="456"/>
      <c r="AJ67" s="456"/>
      <c r="AK67" s="456"/>
      <c r="AL67" s="434"/>
      <c r="AM67" s="455"/>
      <c r="AN67" s="455"/>
      <c r="AO67" s="455"/>
      <c r="AP67" s="455"/>
      <c r="AQ67" s="455"/>
      <c r="AR67" s="454"/>
      <c r="AS67" s="454"/>
      <c r="AT67" s="454"/>
      <c r="AU67" s="454"/>
      <c r="AV67" s="454"/>
      <c r="AW67" s="454"/>
      <c r="AX67" s="454"/>
      <c r="AY67" s="454"/>
      <c r="AZ67" s="454"/>
      <c r="BA67" s="454"/>
      <c r="BB67" s="454"/>
      <c r="BC67" s="454"/>
      <c r="BD67" s="454"/>
      <c r="BE67" s="454"/>
      <c r="BF67" s="454"/>
      <c r="BG67" s="454"/>
      <c r="BH67" s="454"/>
      <c r="BI67" s="454"/>
      <c r="BJ67" s="454"/>
      <c r="BK67" s="454"/>
      <c r="BL67" s="434"/>
      <c r="BM67" s="434"/>
      <c r="BN67" s="434"/>
      <c r="BO67" s="434"/>
      <c r="BP67" s="434"/>
      <c r="BQ67" s="434"/>
      <c r="BR67" s="434"/>
      <c r="BS67" s="434"/>
      <c r="BT67" s="434"/>
      <c r="BU67" s="434"/>
      <c r="BV67" s="434"/>
      <c r="BW67" s="434"/>
      <c r="BX67" s="434"/>
      <c r="BY67" s="434"/>
      <c r="BZ67" s="434"/>
      <c r="CA67" s="434"/>
      <c r="CB67" s="434"/>
      <c r="CC67" s="434"/>
      <c r="CD67" s="434"/>
      <c r="CE67" s="434"/>
      <c r="CF67" s="434"/>
      <c r="CG67" s="434"/>
      <c r="CH67" s="434"/>
      <c r="CI67" s="434"/>
      <c r="CJ67" s="434"/>
      <c r="CK67" s="434"/>
      <c r="CL67" s="434"/>
      <c r="CM67" s="434"/>
      <c r="CN67" s="434"/>
      <c r="CO67" s="434"/>
      <c r="CP67" s="434"/>
      <c r="CQ67" s="434"/>
      <c r="CR67" s="434"/>
      <c r="CS67" s="434"/>
      <c r="CT67" s="434"/>
      <c r="CU67" s="434"/>
      <c r="CV67" s="434"/>
      <c r="CW67" s="434"/>
      <c r="CX67" s="434"/>
      <c r="CY67" s="434"/>
      <c r="CZ67" s="434"/>
      <c r="DA67" s="434"/>
      <c r="DD67" s="457"/>
      <c r="DE67" s="457"/>
      <c r="DF67" s="457"/>
      <c r="DH67" s="430"/>
    </row>
    <row r="68" spans="1:112" ht="16.5" thickTop="1" thickBot="1">
      <c r="A68" s="458" t="s">
        <v>263</v>
      </c>
      <c r="B68" s="459">
        <v>38504</v>
      </c>
      <c r="C68" s="460">
        <v>38534</v>
      </c>
      <c r="D68" s="460">
        <v>38565</v>
      </c>
      <c r="E68" s="461">
        <v>38596</v>
      </c>
      <c r="F68" s="460">
        <v>38626</v>
      </c>
      <c r="G68" s="460">
        <v>38657</v>
      </c>
      <c r="H68" s="460">
        <v>38687</v>
      </c>
      <c r="I68" s="460">
        <v>38718</v>
      </c>
      <c r="J68" s="460">
        <v>38749</v>
      </c>
      <c r="K68" s="461">
        <v>38777</v>
      </c>
      <c r="L68" s="460">
        <v>38808</v>
      </c>
      <c r="M68" s="460">
        <v>38838</v>
      </c>
      <c r="N68" s="460">
        <v>38869</v>
      </c>
      <c r="O68" s="461">
        <v>38899</v>
      </c>
      <c r="P68" s="460">
        <v>38930</v>
      </c>
      <c r="Q68" s="460">
        <v>38961</v>
      </c>
      <c r="R68" s="461">
        <v>38991</v>
      </c>
      <c r="S68" s="460">
        <v>39022</v>
      </c>
      <c r="T68" s="460">
        <v>39052</v>
      </c>
      <c r="U68" s="462">
        <v>39083</v>
      </c>
      <c r="V68" s="462">
        <v>39114</v>
      </c>
      <c r="W68" s="462">
        <v>39142</v>
      </c>
      <c r="X68" s="462">
        <v>39173</v>
      </c>
      <c r="Y68" s="462">
        <v>39203</v>
      </c>
      <c r="Z68" s="462">
        <v>39234</v>
      </c>
      <c r="AA68" s="462">
        <v>39264</v>
      </c>
      <c r="AB68" s="462">
        <v>39295</v>
      </c>
      <c r="AC68" s="462">
        <v>39326</v>
      </c>
      <c r="AD68" s="462">
        <v>39356</v>
      </c>
      <c r="AE68" s="462">
        <v>39387</v>
      </c>
      <c r="AF68" s="462">
        <v>39417</v>
      </c>
      <c r="AG68" s="462">
        <v>39448</v>
      </c>
      <c r="AH68" s="462">
        <v>39479</v>
      </c>
      <c r="AI68" s="462">
        <v>39508</v>
      </c>
      <c r="AJ68" s="462">
        <v>39539</v>
      </c>
      <c r="AK68" s="462">
        <v>39569</v>
      </c>
      <c r="AL68" s="462">
        <v>39600</v>
      </c>
      <c r="AM68" s="462">
        <v>39630</v>
      </c>
      <c r="AN68" s="462">
        <v>39661</v>
      </c>
      <c r="AO68" s="462">
        <v>39692</v>
      </c>
      <c r="AP68" s="462">
        <f t="shared" ref="AP68:BH68" si="0">AP3</f>
        <v>39722</v>
      </c>
      <c r="AQ68" s="462">
        <f t="shared" si="0"/>
        <v>39753</v>
      </c>
      <c r="AR68" s="459">
        <f t="shared" si="0"/>
        <v>39783</v>
      </c>
      <c r="AS68" s="459">
        <f t="shared" si="0"/>
        <v>39814</v>
      </c>
      <c r="AT68" s="459">
        <f t="shared" si="0"/>
        <v>39853</v>
      </c>
      <c r="AU68" s="459">
        <f t="shared" si="0"/>
        <v>39881</v>
      </c>
      <c r="AV68" s="459">
        <f t="shared" si="0"/>
        <v>39912</v>
      </c>
      <c r="AW68" s="463">
        <f t="shared" si="0"/>
        <v>39942</v>
      </c>
      <c r="AX68" s="463">
        <f t="shared" si="0"/>
        <v>39973</v>
      </c>
      <c r="AY68" s="463">
        <f t="shared" si="0"/>
        <v>40003</v>
      </c>
      <c r="AZ68" s="463">
        <f t="shared" si="0"/>
        <v>40034</v>
      </c>
      <c r="BA68" s="463">
        <f t="shared" si="0"/>
        <v>40065</v>
      </c>
      <c r="BB68" s="463">
        <f t="shared" si="0"/>
        <v>40095</v>
      </c>
      <c r="BC68" s="463">
        <f t="shared" si="0"/>
        <v>40126</v>
      </c>
      <c r="BD68" s="463">
        <f t="shared" si="0"/>
        <v>40156</v>
      </c>
      <c r="BE68" s="463">
        <f t="shared" si="0"/>
        <v>40187</v>
      </c>
      <c r="BF68" s="463">
        <f t="shared" si="0"/>
        <v>40218</v>
      </c>
      <c r="BG68" s="463">
        <f t="shared" si="0"/>
        <v>40246</v>
      </c>
      <c r="BH68" s="463">
        <f t="shared" si="0"/>
        <v>40277</v>
      </c>
      <c r="BI68" s="463">
        <f>BI3</f>
        <v>40307</v>
      </c>
      <c r="BJ68" s="463">
        <f>BJ3</f>
        <v>40338</v>
      </c>
      <c r="BK68" s="463">
        <f>BK3</f>
        <v>40368</v>
      </c>
      <c r="BL68" s="459">
        <v>40399</v>
      </c>
      <c r="BM68" s="463">
        <f t="shared" ref="BM68:BX68" si="1">BM3</f>
        <v>40430</v>
      </c>
      <c r="BN68" s="463" t="str">
        <f t="shared" si="1"/>
        <v xml:space="preserve">Oct-10 </v>
      </c>
      <c r="BO68" s="463" t="str">
        <f t="shared" si="1"/>
        <v xml:space="preserve">Nov-10 </v>
      </c>
      <c r="BP68" s="463" t="str">
        <f t="shared" si="1"/>
        <v>Dec-10</v>
      </c>
      <c r="BQ68" s="463" t="str">
        <f t="shared" si="1"/>
        <v>Jan-11</v>
      </c>
      <c r="BR68" s="463">
        <f t="shared" si="1"/>
        <v>40575</v>
      </c>
      <c r="BS68" s="463">
        <f t="shared" si="1"/>
        <v>40603</v>
      </c>
      <c r="BT68" s="463">
        <f t="shared" si="1"/>
        <v>40634</v>
      </c>
      <c r="BU68" s="463">
        <f t="shared" si="1"/>
        <v>40664</v>
      </c>
      <c r="BV68" s="463">
        <f t="shared" si="1"/>
        <v>40695</v>
      </c>
      <c r="BW68" s="463">
        <f t="shared" si="1"/>
        <v>40725</v>
      </c>
      <c r="BX68" s="463">
        <f t="shared" si="1"/>
        <v>40756</v>
      </c>
      <c r="BY68" s="463">
        <f>BY3</f>
        <v>40787</v>
      </c>
      <c r="BZ68" s="464">
        <v>40817</v>
      </c>
      <c r="CA68" s="464">
        <v>40848</v>
      </c>
      <c r="CB68" s="464">
        <v>40878</v>
      </c>
      <c r="CC68" s="464">
        <v>40909</v>
      </c>
      <c r="CD68" s="464">
        <v>40940</v>
      </c>
      <c r="CE68" s="464">
        <v>40969</v>
      </c>
      <c r="CF68" s="464">
        <v>41000</v>
      </c>
      <c r="CG68" s="464">
        <v>41030</v>
      </c>
      <c r="CH68" s="464">
        <v>41061</v>
      </c>
      <c r="CI68" s="464">
        <v>41091</v>
      </c>
      <c r="CJ68" s="464">
        <v>41122</v>
      </c>
      <c r="CK68" s="464">
        <v>41153</v>
      </c>
      <c r="CL68" s="464">
        <v>41183</v>
      </c>
      <c r="CM68" s="464">
        <v>41214</v>
      </c>
      <c r="CN68" s="464">
        <v>41244</v>
      </c>
      <c r="CO68" s="464">
        <v>41275</v>
      </c>
      <c r="CP68" s="465">
        <v>41306</v>
      </c>
      <c r="CQ68" s="464">
        <v>41334</v>
      </c>
      <c r="CR68" s="464">
        <v>41365</v>
      </c>
      <c r="CS68" s="464" t="str">
        <f>CS3</f>
        <v>May-13</v>
      </c>
      <c r="CT68" s="464" t="str">
        <f>CT3</f>
        <v>June-13</v>
      </c>
      <c r="CU68" s="464" t="s">
        <v>381</v>
      </c>
      <c r="CV68" s="464" t="s">
        <v>382</v>
      </c>
      <c r="CW68" s="464" t="s">
        <v>383</v>
      </c>
      <c r="CX68" s="464" t="str">
        <f>CX3</f>
        <v>Oct-13</v>
      </c>
      <c r="CY68" s="464" t="s">
        <v>391</v>
      </c>
      <c r="CZ68" s="464" t="s">
        <v>392</v>
      </c>
      <c r="DA68" s="464" t="s">
        <v>393</v>
      </c>
      <c r="DB68" s="464" t="s">
        <v>385</v>
      </c>
      <c r="DC68" s="464" t="s">
        <v>386</v>
      </c>
      <c r="DD68" s="464" t="s">
        <v>387</v>
      </c>
      <c r="DE68" s="464" t="s">
        <v>388</v>
      </c>
      <c r="DF68" s="464" t="s">
        <v>389</v>
      </c>
      <c r="DH68" s="430"/>
    </row>
    <row r="69" spans="1:112" ht="21" customHeight="1" thickTop="1">
      <c r="A69" s="419" t="s">
        <v>325</v>
      </c>
      <c r="B69" s="420">
        <f>SUM(B71:B81)</f>
        <v>15534.715479992785</v>
      </c>
      <c r="C69" s="422">
        <f>SUM(C71:C81)</f>
        <v>15551.581107641709</v>
      </c>
      <c r="D69" s="422">
        <f>SUM(D71:D81)</f>
        <v>15857.540520883158</v>
      </c>
      <c r="E69" s="423">
        <f>SUM(E71:E81)</f>
        <v>16259.128164221001</v>
      </c>
      <c r="F69" s="422">
        <v>16621.625371383201</v>
      </c>
      <c r="G69" s="422">
        <v>17344.254700009402</v>
      </c>
      <c r="H69" s="422">
        <f>17142.8210698872+0.1</f>
        <v>17142.921069887198</v>
      </c>
      <c r="I69" s="422">
        <v>17412.348318011598</v>
      </c>
      <c r="J69" s="422">
        <v>17663.588057463399</v>
      </c>
      <c r="K69" s="423">
        <v>17331.447386046402</v>
      </c>
      <c r="L69" s="422">
        <v>17545.381388944999</v>
      </c>
      <c r="M69" s="422">
        <v>17873.917430271002</v>
      </c>
      <c r="N69" s="422">
        <v>17712.509658889609</v>
      </c>
      <c r="O69" s="423">
        <v>18221.417730355264</v>
      </c>
      <c r="P69" s="422">
        <v>18369.127777855472</v>
      </c>
      <c r="Q69" s="422">
        <v>18370.429783177602</v>
      </c>
      <c r="R69" s="424">
        <v>19238.7990283984</v>
      </c>
      <c r="S69" s="422">
        <v>20154.658659618399</v>
      </c>
      <c r="T69" s="422">
        <v>20322.221825653749</v>
      </c>
      <c r="U69" s="425">
        <v>20533.077547965935</v>
      </c>
      <c r="V69" s="425">
        <v>19898.464643666535</v>
      </c>
      <c r="W69" s="425">
        <v>19782.9814839311</v>
      </c>
      <c r="X69" s="425">
        <v>19424.235049867795</v>
      </c>
      <c r="Y69" s="425">
        <v>19407.224558435708</v>
      </c>
      <c r="Z69" s="425">
        <v>19736.423031155453</v>
      </c>
      <c r="AA69" s="425">
        <v>20057.757416782846</v>
      </c>
      <c r="AB69" s="425">
        <v>20490.007732765978</v>
      </c>
      <c r="AC69" s="425">
        <v>20534.883102903488</v>
      </c>
      <c r="AD69" s="425">
        <v>20642.523940806899</v>
      </c>
      <c r="AE69" s="425">
        <v>20944.717743009489</v>
      </c>
      <c r="AF69" s="425">
        <v>21265.296929418433</v>
      </c>
      <c r="AG69" s="425">
        <v>21314.696417409825</v>
      </c>
      <c r="AH69" s="425">
        <v>21267.47525240896</v>
      </c>
      <c r="AI69" s="425">
        <v>20172.098443272618</v>
      </c>
      <c r="AJ69" s="425">
        <v>19624.106964845541</v>
      </c>
      <c r="AK69" s="425">
        <v>19504.635869383401</v>
      </c>
      <c r="AL69" s="425">
        <v>20053.862372435593</v>
      </c>
      <c r="AM69" s="426">
        <v>20667.874862304339</v>
      </c>
      <c r="AN69" s="426">
        <v>20462.533228536126</v>
      </c>
      <c r="AO69" s="426">
        <v>22386.020096846762</v>
      </c>
      <c r="AP69" s="426">
        <v>22900.08146408058</v>
      </c>
      <c r="AQ69" s="426">
        <v>23457.071607187379</v>
      </c>
      <c r="AR69" s="420">
        <v>22934.230959316224</v>
      </c>
      <c r="AS69" s="420">
        <v>23234.684819306</v>
      </c>
      <c r="AT69" s="420">
        <v>22773.461748763268</v>
      </c>
      <c r="AU69" s="420">
        <v>22622.710745385102</v>
      </c>
      <c r="AV69" s="420">
        <v>22849.874717900842</v>
      </c>
      <c r="AW69" s="427">
        <v>22990.425057027864</v>
      </c>
      <c r="AX69" s="427">
        <v>23295.424851176209</v>
      </c>
      <c r="AY69" s="427">
        <v>22483.834127549278</v>
      </c>
      <c r="AZ69" s="427">
        <v>20492.530891308877</v>
      </c>
      <c r="BA69" s="427">
        <v>20441.184876816464</v>
      </c>
      <c r="BB69" s="427">
        <v>20088.507710416325</v>
      </c>
      <c r="BC69" s="427">
        <v>20510.609331320153</v>
      </c>
      <c r="BD69" s="427">
        <v>20423.716994714796</v>
      </c>
      <c r="BE69" s="427">
        <v>20748.261384012705</v>
      </c>
      <c r="BF69" s="427">
        <v>21108.894633266525</v>
      </c>
      <c r="BG69" s="427">
        <v>20572.551497059405</v>
      </c>
      <c r="BH69" s="427">
        <v>20632.168267715348</v>
      </c>
      <c r="BI69" s="427">
        <v>21121.063180578414</v>
      </c>
      <c r="BJ69" s="427">
        <v>22362.550845925103</v>
      </c>
      <c r="BK69" s="427">
        <v>22913.001886068058</v>
      </c>
      <c r="BL69" s="428">
        <v>23450.334374147646</v>
      </c>
      <c r="BM69" s="428">
        <v>23676.042296554071</v>
      </c>
      <c r="BN69" s="428">
        <v>23669.335457981753</v>
      </c>
      <c r="BO69" s="428">
        <v>24162.901493322493</v>
      </c>
      <c r="BP69" s="428">
        <v>24070.509099470339</v>
      </c>
      <c r="BQ69" s="428">
        <v>24240.234066081899</v>
      </c>
      <c r="BR69" s="428">
        <v>24012.672125783309</v>
      </c>
      <c r="BS69" s="428">
        <v>24286.518985130639</v>
      </c>
      <c r="BT69" s="428">
        <v>24138.731284891997</v>
      </c>
      <c r="BU69" s="428">
        <v>24529.939047737578</v>
      </c>
      <c r="BV69" s="428">
        <v>25185.746033479303</v>
      </c>
      <c r="BW69" s="428">
        <v>25188.948629781582</v>
      </c>
      <c r="BX69" s="428">
        <v>24907.081930107499</v>
      </c>
      <c r="BY69" s="428">
        <v>26092.947820135505</v>
      </c>
      <c r="BZ69" s="428">
        <v>26349.1</v>
      </c>
      <c r="CA69" s="428">
        <v>27206.612153176153</v>
      </c>
      <c r="CB69" s="428">
        <v>28681.643784660053</v>
      </c>
      <c r="CC69" s="428">
        <v>27785.594685889882</v>
      </c>
      <c r="CD69" s="428">
        <v>26832.265957792031</v>
      </c>
      <c r="CE69" s="428">
        <v>26097.291875733121</v>
      </c>
      <c r="CF69" s="428">
        <v>26267.037581531244</v>
      </c>
      <c r="CG69" s="428">
        <v>27405.717356457313</v>
      </c>
      <c r="CH69" s="428">
        <v>28698.361136745865</v>
      </c>
      <c r="CI69" s="428">
        <v>28414.864862639693</v>
      </c>
      <c r="CJ69" s="428">
        <v>30025.347683903914</v>
      </c>
      <c r="CK69" s="428">
        <v>29523.271206021916</v>
      </c>
      <c r="CL69" s="428">
        <v>29665.347799692237</v>
      </c>
      <c r="CM69" s="428">
        <v>30975.302527422784</v>
      </c>
      <c r="CN69" s="428">
        <v>31270.48650679236</v>
      </c>
      <c r="CO69" s="428">
        <v>29929.005352768458</v>
      </c>
      <c r="CP69" s="466">
        <v>29638.775421588238</v>
      </c>
      <c r="CQ69" s="427">
        <v>29997.878928081911</v>
      </c>
      <c r="CR69" s="427">
        <v>29959.801799941222</v>
      </c>
      <c r="CS69" s="427">
        <v>27179.48184400428</v>
      </c>
      <c r="CT69" s="427">
        <v>27646.230292458618</v>
      </c>
      <c r="CU69" s="427">
        <v>28092.996190544487</v>
      </c>
      <c r="CV69" s="427">
        <v>28058.066532249144</v>
      </c>
      <c r="CW69" s="427">
        <v>28292.560840040274</v>
      </c>
      <c r="CX69" s="427">
        <v>29761.787088236259</v>
      </c>
      <c r="CY69" s="427">
        <v>29598.640591170228</v>
      </c>
      <c r="CZ69" s="427">
        <v>28886.384578500332</v>
      </c>
      <c r="DA69" s="427">
        <v>29842.316659375214</v>
      </c>
      <c r="DB69" s="427">
        <v>28844.820263700629</v>
      </c>
      <c r="DC69" s="427">
        <v>28683.368316616696</v>
      </c>
      <c r="DD69" s="427">
        <v>29630.164175226539</v>
      </c>
      <c r="DE69" s="427">
        <v>29077.350179624467</v>
      </c>
      <c r="DF69" s="427">
        <v>31392.78113611753</v>
      </c>
      <c r="DH69" s="430"/>
    </row>
    <row r="70" spans="1:112" ht="15.95" customHeight="1">
      <c r="A70" s="431" t="s">
        <v>275</v>
      </c>
      <c r="B70" s="420"/>
      <c r="C70" s="422"/>
      <c r="D70" s="422"/>
      <c r="E70" s="423"/>
      <c r="F70" s="422"/>
      <c r="G70" s="422"/>
      <c r="H70" s="433"/>
      <c r="I70" s="433"/>
      <c r="J70" s="433"/>
      <c r="K70" s="434"/>
      <c r="L70" s="433"/>
      <c r="M70" s="433"/>
      <c r="N70" s="433"/>
      <c r="O70" s="434"/>
      <c r="P70" s="433"/>
      <c r="Q70" s="433"/>
      <c r="R70" s="434"/>
      <c r="S70" s="433"/>
      <c r="T70" s="433"/>
      <c r="U70" s="435"/>
      <c r="V70" s="435"/>
      <c r="W70" s="435"/>
      <c r="X70" s="435"/>
      <c r="Y70" s="435"/>
      <c r="Z70" s="435"/>
      <c r="AA70" s="435"/>
      <c r="AB70" s="435"/>
      <c r="AC70" s="435"/>
      <c r="AD70" s="435"/>
      <c r="AE70" s="435"/>
      <c r="AF70" s="435"/>
      <c r="AG70" s="435"/>
      <c r="AH70" s="435"/>
      <c r="AI70" s="435"/>
      <c r="AJ70" s="435"/>
      <c r="AK70" s="435"/>
      <c r="AL70" s="435"/>
      <c r="AM70" s="426"/>
      <c r="AN70" s="426"/>
      <c r="AO70" s="426"/>
      <c r="AP70" s="426"/>
      <c r="AQ70" s="426"/>
      <c r="AR70" s="420"/>
      <c r="AS70" s="420"/>
      <c r="AT70" s="420"/>
      <c r="AU70" s="420"/>
      <c r="AV70" s="420"/>
      <c r="AW70" s="427"/>
      <c r="AX70" s="427"/>
      <c r="AY70" s="427"/>
      <c r="AZ70" s="427"/>
      <c r="BA70" s="427"/>
      <c r="BB70" s="427"/>
      <c r="BC70" s="427"/>
      <c r="BD70" s="427"/>
      <c r="BE70" s="427"/>
      <c r="BF70" s="427"/>
      <c r="BG70" s="427"/>
      <c r="BH70" s="427"/>
      <c r="BI70" s="427"/>
      <c r="BJ70" s="427"/>
      <c r="BK70" s="427"/>
      <c r="BL70" s="427"/>
      <c r="BM70" s="427"/>
      <c r="BN70" s="427"/>
      <c r="BO70" s="427"/>
      <c r="BP70" s="427"/>
      <c r="BQ70" s="427"/>
      <c r="BR70" s="427"/>
      <c r="BS70" s="427"/>
      <c r="BT70" s="427"/>
      <c r="BU70" s="427"/>
      <c r="BV70" s="427"/>
      <c r="BW70" s="427"/>
      <c r="BX70" s="427"/>
      <c r="BY70" s="427"/>
      <c r="BZ70" s="427"/>
      <c r="CA70" s="427"/>
      <c r="CB70" s="427"/>
      <c r="CC70" s="427"/>
      <c r="CD70" s="427"/>
      <c r="CE70" s="427"/>
      <c r="CF70" s="427"/>
      <c r="CG70" s="427"/>
      <c r="CH70" s="427"/>
      <c r="CI70" s="427"/>
      <c r="CJ70" s="427"/>
      <c r="CK70" s="427"/>
      <c r="CL70" s="427"/>
      <c r="CM70" s="427"/>
      <c r="CN70" s="427"/>
      <c r="CO70" s="427"/>
      <c r="CP70" s="467"/>
      <c r="CQ70" s="427"/>
      <c r="CR70" s="427"/>
      <c r="CS70" s="427"/>
      <c r="CT70" s="427"/>
      <c r="CU70" s="427"/>
      <c r="CV70" s="427"/>
      <c r="CW70" s="427"/>
      <c r="CX70" s="427"/>
      <c r="CY70" s="427"/>
      <c r="CZ70" s="427"/>
      <c r="DA70" s="427"/>
      <c r="DB70" s="427"/>
      <c r="DC70" s="427"/>
      <c r="DD70" s="427"/>
      <c r="DE70" s="427"/>
      <c r="DF70" s="427"/>
      <c r="DH70" s="430"/>
    </row>
    <row r="71" spans="1:112" ht="15.95" customHeight="1">
      <c r="A71" s="431" t="s">
        <v>326</v>
      </c>
      <c r="B71" s="432">
        <v>0</v>
      </c>
      <c r="C71" s="433">
        <v>0.09</v>
      </c>
      <c r="D71" s="433">
        <v>8.6638469999999995E-2</v>
      </c>
      <c r="E71" s="434">
        <v>8.325805E-2</v>
      </c>
      <c r="F71" s="433">
        <v>7.9823539999999998E-2</v>
      </c>
      <c r="G71" s="433">
        <v>7.6382350000000002E-2</v>
      </c>
      <c r="H71" s="433">
        <v>7.2905770000000009E-2</v>
      </c>
      <c r="I71" s="433">
        <v>6.9449330000000004E-2</v>
      </c>
      <c r="J71" s="433">
        <v>6.5959859999999995E-2</v>
      </c>
      <c r="K71" s="434">
        <v>6.2377339999999996E-2</v>
      </c>
      <c r="L71" s="433">
        <v>5.8821589999999993E-2</v>
      </c>
      <c r="M71" s="433">
        <v>5.5212539999999997E-2</v>
      </c>
      <c r="N71" s="433">
        <v>5.1589999999999997E-2</v>
      </c>
      <c r="O71" s="434">
        <v>4.7920900000000002E-2</v>
      </c>
      <c r="P71" s="433">
        <v>4.4246000000000001E-2</v>
      </c>
      <c r="Q71" s="433">
        <v>4.0550999999999997E-2</v>
      </c>
      <c r="R71" s="434">
        <v>3.6823000000000002E-2</v>
      </c>
      <c r="S71" s="433">
        <v>3.2910000000000002E-2</v>
      </c>
      <c r="T71" s="433">
        <v>2.8943E-2</v>
      </c>
      <c r="U71" s="435">
        <v>2.5072000000000001E-2</v>
      </c>
      <c r="V71" s="435">
        <v>2.0902E-2</v>
      </c>
      <c r="W71" s="435">
        <v>1.6998580000000003E-2</v>
      </c>
      <c r="X71" s="435">
        <v>1.2823579999999999E-2</v>
      </c>
      <c r="Y71" s="435">
        <v>8.4860000000000005E-3</v>
      </c>
      <c r="Z71" s="435">
        <v>4.2700000000000004E-3</v>
      </c>
      <c r="AA71" s="435">
        <v>0</v>
      </c>
      <c r="AB71" s="435">
        <v>0</v>
      </c>
      <c r="AC71" s="435">
        <v>0</v>
      </c>
      <c r="AD71" s="435">
        <v>0</v>
      </c>
      <c r="AE71" s="435">
        <v>40</v>
      </c>
      <c r="AF71" s="435">
        <v>40.000040249999998</v>
      </c>
      <c r="AG71" s="435">
        <v>40.000080500000003</v>
      </c>
      <c r="AH71" s="435">
        <v>40.000120750000001</v>
      </c>
      <c r="AI71" s="435">
        <v>65.884674000000004</v>
      </c>
      <c r="AJ71" s="435">
        <v>66.036509249999995</v>
      </c>
      <c r="AK71" s="435">
        <v>69.496014500000001</v>
      </c>
      <c r="AL71" s="435">
        <v>65.900349750000004</v>
      </c>
      <c r="AM71" s="438">
        <v>63.422373999999998</v>
      </c>
      <c r="AN71" s="438">
        <v>67.356630249999995</v>
      </c>
      <c r="AO71" s="438">
        <v>69.935740499999994</v>
      </c>
      <c r="AP71" s="438">
        <v>71.045293479999998</v>
      </c>
      <c r="AQ71" s="438">
        <v>70.162619109999994</v>
      </c>
      <c r="AR71" s="432">
        <v>74.26285759999999</v>
      </c>
      <c r="AS71" s="432">
        <v>26.707017430000001</v>
      </c>
      <c r="AT71" s="432">
        <v>32.461019759999999</v>
      </c>
      <c r="AU71" s="432">
        <v>30.95263804</v>
      </c>
      <c r="AV71" s="432">
        <v>31.916826289999999</v>
      </c>
      <c r="AW71" s="436">
        <v>35.268438809999999</v>
      </c>
      <c r="AX71" s="436">
        <v>37.032233950000006</v>
      </c>
      <c r="AY71" s="436">
        <v>73.210119669999997</v>
      </c>
      <c r="AZ71" s="436">
        <v>72.112579999999994</v>
      </c>
      <c r="BA71" s="436">
        <v>78.899341280000002</v>
      </c>
      <c r="BB71" s="436">
        <v>35.566706739999994</v>
      </c>
      <c r="BC71" s="436">
        <v>37.909558780000005</v>
      </c>
      <c r="BD71" s="436">
        <v>40.815842297399996</v>
      </c>
      <c r="BE71" s="436">
        <v>35.230394079999996</v>
      </c>
      <c r="BF71" s="436">
        <v>39.455890247500001</v>
      </c>
      <c r="BG71" s="436">
        <v>37.955472969999995</v>
      </c>
      <c r="BH71" s="436">
        <v>38.657556060000005</v>
      </c>
      <c r="BI71" s="436">
        <v>73.740567228499998</v>
      </c>
      <c r="BJ71" s="436">
        <v>143.51296267960001</v>
      </c>
      <c r="BK71" s="436">
        <v>193.78753215999996</v>
      </c>
      <c r="BL71" s="436">
        <v>184.51179505000002</v>
      </c>
      <c r="BM71" s="436">
        <v>180.50757988999999</v>
      </c>
      <c r="BN71" s="436">
        <v>178.27711632999998</v>
      </c>
      <c r="BO71" s="436">
        <v>195.52900919000001</v>
      </c>
      <c r="BP71" s="436">
        <v>214.56956361000002</v>
      </c>
      <c r="BQ71" s="436">
        <v>281.61870282340004</v>
      </c>
      <c r="BR71" s="436">
        <v>124.35429277999999</v>
      </c>
      <c r="BS71" s="436">
        <v>175.51942728999998</v>
      </c>
      <c r="BT71" s="436">
        <v>150.91587566999999</v>
      </c>
      <c r="BU71" s="436">
        <v>153.38603529</v>
      </c>
      <c r="BV71" s="436">
        <v>87.660927779999994</v>
      </c>
      <c r="BW71" s="436">
        <v>102.80799241</v>
      </c>
      <c r="BX71" s="436">
        <v>109.44308829000001</v>
      </c>
      <c r="BY71" s="436">
        <v>88.189770620000004</v>
      </c>
      <c r="BZ71" s="436">
        <v>97.1</v>
      </c>
      <c r="CA71" s="436">
        <v>78.17432556</v>
      </c>
      <c r="CB71" s="436">
        <v>74.415321979999987</v>
      </c>
      <c r="CC71" s="436">
        <v>51.916857829999998</v>
      </c>
      <c r="CD71" s="436">
        <v>49.883047570000002</v>
      </c>
      <c r="CE71" s="436">
        <v>62.522683930000007</v>
      </c>
      <c r="CF71" s="436">
        <v>105.58336955999999</v>
      </c>
      <c r="CG71" s="436">
        <v>112.38330085000001</v>
      </c>
      <c r="CH71" s="436">
        <v>153.70215156</v>
      </c>
      <c r="CI71" s="436">
        <v>109.69872319000001</v>
      </c>
      <c r="CJ71" s="436">
        <v>78.38128737000001</v>
      </c>
      <c r="CK71" s="436">
        <v>109.12254866000001</v>
      </c>
      <c r="CL71" s="436">
        <v>114.89546239000001</v>
      </c>
      <c r="CM71" s="436">
        <v>117.99061675999999</v>
      </c>
      <c r="CN71" s="436">
        <v>118.35466631</v>
      </c>
      <c r="CO71" s="436">
        <v>117.80486821</v>
      </c>
      <c r="CP71" s="468">
        <v>116.40718635000002</v>
      </c>
      <c r="CQ71" s="436">
        <v>113.63216862</v>
      </c>
      <c r="CR71" s="436">
        <v>111.45332371000001</v>
      </c>
      <c r="CS71" s="436">
        <v>107.88536091499999</v>
      </c>
      <c r="CT71" s="436">
        <v>101.76213276</v>
      </c>
      <c r="CU71" s="436">
        <v>101.25621303000001</v>
      </c>
      <c r="CV71" s="436">
        <v>91.089384569999993</v>
      </c>
      <c r="CW71" s="436">
        <v>150.42750990000002</v>
      </c>
      <c r="CX71" s="436">
        <v>148.45705818000002</v>
      </c>
      <c r="CY71" s="436">
        <v>146.66517879000003</v>
      </c>
      <c r="CZ71" s="436">
        <v>136.61129738</v>
      </c>
      <c r="DA71" s="436">
        <v>98.102229873700011</v>
      </c>
      <c r="DB71" s="436">
        <v>91.420503261199997</v>
      </c>
      <c r="DC71" s="436">
        <v>92.620213490000012</v>
      </c>
      <c r="DD71" s="436">
        <v>86.29945310894999</v>
      </c>
      <c r="DE71" s="436">
        <v>91.245103329999992</v>
      </c>
      <c r="DF71" s="436">
        <v>92.505576790000006</v>
      </c>
      <c r="DH71" s="430"/>
    </row>
    <row r="72" spans="1:112" ht="15.95" customHeight="1">
      <c r="A72" s="431" t="s">
        <v>327</v>
      </c>
      <c r="B72" s="432">
        <v>4801.9291608290005</v>
      </c>
      <c r="C72" s="433">
        <v>4759.2846632575483</v>
      </c>
      <c r="D72" s="433">
        <v>4717.3441113181989</v>
      </c>
      <c r="E72" s="434">
        <v>4744.5460292265998</v>
      </c>
      <c r="F72" s="433">
        <v>5006.6376963431994</v>
      </c>
      <c r="G72" s="433">
        <v>5267.1195187976009</v>
      </c>
      <c r="H72" s="433">
        <v>5128.8869289823988</v>
      </c>
      <c r="I72" s="433">
        <v>5137.7694283115998</v>
      </c>
      <c r="J72" s="433">
        <v>5165.1287456633991</v>
      </c>
      <c r="K72" s="434">
        <v>4986.8268081463993</v>
      </c>
      <c r="L72" s="433">
        <v>4954.125306635</v>
      </c>
      <c r="M72" s="433">
        <v>4843.3042223599996</v>
      </c>
      <c r="N72" s="433">
        <v>4963.5991935547154</v>
      </c>
      <c r="O72" s="434">
        <v>4978.7087615500004</v>
      </c>
      <c r="P72" s="433">
        <v>4974.8439860499993</v>
      </c>
      <c r="Q72" s="433">
        <v>5005.7793210300006</v>
      </c>
      <c r="R72" s="434">
        <v>5172.2459096897001</v>
      </c>
      <c r="S72" s="433">
        <v>5331.2343545000003</v>
      </c>
      <c r="T72" s="433">
        <v>5518.4396569399996</v>
      </c>
      <c r="U72" s="435">
        <v>5650.6317937599997</v>
      </c>
      <c r="V72" s="435">
        <v>5617.2840117700016</v>
      </c>
      <c r="W72" s="435">
        <v>5500.3998213599989</v>
      </c>
      <c r="X72" s="435">
        <v>5291.3516298699997</v>
      </c>
      <c r="Y72" s="435">
        <v>5157.3504788400005</v>
      </c>
      <c r="Z72" s="435">
        <v>5163.7000148100005</v>
      </c>
      <c r="AA72" s="435">
        <v>5249.2593428299997</v>
      </c>
      <c r="AB72" s="435">
        <v>5490.1543430800011</v>
      </c>
      <c r="AC72" s="435">
        <v>5626.3869451800001</v>
      </c>
      <c r="AD72" s="435">
        <v>5471.9955111799991</v>
      </c>
      <c r="AE72" s="435">
        <v>5517.8750518899997</v>
      </c>
      <c r="AF72" s="435">
        <v>5548.9711237999991</v>
      </c>
      <c r="AG72" s="435">
        <v>5689.9503021299997</v>
      </c>
      <c r="AH72" s="435">
        <v>5791.2435988699999</v>
      </c>
      <c r="AI72" s="435">
        <v>5880.8294358100002</v>
      </c>
      <c r="AJ72" s="435">
        <v>5817.1835107500019</v>
      </c>
      <c r="AK72" s="435">
        <v>5858.5574976399994</v>
      </c>
      <c r="AL72" s="435">
        <v>5288.4021064299995</v>
      </c>
      <c r="AM72" s="438">
        <v>5235.132600179998</v>
      </c>
      <c r="AN72" s="438">
        <v>5246.0399278599989</v>
      </c>
      <c r="AO72" s="438">
        <v>5606.7399338099995</v>
      </c>
      <c r="AP72" s="438">
        <v>5998.8909088455002</v>
      </c>
      <c r="AQ72" s="438">
        <v>6137.9456962410013</v>
      </c>
      <c r="AR72" s="432">
        <v>6013.5165399901998</v>
      </c>
      <c r="AS72" s="432">
        <v>5955.472817169999</v>
      </c>
      <c r="AT72" s="432">
        <v>5630.4696661664011</v>
      </c>
      <c r="AU72" s="432">
        <v>5320.0144016908007</v>
      </c>
      <c r="AV72" s="432">
        <v>5461.0987823720006</v>
      </c>
      <c r="AW72" s="436">
        <v>5683.2238006892003</v>
      </c>
      <c r="AX72" s="436">
        <v>5591.8646669751997</v>
      </c>
      <c r="AY72" s="436">
        <v>5656.9115846762998</v>
      </c>
      <c r="AZ72" s="436">
        <v>5761.5939852316005</v>
      </c>
      <c r="BA72" s="436">
        <v>5497.7768871959997</v>
      </c>
      <c r="BB72" s="436">
        <v>5379.1090225311</v>
      </c>
      <c r="BC72" s="436">
        <v>5006.3627642468</v>
      </c>
      <c r="BD72" s="436">
        <v>5151.8808275650008</v>
      </c>
      <c r="BE72" s="436">
        <v>5057.7499322293997</v>
      </c>
      <c r="BF72" s="436">
        <v>4928.410437139999</v>
      </c>
      <c r="BG72" s="436">
        <v>4716.8883619879998</v>
      </c>
      <c r="BH72" s="436">
        <v>4751.9134925970993</v>
      </c>
      <c r="BI72" s="436">
        <v>5408.8134834074999</v>
      </c>
      <c r="BJ72" s="436">
        <v>5671.7072349247019</v>
      </c>
      <c r="BK72" s="436">
        <v>5897.5049680262</v>
      </c>
      <c r="BL72" s="436">
        <v>6204.9401673194998</v>
      </c>
      <c r="BM72" s="436">
        <v>5888.5219047831997</v>
      </c>
      <c r="BN72" s="436">
        <v>6046.7682283431277</v>
      </c>
      <c r="BO72" s="436">
        <v>6283.1909291006004</v>
      </c>
      <c r="BP72" s="436">
        <v>6330.7564188890492</v>
      </c>
      <c r="BQ72" s="436">
        <v>6167.8782648222004</v>
      </c>
      <c r="BR72" s="436">
        <v>6467.2638899251997</v>
      </c>
      <c r="BS72" s="436">
        <v>6367.9085448946762</v>
      </c>
      <c r="BT72" s="436">
        <v>6381.8194854620997</v>
      </c>
      <c r="BU72" s="436">
        <v>6749.3491056692365</v>
      </c>
      <c r="BV72" s="436">
        <v>7241.0043388553659</v>
      </c>
      <c r="BW72" s="436">
        <v>6786.3385415064304</v>
      </c>
      <c r="BX72" s="436">
        <v>6815.3658370779995</v>
      </c>
      <c r="BY72" s="436">
        <v>6911.7023201443017</v>
      </c>
      <c r="BZ72" s="436">
        <v>7263.1</v>
      </c>
      <c r="CA72" s="436">
        <v>7388.5526063938041</v>
      </c>
      <c r="CB72" s="436">
        <v>7547.0720378723963</v>
      </c>
      <c r="CC72" s="436">
        <v>6768.4239047359451</v>
      </c>
      <c r="CD72" s="436">
        <v>6805.3485322275374</v>
      </c>
      <c r="CE72" s="436">
        <v>6736.1073495979699</v>
      </c>
      <c r="CF72" s="436">
        <v>6792.5489526253505</v>
      </c>
      <c r="CG72" s="436">
        <v>7134.746267897287</v>
      </c>
      <c r="CH72" s="436">
        <v>7229.3674804323264</v>
      </c>
      <c r="CI72" s="436">
        <v>7096.6947141235978</v>
      </c>
      <c r="CJ72" s="436">
        <v>7451.8370485323494</v>
      </c>
      <c r="CK72" s="436">
        <v>7500.766539391997</v>
      </c>
      <c r="CL72" s="436">
        <v>7650.0924693496781</v>
      </c>
      <c r="CM72" s="436">
        <v>7817.6700292612404</v>
      </c>
      <c r="CN72" s="436">
        <v>8085.4989877531725</v>
      </c>
      <c r="CO72" s="436">
        <v>7727.4773731462374</v>
      </c>
      <c r="CP72" s="468">
        <v>7643.5817149262703</v>
      </c>
      <c r="CQ72" s="436">
        <v>7556.4804129604199</v>
      </c>
      <c r="CR72" s="436">
        <v>8756.8108241192404</v>
      </c>
      <c r="CS72" s="436">
        <v>8177.5538755447815</v>
      </c>
      <c r="CT72" s="436">
        <v>8499.041562096143</v>
      </c>
      <c r="CU72" s="436">
        <v>8300.7924956681854</v>
      </c>
      <c r="CV72" s="436">
        <v>8110.5558259318823</v>
      </c>
      <c r="CW72" s="436">
        <v>8479.7380274195602</v>
      </c>
      <c r="CX72" s="436">
        <v>8221.2874908374433</v>
      </c>
      <c r="CY72" s="436">
        <v>8652.4360688180077</v>
      </c>
      <c r="CZ72" s="436">
        <v>8552.8474322198945</v>
      </c>
      <c r="DA72" s="436">
        <v>8597.6057084384065</v>
      </c>
      <c r="DB72" s="436">
        <v>8582.0887501907637</v>
      </c>
      <c r="DC72" s="436">
        <v>8371.5569580113406</v>
      </c>
      <c r="DD72" s="436">
        <v>8472.8440092541314</v>
      </c>
      <c r="DE72" s="436">
        <v>8530.5675527327076</v>
      </c>
      <c r="DF72" s="436">
        <v>9318.1196702501147</v>
      </c>
      <c r="DH72" s="430"/>
    </row>
    <row r="73" spans="1:112" ht="15.95" customHeight="1">
      <c r="A73" s="431" t="s">
        <v>328</v>
      </c>
      <c r="B73" s="432">
        <v>463.61466999999999</v>
      </c>
      <c r="C73" s="433">
        <v>460.04124200000001</v>
      </c>
      <c r="D73" s="433">
        <v>527.97652794999988</v>
      </c>
      <c r="E73" s="434">
        <v>331.33407254999997</v>
      </c>
      <c r="F73" s="433">
        <v>328.22978947999997</v>
      </c>
      <c r="G73" s="433">
        <v>326.45779430000005</v>
      </c>
      <c r="H73" s="433">
        <v>324.78940016000001</v>
      </c>
      <c r="I73" s="433">
        <v>323.22642472000001</v>
      </c>
      <c r="J73" s="433">
        <v>321.38803817000002</v>
      </c>
      <c r="K73" s="434">
        <v>319.82231972000005</v>
      </c>
      <c r="L73" s="433">
        <v>318.83213375999998</v>
      </c>
      <c r="M73" s="433">
        <v>316.57473702999999</v>
      </c>
      <c r="N73" s="433">
        <v>314.89337614999999</v>
      </c>
      <c r="O73" s="434">
        <v>313.28903300000002</v>
      </c>
      <c r="P73" s="433">
        <v>312.20782222000003</v>
      </c>
      <c r="Q73" s="433">
        <v>314.48892835999999</v>
      </c>
      <c r="R73" s="434">
        <v>313.55483516000004</v>
      </c>
      <c r="S73" s="433">
        <v>312.46192020999996</v>
      </c>
      <c r="T73" s="433">
        <v>311.04545960000002</v>
      </c>
      <c r="U73" s="435">
        <v>310.49595902999999</v>
      </c>
      <c r="V73" s="435">
        <v>309.28220864999997</v>
      </c>
      <c r="W73" s="435">
        <v>308.69362655999998</v>
      </c>
      <c r="X73" s="435">
        <v>307.26413308999997</v>
      </c>
      <c r="Y73" s="435">
        <v>306.08213506999999</v>
      </c>
      <c r="Z73" s="435">
        <v>305.74134270999997</v>
      </c>
      <c r="AA73" s="435">
        <v>304.23584457999999</v>
      </c>
      <c r="AB73" s="435">
        <v>303.29167229000001</v>
      </c>
      <c r="AC73" s="435">
        <v>302.04820057000006</v>
      </c>
      <c r="AD73" s="435">
        <v>300.32374507999998</v>
      </c>
      <c r="AE73" s="435">
        <v>300.24391585000001</v>
      </c>
      <c r="AF73" s="435">
        <v>299.06509364000004</v>
      </c>
      <c r="AG73" s="435">
        <v>298.31316783999995</v>
      </c>
      <c r="AH73" s="435">
        <v>34.999319290000003</v>
      </c>
      <c r="AI73" s="435">
        <v>35.936095689999995</v>
      </c>
      <c r="AJ73" s="435">
        <v>37.068945530000001</v>
      </c>
      <c r="AK73" s="435">
        <v>33.959943590000002</v>
      </c>
      <c r="AL73" s="435">
        <v>33.507819589999997</v>
      </c>
      <c r="AM73" s="438">
        <v>33.434737079999998</v>
      </c>
      <c r="AN73" s="438">
        <v>32.587087310000001</v>
      </c>
      <c r="AO73" s="438">
        <v>29.346412050000001</v>
      </c>
      <c r="AP73" s="438">
        <v>32.2090899397</v>
      </c>
      <c r="AQ73" s="438">
        <v>36.403392528200001</v>
      </c>
      <c r="AR73" s="432">
        <v>28.159200542799997</v>
      </c>
      <c r="AS73" s="432">
        <v>30.405619179999999</v>
      </c>
      <c r="AT73" s="432">
        <v>33.346280302000004</v>
      </c>
      <c r="AU73" s="432">
        <v>35.698895647599997</v>
      </c>
      <c r="AV73" s="432">
        <v>35.157134954999997</v>
      </c>
      <c r="AW73" s="436">
        <v>34.659364254799996</v>
      </c>
      <c r="AX73" s="436">
        <v>88.410551649599995</v>
      </c>
      <c r="AY73" s="436">
        <v>83.772859591300005</v>
      </c>
      <c r="AZ73" s="436">
        <v>81.49476982920001</v>
      </c>
      <c r="BA73" s="436">
        <v>82.081319884799981</v>
      </c>
      <c r="BB73" s="436">
        <v>23.374022628000002</v>
      </c>
      <c r="BC73" s="436">
        <v>22.3509908252</v>
      </c>
      <c r="BD73" s="436">
        <v>21.518016328800002</v>
      </c>
      <c r="BE73" s="436">
        <v>21.060665522500003</v>
      </c>
      <c r="BF73" s="436">
        <v>20.544640057500001</v>
      </c>
      <c r="BG73" s="436">
        <v>20.067021221999997</v>
      </c>
      <c r="BH73" s="436">
        <v>21.805428263</v>
      </c>
      <c r="BI73" s="436">
        <v>18.941307936000001</v>
      </c>
      <c r="BJ73" s="436">
        <v>22.021187008000002</v>
      </c>
      <c r="BK73" s="436">
        <v>15.800219370799999</v>
      </c>
      <c r="BL73" s="436">
        <v>14.698641909999997</v>
      </c>
      <c r="BM73" s="436">
        <v>14.382754859999999</v>
      </c>
      <c r="BN73" s="436">
        <v>14.0586225</v>
      </c>
      <c r="BO73" s="436">
        <v>13.713603150000001</v>
      </c>
      <c r="BP73" s="436">
        <v>13.38966102</v>
      </c>
      <c r="BQ73" s="436">
        <v>16.080341798699997</v>
      </c>
      <c r="BR73" s="436">
        <v>12.73725129</v>
      </c>
      <c r="BS73" s="436">
        <v>12.410176199999999</v>
      </c>
      <c r="BT73" s="436">
        <v>12.153275649999998</v>
      </c>
      <c r="BU73" s="436">
        <v>11.898136229999999</v>
      </c>
      <c r="BV73" s="436">
        <v>11.6764828</v>
      </c>
      <c r="BW73" s="436">
        <v>11.381365519999999</v>
      </c>
      <c r="BX73" s="436">
        <v>81.12511099999999</v>
      </c>
      <c r="BY73" s="436">
        <v>80.866627000000008</v>
      </c>
      <c r="BZ73" s="436">
        <v>80.599999999999994</v>
      </c>
      <c r="CA73" s="436">
        <v>80.342941179999997</v>
      </c>
      <c r="CB73" s="436">
        <v>80.078857909999996</v>
      </c>
      <c r="CC73" s="436">
        <v>79.816106419999997</v>
      </c>
      <c r="CD73" s="436">
        <v>81.113764966372003</v>
      </c>
      <c r="CE73" s="436">
        <v>81.76564231070482</v>
      </c>
      <c r="CF73" s="436">
        <v>79.010723110000001</v>
      </c>
      <c r="CG73" s="436">
        <v>78.739303860000007</v>
      </c>
      <c r="CH73" s="436">
        <v>107.73715645999999</v>
      </c>
      <c r="CI73" s="436">
        <v>106.32602219</v>
      </c>
      <c r="CJ73" s="436">
        <v>105.17999456180999</v>
      </c>
      <c r="CK73" s="436">
        <v>103.48969524</v>
      </c>
      <c r="CL73" s="436">
        <v>102.12764074038117</v>
      </c>
      <c r="CM73" s="436">
        <v>101.22154418</v>
      </c>
      <c r="CN73" s="436">
        <v>99.206509080000004</v>
      </c>
      <c r="CO73" s="436">
        <v>97.773225859999997</v>
      </c>
      <c r="CP73" s="468">
        <v>96.332073750000006</v>
      </c>
      <c r="CQ73" s="436">
        <v>110.57416019</v>
      </c>
      <c r="CR73" s="436">
        <v>108.44005010000001</v>
      </c>
      <c r="CS73" s="436">
        <v>106.98742422999999</v>
      </c>
      <c r="CT73" s="436">
        <v>105.58009297</v>
      </c>
      <c r="CU73" s="436">
        <v>104.06996937</v>
      </c>
      <c r="CV73" s="436">
        <v>102.60505359999999</v>
      </c>
      <c r="CW73" s="436">
        <v>101.13585977</v>
      </c>
      <c r="CX73" s="436">
        <v>99.696978880000003</v>
      </c>
      <c r="CY73" s="436">
        <v>98.183399809999983</v>
      </c>
      <c r="CZ73" s="436">
        <v>96.701153660000003</v>
      </c>
      <c r="DA73" s="436">
        <v>95.214491440000003</v>
      </c>
      <c r="DB73" s="436">
        <v>94.146089360000005</v>
      </c>
      <c r="DC73" s="436">
        <v>94.073760499999992</v>
      </c>
      <c r="DD73" s="436">
        <v>105.72653864</v>
      </c>
      <c r="DE73" s="436">
        <v>91.373411310000009</v>
      </c>
      <c r="DF73" s="436">
        <v>91.12467006</v>
      </c>
      <c r="DH73" s="430"/>
    </row>
    <row r="74" spans="1:112" ht="15.95" customHeight="1">
      <c r="A74" s="431" t="s">
        <v>329</v>
      </c>
      <c r="B74" s="432">
        <v>926.66425083000013</v>
      </c>
      <c r="C74" s="433">
        <v>879.92626970000003</v>
      </c>
      <c r="D74" s="433">
        <v>721.28566178000017</v>
      </c>
      <c r="E74" s="434">
        <v>929.83909610000012</v>
      </c>
      <c r="F74" s="433">
        <v>902.82179521</v>
      </c>
      <c r="G74" s="433">
        <v>909.41921696000009</v>
      </c>
      <c r="H74" s="433">
        <v>880.78451079000013</v>
      </c>
      <c r="I74" s="433">
        <v>883.15317335999987</v>
      </c>
      <c r="J74" s="433">
        <v>900.60429081999996</v>
      </c>
      <c r="K74" s="434">
        <v>890.01803747999998</v>
      </c>
      <c r="L74" s="433">
        <v>886.7274124999999</v>
      </c>
      <c r="M74" s="433">
        <v>873.53984866999997</v>
      </c>
      <c r="N74" s="433">
        <v>889.11386275999996</v>
      </c>
      <c r="O74" s="434">
        <v>872.65250204999995</v>
      </c>
      <c r="P74" s="433">
        <v>872.16586286999996</v>
      </c>
      <c r="Q74" s="433">
        <v>891.71102997000003</v>
      </c>
      <c r="R74" s="434">
        <v>871.26575363000006</v>
      </c>
      <c r="S74" s="433">
        <v>860.87499797999988</v>
      </c>
      <c r="T74" s="433">
        <v>835.72423736999986</v>
      </c>
      <c r="U74" s="435">
        <v>830.63649598999984</v>
      </c>
      <c r="V74" s="435">
        <v>845.81191568999986</v>
      </c>
      <c r="W74" s="435">
        <v>836.76174532999994</v>
      </c>
      <c r="X74" s="435">
        <v>817.8099050400001</v>
      </c>
      <c r="Y74" s="435">
        <v>823.86468667000008</v>
      </c>
      <c r="Z74" s="435">
        <v>833.83114121000006</v>
      </c>
      <c r="AA74" s="435">
        <v>817.63071453999999</v>
      </c>
      <c r="AB74" s="435">
        <v>836.00137828999993</v>
      </c>
      <c r="AC74" s="435">
        <v>831.54717403000006</v>
      </c>
      <c r="AD74" s="435">
        <v>852.89268622999987</v>
      </c>
      <c r="AE74" s="435">
        <v>856.97527100000002</v>
      </c>
      <c r="AF74" s="435">
        <v>804.02007961999993</v>
      </c>
      <c r="AG74" s="435">
        <v>711.6000750500001</v>
      </c>
      <c r="AH74" s="435">
        <v>467.72730281000003</v>
      </c>
      <c r="AI74" s="435">
        <v>472.09961955</v>
      </c>
      <c r="AJ74" s="435">
        <v>494.27120891000004</v>
      </c>
      <c r="AK74" s="435">
        <v>490.81321795000002</v>
      </c>
      <c r="AL74" s="435">
        <v>494.44802592000002</v>
      </c>
      <c r="AM74" s="438">
        <v>516.21782875000008</v>
      </c>
      <c r="AN74" s="438">
        <v>516.31213220999996</v>
      </c>
      <c r="AO74" s="438">
        <v>503.24425951000001</v>
      </c>
      <c r="AP74" s="438">
        <v>489.51330487719997</v>
      </c>
      <c r="AQ74" s="438">
        <v>494.68707912579993</v>
      </c>
      <c r="AR74" s="432">
        <v>493.81222262200004</v>
      </c>
      <c r="AS74" s="432">
        <v>486.04974214000003</v>
      </c>
      <c r="AT74" s="432">
        <v>516.13286075120004</v>
      </c>
      <c r="AU74" s="432">
        <v>498.80503430060003</v>
      </c>
      <c r="AV74" s="432">
        <v>496.87984067799999</v>
      </c>
      <c r="AW74" s="436">
        <v>519.60404782559999</v>
      </c>
      <c r="AX74" s="436">
        <v>474.93454998679999</v>
      </c>
      <c r="AY74" s="436">
        <v>481.47123866149997</v>
      </c>
      <c r="AZ74" s="436">
        <v>447.3326192586</v>
      </c>
      <c r="BA74" s="436">
        <v>485.86792073180004</v>
      </c>
      <c r="BB74" s="436">
        <v>472.0427263931</v>
      </c>
      <c r="BC74" s="436">
        <v>481.23702713040001</v>
      </c>
      <c r="BD74" s="436">
        <v>460.94670880360002</v>
      </c>
      <c r="BE74" s="436">
        <v>449.63064349939998</v>
      </c>
      <c r="BF74" s="436">
        <v>470.08273794999991</v>
      </c>
      <c r="BG74" s="436">
        <v>448.99094998199985</v>
      </c>
      <c r="BH74" s="436">
        <v>439.66528039430005</v>
      </c>
      <c r="BI74" s="436">
        <v>434.68208784780001</v>
      </c>
      <c r="BJ74" s="436">
        <v>450.70070639740004</v>
      </c>
      <c r="BK74" s="436">
        <v>457.86751363100007</v>
      </c>
      <c r="BL74" s="436">
        <v>400.0052360578</v>
      </c>
      <c r="BM74" s="436">
        <v>403.70361882059996</v>
      </c>
      <c r="BN74" s="436">
        <v>408.73126425599992</v>
      </c>
      <c r="BO74" s="436">
        <v>401.21387894959992</v>
      </c>
      <c r="BP74" s="436">
        <v>380.2568783136</v>
      </c>
      <c r="BQ74" s="436">
        <v>485.74684915030008</v>
      </c>
      <c r="BR74" s="436">
        <v>517.963246637</v>
      </c>
      <c r="BS74" s="436">
        <v>504.60812642280007</v>
      </c>
      <c r="BT74" s="436">
        <v>483.89338643153002</v>
      </c>
      <c r="BU74" s="436">
        <v>479.56802858334601</v>
      </c>
      <c r="BV74" s="436">
        <v>477.45625522236799</v>
      </c>
      <c r="BW74" s="436">
        <v>485.99207357335996</v>
      </c>
      <c r="BX74" s="436">
        <v>468.25889443049999</v>
      </c>
      <c r="BY74" s="436">
        <v>445.58355986949999</v>
      </c>
      <c r="BZ74" s="436">
        <v>451.2</v>
      </c>
      <c r="CA74" s="436">
        <v>483.75838031869989</v>
      </c>
      <c r="CB74" s="436">
        <v>461.25243156440001</v>
      </c>
      <c r="CC74" s="436">
        <v>446.00571831914999</v>
      </c>
      <c r="CD74" s="436">
        <v>472.01393812999999</v>
      </c>
      <c r="CE74" s="436">
        <v>507.09064146016942</v>
      </c>
      <c r="CF74" s="436">
        <v>490.99175295152531</v>
      </c>
      <c r="CG74" s="436">
        <v>514.58348983351334</v>
      </c>
      <c r="CH74" s="436">
        <v>546.80701069030192</v>
      </c>
      <c r="CI74" s="436">
        <v>542.35762074010916</v>
      </c>
      <c r="CJ74" s="436">
        <v>544.37967601215598</v>
      </c>
      <c r="CK74" s="436">
        <v>536.70750467680602</v>
      </c>
      <c r="CL74" s="436">
        <v>504.64102840385732</v>
      </c>
      <c r="CM74" s="436">
        <v>542.84317762875435</v>
      </c>
      <c r="CN74" s="436">
        <v>512.20168699431201</v>
      </c>
      <c r="CO74" s="436">
        <v>538.75947649696298</v>
      </c>
      <c r="CP74" s="468">
        <v>548.78758542749995</v>
      </c>
      <c r="CQ74" s="436">
        <v>567.69197324000004</v>
      </c>
      <c r="CR74" s="436">
        <v>559.27361561999999</v>
      </c>
      <c r="CS74" s="436">
        <v>555.45307115000003</v>
      </c>
      <c r="CT74" s="436">
        <v>619.93068026000003</v>
      </c>
      <c r="CU74" s="436">
        <v>588.99706949000006</v>
      </c>
      <c r="CV74" s="436">
        <v>590.88022125999998</v>
      </c>
      <c r="CW74" s="436">
        <v>583.22427706000008</v>
      </c>
      <c r="CX74" s="436">
        <v>998.25334305000013</v>
      </c>
      <c r="CY74" s="436">
        <v>978.01990172000001</v>
      </c>
      <c r="CZ74" s="436">
        <v>962.18271893999997</v>
      </c>
      <c r="DA74" s="436">
        <v>958.88803188999998</v>
      </c>
      <c r="DB74" s="436">
        <v>1006.2574788400001</v>
      </c>
      <c r="DC74" s="436">
        <v>1000.0271624799999</v>
      </c>
      <c r="DD74" s="436">
        <v>1080.92912237</v>
      </c>
      <c r="DE74" s="436">
        <v>1094.2082605000003</v>
      </c>
      <c r="DF74" s="436">
        <v>1066.57196694</v>
      </c>
      <c r="DH74" s="430"/>
    </row>
    <row r="75" spans="1:112" ht="15.95" customHeight="1">
      <c r="A75" s="431" t="s">
        <v>330</v>
      </c>
      <c r="B75" s="432">
        <v>186.14744039999999</v>
      </c>
      <c r="C75" s="433">
        <v>187.10678686</v>
      </c>
      <c r="D75" s="433">
        <v>189.75268499999999</v>
      </c>
      <c r="E75" s="434">
        <v>175.98013710000001</v>
      </c>
      <c r="F75" s="433">
        <v>174.55431373000002</v>
      </c>
      <c r="G75" s="433">
        <v>173.75905835</v>
      </c>
      <c r="H75" s="433">
        <v>169.44216917000003</v>
      </c>
      <c r="I75" s="433">
        <v>164.99673525999998</v>
      </c>
      <c r="J75" s="433">
        <v>183.91171595999998</v>
      </c>
      <c r="K75" s="434">
        <v>186.02389178000001</v>
      </c>
      <c r="L75" s="433">
        <v>185.92303680999999</v>
      </c>
      <c r="M75" s="433">
        <v>175.03429691999995</v>
      </c>
      <c r="N75" s="433">
        <v>174.95816884999999</v>
      </c>
      <c r="O75" s="434">
        <v>165.35744124000004</v>
      </c>
      <c r="P75" s="433">
        <v>162.01578569999998</v>
      </c>
      <c r="Q75" s="433">
        <v>162.06440347759997</v>
      </c>
      <c r="R75" s="434">
        <v>161.98261532570001</v>
      </c>
      <c r="S75" s="433">
        <v>167.7799984822</v>
      </c>
      <c r="T75" s="433">
        <v>167.53320865000001</v>
      </c>
      <c r="U75" s="435">
        <v>164.917172871372</v>
      </c>
      <c r="V75" s="435">
        <v>162.58138676768903</v>
      </c>
      <c r="W75" s="435">
        <v>172.43472713000003</v>
      </c>
      <c r="X75" s="435">
        <v>167.40726746000001</v>
      </c>
      <c r="Y75" s="435">
        <v>177.54057162000004</v>
      </c>
      <c r="Z75" s="435">
        <v>179.81377861999997</v>
      </c>
      <c r="AA75" s="435">
        <v>174.40572451999998</v>
      </c>
      <c r="AB75" s="435">
        <v>180.70153113000001</v>
      </c>
      <c r="AC75" s="435">
        <v>179.96928896</v>
      </c>
      <c r="AD75" s="435">
        <v>178.71513716000004</v>
      </c>
      <c r="AE75" s="435">
        <v>178.17449837999999</v>
      </c>
      <c r="AF75" s="435">
        <v>166.80457544000001</v>
      </c>
      <c r="AG75" s="435">
        <v>167.08164574</v>
      </c>
      <c r="AH75" s="435">
        <v>175.25542058999997</v>
      </c>
      <c r="AI75" s="435">
        <v>752.18570819000001</v>
      </c>
      <c r="AJ75" s="435">
        <v>734.99452112000006</v>
      </c>
      <c r="AK75" s="435">
        <v>745.51023939999993</v>
      </c>
      <c r="AL75" s="435">
        <v>739.94353736000005</v>
      </c>
      <c r="AM75" s="438">
        <v>741.12781962999998</v>
      </c>
      <c r="AN75" s="438">
        <v>756.38254243999995</v>
      </c>
      <c r="AO75" s="438">
        <v>785.4882633200001</v>
      </c>
      <c r="AP75" s="438">
        <v>809.98620676199994</v>
      </c>
      <c r="AQ75" s="438">
        <v>864.79353068779994</v>
      </c>
      <c r="AR75" s="432">
        <v>914.62968764599987</v>
      </c>
      <c r="AS75" s="432">
        <v>898.02266308000003</v>
      </c>
      <c r="AT75" s="432">
        <v>935.38487593080004</v>
      </c>
      <c r="AU75" s="432">
        <v>884.47698831079992</v>
      </c>
      <c r="AV75" s="432">
        <v>832.87873712199996</v>
      </c>
      <c r="AW75" s="436">
        <v>828.74389951640001</v>
      </c>
      <c r="AX75" s="436">
        <v>888.51102266320004</v>
      </c>
      <c r="AY75" s="436">
        <v>825.73654690770013</v>
      </c>
      <c r="AZ75" s="436">
        <v>823.01476382279998</v>
      </c>
      <c r="BA75" s="436">
        <v>841.76958637940015</v>
      </c>
      <c r="BB75" s="436">
        <v>843.67550342549987</v>
      </c>
      <c r="BC75" s="436">
        <v>868.55369373959991</v>
      </c>
      <c r="BD75" s="436">
        <v>897.70448814240001</v>
      </c>
      <c r="BE75" s="436">
        <v>899.17694909120007</v>
      </c>
      <c r="BF75" s="436">
        <v>915.62233810249995</v>
      </c>
      <c r="BG75" s="436">
        <v>891.57650141800002</v>
      </c>
      <c r="BH75" s="436">
        <v>938.2487139527999</v>
      </c>
      <c r="BI75" s="436">
        <v>912.56412091890002</v>
      </c>
      <c r="BJ75" s="436">
        <v>909.59748445460002</v>
      </c>
      <c r="BK75" s="436">
        <v>992.61143203080007</v>
      </c>
      <c r="BL75" s="436">
        <v>992.27485632780019</v>
      </c>
      <c r="BM75" s="436">
        <v>1032.2106445340003</v>
      </c>
      <c r="BN75" s="436">
        <v>1079.7766805432</v>
      </c>
      <c r="BO75" s="436">
        <v>1239.1260732700002</v>
      </c>
      <c r="BP75" s="436">
        <v>1062.3887654531002</v>
      </c>
      <c r="BQ75" s="436">
        <v>1130.9641294654</v>
      </c>
      <c r="BR75" s="436">
        <v>1098.7327395093</v>
      </c>
      <c r="BS75" s="436">
        <v>1100.6389286132001</v>
      </c>
      <c r="BT75" s="436">
        <v>1177.5242219673401</v>
      </c>
      <c r="BU75" s="436">
        <v>1171.417237608646</v>
      </c>
      <c r="BV75" s="436">
        <v>1186.2358472719218</v>
      </c>
      <c r="BW75" s="436">
        <v>1197.7618255544601</v>
      </c>
      <c r="BX75" s="436">
        <v>1265.0550022524999</v>
      </c>
      <c r="BY75" s="436">
        <v>1277.6651078774998</v>
      </c>
      <c r="BZ75" s="436">
        <v>1319</v>
      </c>
      <c r="CA75" s="436">
        <v>1269.8683946234</v>
      </c>
      <c r="CB75" s="436">
        <v>1304.0401360731998</v>
      </c>
      <c r="CC75" s="436">
        <v>1309.9843362778411</v>
      </c>
      <c r="CD75" s="436">
        <v>1322.24007439207</v>
      </c>
      <c r="CE75" s="436">
        <v>541.23542118127739</v>
      </c>
      <c r="CF75" s="436">
        <v>579.61671099889668</v>
      </c>
      <c r="CG75" s="436">
        <v>598.47547357846668</v>
      </c>
      <c r="CH75" s="436">
        <v>629.13419809977199</v>
      </c>
      <c r="CI75" s="436">
        <v>646.85512958223751</v>
      </c>
      <c r="CJ75" s="436">
        <v>688.00854390890004</v>
      </c>
      <c r="CK75" s="436">
        <v>720.64402928694301</v>
      </c>
      <c r="CL75" s="436">
        <v>854.81494301050418</v>
      </c>
      <c r="CM75" s="436">
        <v>835.19653343992434</v>
      </c>
      <c r="CN75" s="436">
        <v>730.81915361000006</v>
      </c>
      <c r="CO75" s="436">
        <v>731.01756843999999</v>
      </c>
      <c r="CP75" s="468">
        <v>725.16304448000017</v>
      </c>
      <c r="CQ75" s="436">
        <v>715.05834578999998</v>
      </c>
      <c r="CR75" s="436">
        <v>733.96338172000003</v>
      </c>
      <c r="CS75" s="436">
        <v>758.74847326999998</v>
      </c>
      <c r="CT75" s="436">
        <v>782.81314371000008</v>
      </c>
      <c r="CU75" s="436">
        <v>750.7947954199999</v>
      </c>
      <c r="CV75" s="436">
        <v>766.92318803000001</v>
      </c>
      <c r="CW75" s="436">
        <v>784.40896153000006</v>
      </c>
      <c r="CX75" s="436">
        <v>985.93276459000003</v>
      </c>
      <c r="CY75" s="436">
        <v>930.50932288999991</v>
      </c>
      <c r="CZ75" s="436">
        <v>716.67516918000001</v>
      </c>
      <c r="DA75" s="436">
        <v>822.58834567000008</v>
      </c>
      <c r="DB75" s="436">
        <v>746.52305612999999</v>
      </c>
      <c r="DC75" s="436">
        <v>761.52718533000007</v>
      </c>
      <c r="DD75" s="436">
        <v>655.71375993999993</v>
      </c>
      <c r="DE75" s="436">
        <v>668.67767007999987</v>
      </c>
      <c r="DF75" s="436">
        <v>690.13727838999978</v>
      </c>
      <c r="DH75" s="430"/>
    </row>
    <row r="76" spans="1:112" ht="15.95" customHeight="1">
      <c r="A76" s="431" t="s">
        <v>331</v>
      </c>
      <c r="B76" s="432">
        <v>170.93642864999998</v>
      </c>
      <c r="C76" s="433">
        <v>175.64514153000002</v>
      </c>
      <c r="D76" s="433">
        <v>174.31251030999999</v>
      </c>
      <c r="E76" s="434">
        <v>188.90680407000002</v>
      </c>
      <c r="F76" s="433">
        <v>204.02006085000002</v>
      </c>
      <c r="G76" s="433">
        <v>207.46759636000002</v>
      </c>
      <c r="H76" s="433">
        <v>186.83438080000002</v>
      </c>
      <c r="I76" s="433">
        <v>203.05580090000001</v>
      </c>
      <c r="J76" s="433">
        <v>213.76240427000005</v>
      </c>
      <c r="K76" s="434">
        <v>219.99311474000001</v>
      </c>
      <c r="L76" s="433">
        <v>217.92985419999999</v>
      </c>
      <c r="M76" s="433">
        <v>211.85448992000002</v>
      </c>
      <c r="N76" s="433">
        <v>215.92993747</v>
      </c>
      <c r="O76" s="434">
        <v>239.70803556999999</v>
      </c>
      <c r="P76" s="433">
        <v>239.47330370999998</v>
      </c>
      <c r="Q76" s="433">
        <v>234.80672807999997</v>
      </c>
      <c r="R76" s="434">
        <v>229.53913087999999</v>
      </c>
      <c r="S76" s="433">
        <v>232.65987643</v>
      </c>
      <c r="T76" s="433">
        <v>237.163645</v>
      </c>
      <c r="U76" s="435">
        <v>234.72337445999997</v>
      </c>
      <c r="V76" s="435">
        <v>221.31178463000001</v>
      </c>
      <c r="W76" s="435">
        <v>221.83543841000002</v>
      </c>
      <c r="X76" s="435">
        <v>230.05137770000002</v>
      </c>
      <c r="Y76" s="435">
        <v>236.59052191999996</v>
      </c>
      <c r="Z76" s="435">
        <v>223.99127999999999</v>
      </c>
      <c r="AA76" s="435">
        <v>225.81422472000003</v>
      </c>
      <c r="AB76" s="435">
        <v>237.78054563000001</v>
      </c>
      <c r="AC76" s="435">
        <v>247.32675651999998</v>
      </c>
      <c r="AD76" s="435">
        <v>264.40925977000001</v>
      </c>
      <c r="AE76" s="435">
        <v>261.59533142999999</v>
      </c>
      <c r="AF76" s="435">
        <v>262.79012418999997</v>
      </c>
      <c r="AG76" s="435">
        <v>295.97219816</v>
      </c>
      <c r="AH76" s="435">
        <v>271.45400555000003</v>
      </c>
      <c r="AI76" s="435">
        <v>141.67146149999999</v>
      </c>
      <c r="AJ76" s="435">
        <v>151.87152971</v>
      </c>
      <c r="AK76" s="435">
        <v>157.54848267</v>
      </c>
      <c r="AL76" s="435">
        <v>175.15908869999998</v>
      </c>
      <c r="AM76" s="438">
        <v>230.81793827000001</v>
      </c>
      <c r="AN76" s="438">
        <v>232.78885572000002</v>
      </c>
      <c r="AO76" s="438">
        <v>247.72780985</v>
      </c>
      <c r="AP76" s="438">
        <v>249.77579708810001</v>
      </c>
      <c r="AQ76" s="438">
        <v>248.07917641699999</v>
      </c>
      <c r="AR76" s="432">
        <v>280.53135767120006</v>
      </c>
      <c r="AS76" s="432">
        <v>286.10883836999994</v>
      </c>
      <c r="AT76" s="432">
        <v>180.45772566280002</v>
      </c>
      <c r="AU76" s="432">
        <v>183.11724538059997</v>
      </c>
      <c r="AV76" s="432">
        <v>215.32241526800001</v>
      </c>
      <c r="AW76" s="436">
        <v>211.46693414039996</v>
      </c>
      <c r="AX76" s="436">
        <v>171.08989449640001</v>
      </c>
      <c r="AY76" s="436">
        <v>166.26716344330001</v>
      </c>
      <c r="AZ76" s="436">
        <v>164.67558920899998</v>
      </c>
      <c r="BA76" s="436">
        <v>187.57540123659999</v>
      </c>
      <c r="BB76" s="436">
        <v>193.76297881369999</v>
      </c>
      <c r="BC76" s="436">
        <v>216.64504129520003</v>
      </c>
      <c r="BD76" s="436">
        <v>216.47867992580004</v>
      </c>
      <c r="BE76" s="436">
        <v>211.00784626560002</v>
      </c>
      <c r="BF76" s="436">
        <v>211.91192256750003</v>
      </c>
      <c r="BG76" s="436">
        <v>206.22795136600001</v>
      </c>
      <c r="BH76" s="436">
        <v>239.92225561059999</v>
      </c>
      <c r="BI76" s="436">
        <v>295.14115235830008</v>
      </c>
      <c r="BJ76" s="436">
        <v>298.80265741639994</v>
      </c>
      <c r="BK76" s="436">
        <v>333.97132795199997</v>
      </c>
      <c r="BL76" s="436">
        <v>259.44426351089999</v>
      </c>
      <c r="BM76" s="436">
        <v>258.60289073280001</v>
      </c>
      <c r="BN76" s="436">
        <v>262.26013967080002</v>
      </c>
      <c r="BO76" s="436">
        <v>164.52896009719998</v>
      </c>
      <c r="BP76" s="436">
        <v>131.42626697189999</v>
      </c>
      <c r="BQ76" s="436">
        <v>190.6306799745</v>
      </c>
      <c r="BR76" s="436">
        <v>127.36142975099999</v>
      </c>
      <c r="BS76" s="436">
        <v>136.14031297399998</v>
      </c>
      <c r="BT76" s="436">
        <v>131.06173741124002</v>
      </c>
      <c r="BU76" s="436">
        <v>129.10293678930799</v>
      </c>
      <c r="BV76" s="436">
        <v>129.331952724876</v>
      </c>
      <c r="BW76" s="436">
        <v>129.31503727795001</v>
      </c>
      <c r="BX76" s="436">
        <v>129.39308274300001</v>
      </c>
      <c r="BY76" s="436">
        <v>170.70647576779999</v>
      </c>
      <c r="BZ76" s="436">
        <v>182.8</v>
      </c>
      <c r="CA76" s="436">
        <v>183.56752952760002</v>
      </c>
      <c r="CB76" s="436">
        <v>176.43751019959998</v>
      </c>
      <c r="CC76" s="436">
        <v>139.01630945023601</v>
      </c>
      <c r="CD76" s="436">
        <v>186.31399057854202</v>
      </c>
      <c r="CE76" s="436">
        <v>182.56490639530557</v>
      </c>
      <c r="CF76" s="436">
        <v>183.41916571177896</v>
      </c>
      <c r="CG76" s="436">
        <v>300.87996754313997</v>
      </c>
      <c r="CH76" s="436">
        <v>189.34976841782549</v>
      </c>
      <c r="CI76" s="436">
        <v>193.58912469958003</v>
      </c>
      <c r="CJ76" s="436">
        <v>192.55311272310198</v>
      </c>
      <c r="CK76" s="436">
        <v>191.438390016401</v>
      </c>
      <c r="CL76" s="436">
        <v>193.37200410465812</v>
      </c>
      <c r="CM76" s="436">
        <v>194.80463224966198</v>
      </c>
      <c r="CN76" s="436">
        <v>190.30474627999999</v>
      </c>
      <c r="CO76" s="436">
        <v>184.10183146</v>
      </c>
      <c r="CP76" s="468">
        <v>181.42891610827499</v>
      </c>
      <c r="CQ76" s="436">
        <v>174.67768907999999</v>
      </c>
      <c r="CR76" s="436">
        <v>180.19488547999998</v>
      </c>
      <c r="CS76" s="436">
        <v>150.65892059999999</v>
      </c>
      <c r="CT76" s="436">
        <v>142.95549656999998</v>
      </c>
      <c r="CU76" s="436">
        <v>141.83691468999999</v>
      </c>
      <c r="CV76" s="436">
        <v>140.13510443999999</v>
      </c>
      <c r="CW76" s="436">
        <v>139.62258399999999</v>
      </c>
      <c r="CX76" s="436">
        <v>138.89434047</v>
      </c>
      <c r="CY76" s="436">
        <v>138.78926120000003</v>
      </c>
      <c r="CZ76" s="436">
        <v>150.20258319853718</v>
      </c>
      <c r="DA76" s="436">
        <v>413.15019207000006</v>
      </c>
      <c r="DB76" s="436">
        <v>171.24994308000001</v>
      </c>
      <c r="DC76" s="436">
        <v>201.09359677</v>
      </c>
      <c r="DD76" s="436">
        <v>221.87566929999997</v>
      </c>
      <c r="DE76" s="436">
        <v>228.24603564000006</v>
      </c>
      <c r="DF76" s="436">
        <v>213.37095017899802</v>
      </c>
      <c r="DH76" s="430"/>
    </row>
    <row r="77" spans="1:112" ht="15.95" customHeight="1">
      <c r="A77" s="431" t="s">
        <v>332</v>
      </c>
      <c r="B77" s="432">
        <v>2596.5501865300002</v>
      </c>
      <c r="C77" s="433">
        <v>2728.3344441499999</v>
      </c>
      <c r="D77" s="433">
        <v>2909.5961742900004</v>
      </c>
      <c r="E77" s="434">
        <v>3079.1591940899998</v>
      </c>
      <c r="F77" s="433">
        <v>3128.8147533699994</v>
      </c>
      <c r="G77" s="433">
        <v>3144.2081140699997</v>
      </c>
      <c r="H77" s="433">
        <v>2845.62037237</v>
      </c>
      <c r="I77" s="433">
        <v>2823.7775653399995</v>
      </c>
      <c r="J77" s="433">
        <v>2814.7364334700001</v>
      </c>
      <c r="K77" s="434">
        <v>2904.39077292</v>
      </c>
      <c r="L77" s="433">
        <v>2962.4178192599998</v>
      </c>
      <c r="M77" s="433">
        <v>2980.2817295200007</v>
      </c>
      <c r="N77" s="433">
        <v>3029.2860634099998</v>
      </c>
      <c r="O77" s="434">
        <v>3010.2675460300002</v>
      </c>
      <c r="P77" s="433">
        <v>3019.2060799900009</v>
      </c>
      <c r="Q77" s="433">
        <v>2939.8605268599999</v>
      </c>
      <c r="R77" s="434">
        <v>2756.4904686899999</v>
      </c>
      <c r="S77" s="433">
        <v>2915.9152344465542</v>
      </c>
      <c r="T77" s="433">
        <v>2768.6500578450004</v>
      </c>
      <c r="U77" s="435">
        <v>2772.4131680392511</v>
      </c>
      <c r="V77" s="435">
        <v>2766.7621733125252</v>
      </c>
      <c r="W77" s="435">
        <v>2763.1446843929002</v>
      </c>
      <c r="X77" s="435">
        <v>2668.1514365939761</v>
      </c>
      <c r="Y77" s="435">
        <v>2653.2518810400002</v>
      </c>
      <c r="Z77" s="435">
        <v>3042.3274812900004</v>
      </c>
      <c r="AA77" s="435">
        <v>2877.4674097799998</v>
      </c>
      <c r="AB77" s="435">
        <v>2752.9006161899997</v>
      </c>
      <c r="AC77" s="435">
        <v>2830.40396177</v>
      </c>
      <c r="AD77" s="435">
        <v>2790.82607723</v>
      </c>
      <c r="AE77" s="435">
        <v>3026.9384281099997</v>
      </c>
      <c r="AF77" s="435">
        <v>3177.5101067699998</v>
      </c>
      <c r="AG77" s="435">
        <v>2987.8335995299994</v>
      </c>
      <c r="AH77" s="435">
        <v>2730.6400684799996</v>
      </c>
      <c r="AI77" s="435">
        <v>2627.1761495200003</v>
      </c>
      <c r="AJ77" s="435">
        <v>2675.84780133</v>
      </c>
      <c r="AK77" s="435">
        <v>2474.4114968300005</v>
      </c>
      <c r="AL77" s="435">
        <v>3197.7035656499997</v>
      </c>
      <c r="AM77" s="438">
        <v>3274.6508887300001</v>
      </c>
      <c r="AN77" s="438">
        <v>3229.1463569000002</v>
      </c>
      <c r="AO77" s="438">
        <v>3177.4947331900007</v>
      </c>
      <c r="AP77" s="438">
        <v>3187.3629540861002</v>
      </c>
      <c r="AQ77" s="438">
        <v>3349.3619741813991</v>
      </c>
      <c r="AR77" s="432">
        <v>3366.4795072812003</v>
      </c>
      <c r="AS77" s="432">
        <v>3303.6324183299998</v>
      </c>
      <c r="AT77" s="432">
        <v>3111.1945311803993</v>
      </c>
      <c r="AU77" s="432">
        <v>3193.7910912100001</v>
      </c>
      <c r="AV77" s="432">
        <v>3103.8781085839996</v>
      </c>
      <c r="AW77" s="436">
        <v>2928.6133920955999</v>
      </c>
      <c r="AX77" s="436">
        <v>2963.7313020492002</v>
      </c>
      <c r="AY77" s="436">
        <v>2938.3566646252002</v>
      </c>
      <c r="AZ77" s="436">
        <v>2711.3066640202996</v>
      </c>
      <c r="BA77" s="436">
        <v>2795.3987405204002</v>
      </c>
      <c r="BB77" s="436">
        <v>2880.5267584588801</v>
      </c>
      <c r="BC77" s="436">
        <v>2952.6115308552003</v>
      </c>
      <c r="BD77" s="436">
        <v>2864.8586043250007</v>
      </c>
      <c r="BE77" s="436">
        <v>2930.8580810880003</v>
      </c>
      <c r="BF77" s="436">
        <v>2891.5895283575001</v>
      </c>
      <c r="BG77" s="436">
        <v>2838.0617190780004</v>
      </c>
      <c r="BH77" s="436">
        <v>2944.6366314465995</v>
      </c>
      <c r="BI77" s="436">
        <v>3008.9769236990005</v>
      </c>
      <c r="BJ77" s="436">
        <v>3533.2368273919001</v>
      </c>
      <c r="BK77" s="436">
        <v>3618.4034594908999</v>
      </c>
      <c r="BL77" s="436">
        <v>3551.8792267910994</v>
      </c>
      <c r="BM77" s="436">
        <v>3832.3431801232</v>
      </c>
      <c r="BN77" s="436">
        <v>3809.0509310370885</v>
      </c>
      <c r="BO77" s="436">
        <v>3798.5976251253501</v>
      </c>
      <c r="BP77" s="436">
        <v>3831.1426068228502</v>
      </c>
      <c r="BQ77" s="436">
        <v>3547.1549992627006</v>
      </c>
      <c r="BR77" s="436">
        <v>3418.2093466778997</v>
      </c>
      <c r="BS77" s="436">
        <v>3340.9128605368005</v>
      </c>
      <c r="BT77" s="436">
        <v>3380.4020304581895</v>
      </c>
      <c r="BU77" s="436">
        <v>3323.1456490375858</v>
      </c>
      <c r="BV77" s="436">
        <v>2968.4846577102885</v>
      </c>
      <c r="BW77" s="436">
        <v>2813.6489838014845</v>
      </c>
      <c r="BX77" s="436">
        <v>2732.2719128364997</v>
      </c>
      <c r="BY77" s="436">
        <v>2974.0951833459003</v>
      </c>
      <c r="BZ77" s="436">
        <v>2817</v>
      </c>
      <c r="CA77" s="436">
        <v>2837.3510708371996</v>
      </c>
      <c r="CB77" s="436">
        <v>3102.4689712722002</v>
      </c>
      <c r="CC77" s="436">
        <v>3055.04111768346</v>
      </c>
      <c r="CD77" s="436">
        <v>3065.8865691988594</v>
      </c>
      <c r="CE77" s="436">
        <v>4081.1573370679516</v>
      </c>
      <c r="CF77" s="436">
        <v>3915.3233154245936</v>
      </c>
      <c r="CG77" s="436">
        <v>4015.0784773517562</v>
      </c>
      <c r="CH77" s="436">
        <v>4089.6324566280032</v>
      </c>
      <c r="CI77" s="436">
        <v>3974.6736125931457</v>
      </c>
      <c r="CJ77" s="436">
        <v>4073.050410438012</v>
      </c>
      <c r="CK77" s="436">
        <v>4211.3877397280557</v>
      </c>
      <c r="CL77" s="436">
        <v>4272.3848789349922</v>
      </c>
      <c r="CM77" s="436">
        <v>4291.6108485981404</v>
      </c>
      <c r="CN77" s="436">
        <v>4616.543225557617</v>
      </c>
      <c r="CO77" s="436">
        <v>4096.2518992411524</v>
      </c>
      <c r="CP77" s="468">
        <v>4115.1193051536993</v>
      </c>
      <c r="CQ77" s="436">
        <v>4081.4234265000291</v>
      </c>
      <c r="CR77" s="436">
        <v>4309.7097870683847</v>
      </c>
      <c r="CS77" s="436">
        <v>4108.5485677510987</v>
      </c>
      <c r="CT77" s="436">
        <v>4488.7173207579272</v>
      </c>
      <c r="CU77" s="436">
        <v>4213.6033043803018</v>
      </c>
      <c r="CV77" s="436">
        <v>4199.9083640801036</v>
      </c>
      <c r="CW77" s="436">
        <v>4115.1903926876957</v>
      </c>
      <c r="CX77" s="436">
        <v>4170.14068813214</v>
      </c>
      <c r="CY77" s="436">
        <v>4315.4660694582199</v>
      </c>
      <c r="CZ77" s="436">
        <v>4081.9804658373801</v>
      </c>
      <c r="DA77" s="436">
        <v>3673.6774374420838</v>
      </c>
      <c r="DB77" s="436">
        <v>4151.1975831125192</v>
      </c>
      <c r="DC77" s="436">
        <v>4081.7156975464591</v>
      </c>
      <c r="DD77" s="436">
        <v>3959.0655665604713</v>
      </c>
      <c r="DE77" s="436">
        <v>3906.7081656705291</v>
      </c>
      <c r="DF77" s="436">
        <v>4349.5844960782042</v>
      </c>
      <c r="DH77" s="430"/>
    </row>
    <row r="78" spans="1:112" ht="15.95" customHeight="1">
      <c r="A78" s="431" t="s">
        <v>333</v>
      </c>
      <c r="B78" s="432">
        <v>980.23024373999999</v>
      </c>
      <c r="C78" s="433">
        <v>984.92177760000004</v>
      </c>
      <c r="D78" s="433">
        <v>1064.8516445400001</v>
      </c>
      <c r="E78" s="434">
        <v>1161.73213667</v>
      </c>
      <c r="F78" s="433">
        <v>1264.4477160399999</v>
      </c>
      <c r="G78" s="433">
        <v>1295.9474507599998</v>
      </c>
      <c r="H78" s="433">
        <v>1317.1489695400001</v>
      </c>
      <c r="I78" s="433">
        <v>1447.0662225500002</v>
      </c>
      <c r="J78" s="433">
        <v>1383.5399454999999</v>
      </c>
      <c r="K78" s="434">
        <v>1317.8374725399999</v>
      </c>
      <c r="L78" s="433">
        <v>1343.9419001899998</v>
      </c>
      <c r="M78" s="433">
        <v>1396.99730494</v>
      </c>
      <c r="N78" s="433">
        <v>1340.56581104</v>
      </c>
      <c r="O78" s="434">
        <v>1387.26277254</v>
      </c>
      <c r="P78" s="433">
        <v>1372.9394664400002</v>
      </c>
      <c r="Q78" s="433">
        <v>1421.6276175900002</v>
      </c>
      <c r="R78" s="434">
        <v>1507.6636117924002</v>
      </c>
      <c r="S78" s="433">
        <v>1573.9949470318002</v>
      </c>
      <c r="T78" s="433">
        <v>1722.4363136500001</v>
      </c>
      <c r="U78" s="435">
        <v>1795.7383503288502</v>
      </c>
      <c r="V78" s="435">
        <v>1773.439615981202</v>
      </c>
      <c r="W78" s="435">
        <v>1717.7745489742003</v>
      </c>
      <c r="X78" s="435">
        <v>1637.4366985464499</v>
      </c>
      <c r="Y78" s="435">
        <v>1539.8403402826239</v>
      </c>
      <c r="Z78" s="435">
        <v>1585.6892814952</v>
      </c>
      <c r="AA78" s="435">
        <v>1592.1849157792997</v>
      </c>
      <c r="AB78" s="435">
        <v>1640.9179640605998</v>
      </c>
      <c r="AC78" s="435">
        <v>1626.9668408</v>
      </c>
      <c r="AD78" s="435">
        <v>1647.3935448851748</v>
      </c>
      <c r="AE78" s="435">
        <v>1711.3549261478584</v>
      </c>
      <c r="AF78" s="435">
        <v>1852.0161032668748</v>
      </c>
      <c r="AG78" s="435">
        <v>1851.7207908294001</v>
      </c>
      <c r="AH78" s="435">
        <v>1744.009102191</v>
      </c>
      <c r="AI78" s="435">
        <v>2003.3701400983998</v>
      </c>
      <c r="AJ78" s="435">
        <v>2014.3410036432999</v>
      </c>
      <c r="AK78" s="435">
        <v>1972.1951292074</v>
      </c>
      <c r="AL78" s="435">
        <v>2008.5439573236997</v>
      </c>
      <c r="AM78" s="438">
        <v>1950.3677723226499</v>
      </c>
      <c r="AN78" s="438">
        <v>1957.1964882681498</v>
      </c>
      <c r="AO78" s="438">
        <v>1974.7794164961749</v>
      </c>
      <c r="AP78" s="438">
        <v>2040.8925058418999</v>
      </c>
      <c r="AQ78" s="438">
        <v>2094.5599331476001</v>
      </c>
      <c r="AR78" s="432">
        <v>2273.3662403398002</v>
      </c>
      <c r="AS78" s="432">
        <v>2284.82513453</v>
      </c>
      <c r="AT78" s="432">
        <v>2312.4173463711995</v>
      </c>
      <c r="AU78" s="432">
        <v>2405.5725340179001</v>
      </c>
      <c r="AV78" s="432">
        <v>2080.4320675500003</v>
      </c>
      <c r="AW78" s="436">
        <v>2038.9051181703999</v>
      </c>
      <c r="AX78" s="436">
        <v>1996.8411880880001</v>
      </c>
      <c r="AY78" s="436">
        <v>1839.1334042208</v>
      </c>
      <c r="AZ78" s="436">
        <v>1775.2370680224001</v>
      </c>
      <c r="BA78" s="436">
        <v>1781.8879383338997</v>
      </c>
      <c r="BB78" s="436">
        <v>1733.3280549572999</v>
      </c>
      <c r="BC78" s="436">
        <v>1687.4421625119001</v>
      </c>
      <c r="BD78" s="436">
        <v>1728.2964649740002</v>
      </c>
      <c r="BE78" s="436">
        <v>1709.5587619982248</v>
      </c>
      <c r="BF78" s="436">
        <v>1680.2670195575001</v>
      </c>
      <c r="BG78" s="436">
        <v>1765.4473968919001</v>
      </c>
      <c r="BH78" s="436">
        <v>1630.264748087083</v>
      </c>
      <c r="BI78" s="436">
        <v>1758.4906230155573</v>
      </c>
      <c r="BJ78" s="436">
        <v>1774.2342625040048</v>
      </c>
      <c r="BK78" s="436">
        <v>1917.176053046619</v>
      </c>
      <c r="BL78" s="436">
        <v>1887.4419548123219</v>
      </c>
      <c r="BM78" s="436">
        <v>1949.9066522285577</v>
      </c>
      <c r="BN78" s="436">
        <v>2092.846193699133</v>
      </c>
      <c r="BO78" s="436">
        <v>2157.2972576502075</v>
      </c>
      <c r="BP78" s="436">
        <v>2272.024509281342</v>
      </c>
      <c r="BQ78" s="436">
        <v>2187.863911019781</v>
      </c>
      <c r="BR78" s="436">
        <v>2205.0417271563315</v>
      </c>
      <c r="BS78" s="436">
        <v>2132.1853027837919</v>
      </c>
      <c r="BT78" s="436">
        <v>2101.391174822535</v>
      </c>
      <c r="BU78" s="436">
        <v>2035.8902032148819</v>
      </c>
      <c r="BV78" s="436">
        <v>2057.3524325162798</v>
      </c>
      <c r="BW78" s="436">
        <v>1909.773003650515</v>
      </c>
      <c r="BX78" s="436">
        <v>2062.5337066614998</v>
      </c>
      <c r="BY78" s="436">
        <v>2208.2855191596996</v>
      </c>
      <c r="BZ78" s="436">
        <v>2115</v>
      </c>
      <c r="CA78" s="436">
        <v>2373.060328675218</v>
      </c>
      <c r="CB78" s="436">
        <v>2399.3921269732755</v>
      </c>
      <c r="CC78" s="436">
        <v>2664.4811327528801</v>
      </c>
      <c r="CD78" s="436">
        <v>2625.5790305945056</v>
      </c>
      <c r="CE78" s="436">
        <v>2615.944451690405</v>
      </c>
      <c r="CF78" s="436">
        <v>2629.3997733608912</v>
      </c>
      <c r="CG78" s="436">
        <v>2650.000372491847</v>
      </c>
      <c r="CH78" s="436">
        <v>2727.9983327963355</v>
      </c>
      <c r="CI78" s="436">
        <v>2554.8705156994642</v>
      </c>
      <c r="CJ78" s="436">
        <v>2640.3368523476615</v>
      </c>
      <c r="CK78" s="436">
        <v>2518.1580746859022</v>
      </c>
      <c r="CL78" s="436">
        <v>2492.8496561276129</v>
      </c>
      <c r="CM78" s="436">
        <v>2648.9423054894769</v>
      </c>
      <c r="CN78" s="436">
        <v>2733.3545994332299</v>
      </c>
      <c r="CO78" s="436">
        <v>2691.7913271471339</v>
      </c>
      <c r="CP78" s="468">
        <v>2622.3686264012754</v>
      </c>
      <c r="CQ78" s="436">
        <v>2545.1727399460792</v>
      </c>
      <c r="CR78" s="436">
        <v>2581.0379001508049</v>
      </c>
      <c r="CS78" s="436">
        <v>2634.5466143439139</v>
      </c>
      <c r="CT78" s="436">
        <v>2776.7886738517936</v>
      </c>
      <c r="CU78" s="436">
        <v>2771.2324755480768</v>
      </c>
      <c r="CV78" s="436">
        <v>2765.4879292110641</v>
      </c>
      <c r="CW78" s="436">
        <v>2817.2013231710243</v>
      </c>
      <c r="CX78" s="436">
        <v>2692.3051130650115</v>
      </c>
      <c r="CY78" s="436">
        <v>2758.7257345080266</v>
      </c>
      <c r="CZ78" s="436">
        <v>2626.4922853346998</v>
      </c>
      <c r="DA78" s="436">
        <v>2699.280615270914</v>
      </c>
      <c r="DB78" s="436">
        <v>2781.9294618926419</v>
      </c>
      <c r="DC78" s="436">
        <v>2853.8265496089525</v>
      </c>
      <c r="DD78" s="436">
        <v>2980.9015684985775</v>
      </c>
      <c r="DE78" s="436">
        <v>3115.6708627065382</v>
      </c>
      <c r="DF78" s="436">
        <v>3176.2129110240426</v>
      </c>
      <c r="DH78" s="430"/>
    </row>
    <row r="79" spans="1:112" ht="15.95" customHeight="1">
      <c r="A79" s="431" t="s">
        <v>334</v>
      </c>
      <c r="B79" s="432">
        <v>413.84675399999998</v>
      </c>
      <c r="C79" s="433">
        <v>387.71471287000003</v>
      </c>
      <c r="D79" s="433">
        <v>420.55177997999999</v>
      </c>
      <c r="E79" s="434">
        <v>470.66794386439994</v>
      </c>
      <c r="F79" s="433">
        <v>402.09864603999995</v>
      </c>
      <c r="G79" s="433">
        <v>553.79862693180007</v>
      </c>
      <c r="H79" s="433">
        <f>573.9972542648+0.1</f>
        <v>574.09725426479997</v>
      </c>
      <c r="I79" s="433">
        <v>577.83011993000002</v>
      </c>
      <c r="J79" s="433">
        <v>615.03901163</v>
      </c>
      <c r="K79" s="434">
        <v>584.54138517000013</v>
      </c>
      <c r="L79" s="433">
        <v>579.0469243</v>
      </c>
      <c r="M79" s="433">
        <v>712.27345866100006</v>
      </c>
      <c r="N79" s="433">
        <v>620.18349624489792</v>
      </c>
      <c r="O79" s="434">
        <v>713.96697638269995</v>
      </c>
      <c r="P79" s="433">
        <v>658.40485823000006</v>
      </c>
      <c r="Q79" s="433">
        <v>608.51311649000002</v>
      </c>
      <c r="R79" s="434">
        <v>688.01962002999994</v>
      </c>
      <c r="S79" s="433">
        <v>686.71307084999989</v>
      </c>
      <c r="T79" s="433">
        <v>780.01989613875003</v>
      </c>
      <c r="U79" s="435">
        <v>675.14715115000001</v>
      </c>
      <c r="V79" s="435">
        <v>569.92586416000006</v>
      </c>
      <c r="W79" s="435">
        <v>726.47181881870006</v>
      </c>
      <c r="X79" s="435">
        <v>685.60675810999999</v>
      </c>
      <c r="Y79" s="435">
        <v>716.73692900072194</v>
      </c>
      <c r="Z79" s="435">
        <v>750.5275350931081</v>
      </c>
      <c r="AA79" s="435">
        <v>829.34354624986327</v>
      </c>
      <c r="AB79" s="435">
        <v>841.05852379507746</v>
      </c>
      <c r="AC79" s="435">
        <v>668.65738075090007</v>
      </c>
      <c r="AD79" s="435">
        <v>687.12652243302</v>
      </c>
      <c r="AE79" s="435">
        <v>735.16956825000011</v>
      </c>
      <c r="AF79" s="435">
        <v>900.72184819898757</v>
      </c>
      <c r="AG79" s="435">
        <v>626.33675765084809</v>
      </c>
      <c r="AH79" s="435">
        <v>702.53576076392005</v>
      </c>
      <c r="AI79" s="435">
        <v>880.88564889200006</v>
      </c>
      <c r="AJ79" s="435">
        <v>675.45435220000002</v>
      </c>
      <c r="AK79" s="435">
        <v>584.44780127317597</v>
      </c>
      <c r="AL79" s="435">
        <v>737.85789605069522</v>
      </c>
      <c r="AM79" s="438">
        <v>866.56231034441009</v>
      </c>
      <c r="AN79" s="438">
        <v>678.29072574095608</v>
      </c>
      <c r="AO79" s="438">
        <v>1527.3805499036951</v>
      </c>
      <c r="AP79" s="438">
        <v>1295.2263184526551</v>
      </c>
      <c r="AQ79" s="438">
        <v>1422.3451943110181</v>
      </c>
      <c r="AR79" s="432">
        <v>1056.7846609286521</v>
      </c>
      <c r="AS79" s="432">
        <v>1229.6104045939999</v>
      </c>
      <c r="AT79" s="432">
        <v>906.67905668905587</v>
      </c>
      <c r="AU79" s="432">
        <v>578.81288210366392</v>
      </c>
      <c r="AV79" s="432">
        <v>861.26879576268004</v>
      </c>
      <c r="AW79" s="436">
        <v>603.29581028851203</v>
      </c>
      <c r="AX79" s="436">
        <v>911.56455797679996</v>
      </c>
      <c r="AY79" s="436">
        <v>656.64490213699992</v>
      </c>
      <c r="AZ79" s="436">
        <v>613.94171576660403</v>
      </c>
      <c r="BA79" s="436">
        <v>778.01353414814605</v>
      </c>
      <c r="BB79" s="436">
        <v>330.39156201943399</v>
      </c>
      <c r="BC79" s="436">
        <v>703.752658738896</v>
      </c>
      <c r="BD79" s="436">
        <v>378.31303774711597</v>
      </c>
      <c r="BE79" s="436">
        <v>777.61764231255211</v>
      </c>
      <c r="BF79" s="436">
        <v>972.54357222907504</v>
      </c>
      <c r="BG79" s="436">
        <v>507.13602484279994</v>
      </c>
      <c r="BH79" s="436">
        <v>371.76182853999802</v>
      </c>
      <c r="BI79" s="436">
        <v>489.59653219372797</v>
      </c>
      <c r="BJ79" s="436">
        <v>932.86962041714389</v>
      </c>
      <c r="BK79" s="436">
        <v>687.25684644849991</v>
      </c>
      <c r="BL79" s="436">
        <v>761.78819383127779</v>
      </c>
      <c r="BM79" s="436">
        <v>512.278613165058</v>
      </c>
      <c r="BN79" s="436">
        <v>530.18748350047599</v>
      </c>
      <c r="BO79" s="436">
        <v>531.17929945000003</v>
      </c>
      <c r="BP79" s="436">
        <v>425.31569058415681</v>
      </c>
      <c r="BQ79" s="436">
        <v>670.35461767999993</v>
      </c>
      <c r="BR79" s="436">
        <v>483.4098159166</v>
      </c>
      <c r="BS79" s="436">
        <v>868.84150808879997</v>
      </c>
      <c r="BT79" s="436">
        <v>603.08980525999993</v>
      </c>
      <c r="BU79" s="436">
        <v>798.9584258299999</v>
      </c>
      <c r="BV79" s="436">
        <v>705.69252717999996</v>
      </c>
      <c r="BW79" s="436">
        <v>894.33995304000007</v>
      </c>
      <c r="BX79" s="436">
        <v>306.80834706000002</v>
      </c>
      <c r="BY79" s="436">
        <v>873.98799632000009</v>
      </c>
      <c r="BZ79" s="436">
        <v>528.9</v>
      </c>
      <c r="CA79" s="436">
        <v>518.87873169</v>
      </c>
      <c r="CB79" s="436">
        <v>865.17307844000004</v>
      </c>
      <c r="CC79" s="436">
        <v>806.41236710429996</v>
      </c>
      <c r="CD79" s="436">
        <v>451.12586156000003</v>
      </c>
      <c r="CE79" s="436">
        <v>815.53057077999995</v>
      </c>
      <c r="CF79" s="436">
        <v>730.49962983000012</v>
      </c>
      <c r="CG79" s="436">
        <v>216.06602546103662</v>
      </c>
      <c r="CH79" s="436">
        <v>1095.51882439</v>
      </c>
      <c r="CI79" s="436">
        <v>825.96856993999995</v>
      </c>
      <c r="CJ79" s="436">
        <v>1838.2583189299999</v>
      </c>
      <c r="CK79" s="436">
        <v>1395.7559655300001</v>
      </c>
      <c r="CL79" s="436">
        <v>630.60741853000002</v>
      </c>
      <c r="CM79" s="436">
        <v>1621.0615097153709</v>
      </c>
      <c r="CN79" s="436">
        <v>1220.36357656</v>
      </c>
      <c r="CO79" s="436">
        <v>819.69090984999991</v>
      </c>
      <c r="CP79" s="468">
        <v>504.16003483999998</v>
      </c>
      <c r="CQ79" s="436">
        <v>1238.1449269100001</v>
      </c>
      <c r="CR79" s="436">
        <v>1140.04035649</v>
      </c>
      <c r="CS79" s="436">
        <v>703.21733310000002</v>
      </c>
      <c r="CT79" s="436">
        <v>684.36384705</v>
      </c>
      <c r="CU79" s="436">
        <v>1301.96150128</v>
      </c>
      <c r="CV79" s="436">
        <v>864.33347046000006</v>
      </c>
      <c r="CW79" s="436">
        <v>914.98422255999992</v>
      </c>
      <c r="CX79" s="436">
        <v>1790.3749071999998</v>
      </c>
      <c r="CY79" s="436">
        <v>1304.99932317</v>
      </c>
      <c r="CZ79" s="436">
        <v>827.68946298000003</v>
      </c>
      <c r="DA79" s="436">
        <v>1578.7827972000002</v>
      </c>
      <c r="DB79" s="436">
        <v>1071.8888474293335</v>
      </c>
      <c r="DC79" s="436">
        <v>736.10564290999991</v>
      </c>
      <c r="DD79" s="436">
        <v>1451.38889421</v>
      </c>
      <c r="DE79" s="436">
        <v>823.87108721000004</v>
      </c>
      <c r="DF79" s="436">
        <v>1712.3264184899999</v>
      </c>
      <c r="DH79" s="430"/>
    </row>
    <row r="80" spans="1:112" ht="15.95" customHeight="1">
      <c r="A80" s="431" t="s">
        <v>335</v>
      </c>
      <c r="B80" s="432">
        <v>9.2082149999999992</v>
      </c>
      <c r="C80" s="433">
        <v>15.130636729999999</v>
      </c>
      <c r="D80" s="433">
        <v>14.09070981</v>
      </c>
      <c r="E80" s="434">
        <v>14.09967275</v>
      </c>
      <c r="F80" s="433">
        <v>14.232358609999999</v>
      </c>
      <c r="G80" s="433">
        <v>14.381935169999998</v>
      </c>
      <c r="H80" s="433">
        <v>12.192188849999999</v>
      </c>
      <c r="I80" s="433">
        <v>18.957254389999999</v>
      </c>
      <c r="J80" s="433">
        <v>15.979137799999998</v>
      </c>
      <c r="K80" s="434">
        <v>13.42206968</v>
      </c>
      <c r="L80" s="433">
        <v>11.74652305</v>
      </c>
      <c r="M80" s="433">
        <v>9.4889074499999992</v>
      </c>
      <c r="N80" s="433">
        <v>8.4947467400000001</v>
      </c>
      <c r="O80" s="434">
        <v>8.0731414399999988</v>
      </c>
      <c r="P80" s="433">
        <v>8.4483048000000007</v>
      </c>
      <c r="Q80" s="433">
        <v>11.525518999999999</v>
      </c>
      <c r="R80" s="434">
        <v>6.68418913</v>
      </c>
      <c r="S80" s="433">
        <v>4.1223927099999997</v>
      </c>
      <c r="T80" s="433">
        <v>4.8287272199999993</v>
      </c>
      <c r="U80" s="435">
        <v>4.8251895599999992</v>
      </c>
      <c r="V80" s="435">
        <v>4.6974282199999999</v>
      </c>
      <c r="W80" s="435">
        <v>4.7213665000000002</v>
      </c>
      <c r="X80" s="435">
        <v>6.0938232400000008</v>
      </c>
      <c r="Y80" s="435">
        <v>8.2278201000000006</v>
      </c>
      <c r="Z80" s="435">
        <v>4.2234435599999998</v>
      </c>
      <c r="AA80" s="435">
        <v>9.0342966699999998</v>
      </c>
      <c r="AB80" s="435">
        <v>4.7046386199999999</v>
      </c>
      <c r="AC80" s="435">
        <v>5.1620789599999997</v>
      </c>
      <c r="AD80" s="435">
        <v>3.4242601499999998</v>
      </c>
      <c r="AE80" s="435">
        <v>3.1273637999999999</v>
      </c>
      <c r="AF80" s="435">
        <v>3.1480537799999997</v>
      </c>
      <c r="AG80" s="435">
        <v>7.4009362200000011</v>
      </c>
      <c r="AH80" s="435">
        <v>3.9887107999999998</v>
      </c>
      <c r="AI80" s="435">
        <v>14.303279709999998</v>
      </c>
      <c r="AJ80" s="435">
        <v>14.514705289271999</v>
      </c>
      <c r="AK80" s="435">
        <v>17.635619590000001</v>
      </c>
      <c r="AL80" s="435">
        <v>17.674157600000001</v>
      </c>
      <c r="AM80" s="438">
        <v>19.120787249999999</v>
      </c>
      <c r="AN80" s="438">
        <v>20.53060009</v>
      </c>
      <c r="AO80" s="438">
        <v>14.456015839999999</v>
      </c>
      <c r="AP80" s="438">
        <v>30.108672459999998</v>
      </c>
      <c r="AQ80" s="438">
        <v>29.023399640000001</v>
      </c>
      <c r="AR80" s="432">
        <v>41.703878620000005</v>
      </c>
      <c r="AS80" s="432">
        <v>32.84776462</v>
      </c>
      <c r="AT80" s="432">
        <v>23.172390910000001</v>
      </c>
      <c r="AU80" s="432">
        <v>76.196029580000001</v>
      </c>
      <c r="AV80" s="432">
        <v>80.532109470000009</v>
      </c>
      <c r="AW80" s="436">
        <v>77.896253770000015</v>
      </c>
      <c r="AX80" s="436">
        <v>26.108179939999996</v>
      </c>
      <c r="AY80" s="436">
        <v>24.000301149999999</v>
      </c>
      <c r="AZ80" s="436">
        <v>40.929119119999996</v>
      </c>
      <c r="BA80" s="436">
        <v>27.802093929999998</v>
      </c>
      <c r="BB80" s="436">
        <v>39.650065099999999</v>
      </c>
      <c r="BC80" s="436">
        <v>81.149647590000001</v>
      </c>
      <c r="BD80" s="436">
        <v>70.597618319999995</v>
      </c>
      <c r="BE80" s="436">
        <v>73.868281710000005</v>
      </c>
      <c r="BF80" s="436">
        <v>77.145528659999997</v>
      </c>
      <c r="BG80" s="436">
        <v>112.07570609999999</v>
      </c>
      <c r="BH80" s="436">
        <v>110.97133771999999</v>
      </c>
      <c r="BI80" s="436">
        <v>105.62168512999999</v>
      </c>
      <c r="BJ80" s="436">
        <v>115.63004670999999</v>
      </c>
      <c r="BK80" s="436">
        <v>135.46235916000003</v>
      </c>
      <c r="BL80" s="436">
        <v>118.27584425000001</v>
      </c>
      <c r="BM80" s="436">
        <v>108.35563309</v>
      </c>
      <c r="BN80" s="436">
        <v>61.374925559999994</v>
      </c>
      <c r="BO80" s="436">
        <v>50.97808637</v>
      </c>
      <c r="BP80" s="436">
        <v>57.732735480000002</v>
      </c>
      <c r="BQ80" s="436">
        <v>136.51918113490001</v>
      </c>
      <c r="BR80" s="436">
        <v>114.97277867999999</v>
      </c>
      <c r="BS80" s="436">
        <v>129.1735818192</v>
      </c>
      <c r="BT80" s="436">
        <v>98.425029780000003</v>
      </c>
      <c r="BU80" s="436">
        <v>36.445019000000002</v>
      </c>
      <c r="BV80" s="436">
        <v>39.417606970000001</v>
      </c>
      <c r="BW80" s="436">
        <v>49.537174469999997</v>
      </c>
      <c r="BX80" s="436">
        <v>43.361054930000002</v>
      </c>
      <c r="BY80" s="436">
        <v>42.657346789999998</v>
      </c>
      <c r="BZ80" s="436">
        <v>47.9</v>
      </c>
      <c r="CA80" s="436">
        <v>49.624005610000005</v>
      </c>
      <c r="CB80" s="436">
        <v>53.410277410000006</v>
      </c>
      <c r="CC80" s="436">
        <v>53.435988109999997</v>
      </c>
      <c r="CD80" s="436">
        <v>56.111443069999993</v>
      </c>
      <c r="CE80" s="436">
        <v>59.040814670000003</v>
      </c>
      <c r="CF80" s="436">
        <v>60.972492910000007</v>
      </c>
      <c r="CG80" s="436">
        <v>56.591775729999995</v>
      </c>
      <c r="CH80" s="436">
        <v>55.420263720000001</v>
      </c>
      <c r="CI80" s="436">
        <v>55.170731809999992</v>
      </c>
      <c r="CJ80" s="436">
        <v>52.737524820000004</v>
      </c>
      <c r="CK80" s="436">
        <v>56.316799119999999</v>
      </c>
      <c r="CL80" s="436">
        <v>59.480185040000009</v>
      </c>
      <c r="CM80" s="436">
        <v>64.688852100000005</v>
      </c>
      <c r="CN80" s="436">
        <v>63.55995179</v>
      </c>
      <c r="CO80" s="436">
        <v>58.849288099999995</v>
      </c>
      <c r="CP80" s="468">
        <v>59.669811960000004</v>
      </c>
      <c r="CQ80" s="436">
        <v>56.489300840000006</v>
      </c>
      <c r="CR80" s="436">
        <v>61.732204480000007</v>
      </c>
      <c r="CS80" s="436">
        <v>60.791036019999993</v>
      </c>
      <c r="CT80" s="436">
        <v>52.729257779999998</v>
      </c>
      <c r="CU80" s="436">
        <v>55.053156649999998</v>
      </c>
      <c r="CV80" s="436">
        <v>54.0093417</v>
      </c>
      <c r="CW80" s="436">
        <v>51.48196154</v>
      </c>
      <c r="CX80" s="436">
        <v>57.194897049999994</v>
      </c>
      <c r="CY80" s="436">
        <v>60.277570370000007</v>
      </c>
      <c r="CZ80" s="436">
        <v>57.276198210000004</v>
      </c>
      <c r="DA80" s="436">
        <v>55.833487549999994</v>
      </c>
      <c r="DB80" s="436">
        <v>61.062275380000003</v>
      </c>
      <c r="DC80" s="436">
        <v>59.272628750000003</v>
      </c>
      <c r="DD80" s="436">
        <v>60.745875379999994</v>
      </c>
      <c r="DE80" s="436">
        <v>54.220516029999999</v>
      </c>
      <c r="DF80" s="436">
        <v>56.449836439999999</v>
      </c>
      <c r="DH80" s="430"/>
    </row>
    <row r="81" spans="1:112" ht="15.95" customHeight="1">
      <c r="A81" s="431" t="s">
        <v>284</v>
      </c>
      <c r="B81" s="432">
        <v>4985.5881300137844</v>
      </c>
      <c r="C81" s="433">
        <v>4973.3854329441583</v>
      </c>
      <c r="D81" s="433">
        <v>5117.6920774349583</v>
      </c>
      <c r="E81" s="434">
        <v>5162.7798197499997</v>
      </c>
      <c r="F81" s="433">
        <v>5195.6884181699997</v>
      </c>
      <c r="G81" s="433">
        <v>5451.6190059600003</v>
      </c>
      <c r="H81" s="433">
        <v>5703.0519891900003</v>
      </c>
      <c r="I81" s="433">
        <v>5832.4461439200004</v>
      </c>
      <c r="J81" s="433">
        <v>6049.4323743200002</v>
      </c>
      <c r="K81" s="434">
        <v>5908.5091365299995</v>
      </c>
      <c r="L81" s="433">
        <v>6084.6316566500009</v>
      </c>
      <c r="M81" s="433">
        <v>6354.5132222600005</v>
      </c>
      <c r="N81" s="433">
        <v>6155.4334126700005</v>
      </c>
      <c r="O81" s="434">
        <v>6532.083599652563</v>
      </c>
      <c r="P81" s="433">
        <v>6749.3780618454721</v>
      </c>
      <c r="Q81" s="433">
        <v>6780.0120413199984</v>
      </c>
      <c r="R81" s="434">
        <v>7531.3160710706006</v>
      </c>
      <c r="S81" s="433">
        <v>8068.8689569777998</v>
      </c>
      <c r="T81" s="433">
        <v>7976.3516802399981</v>
      </c>
      <c r="U81" s="435">
        <v>8093.5238207764642</v>
      </c>
      <c r="V81" s="435">
        <v>7627.3473524851206</v>
      </c>
      <c r="W81" s="435">
        <v>7530.7267078753011</v>
      </c>
      <c r="X81" s="435">
        <v>7613.0491966373693</v>
      </c>
      <c r="Y81" s="435">
        <v>7787.7307078923632</v>
      </c>
      <c r="Z81" s="435">
        <v>7646.5734623671451</v>
      </c>
      <c r="AA81" s="435">
        <v>7978.3813971136833</v>
      </c>
      <c r="AB81" s="435">
        <v>8202.4965196803005</v>
      </c>
      <c r="AC81" s="435">
        <v>8216.4144753625878</v>
      </c>
      <c r="AD81" s="435">
        <v>8445.4171966887043</v>
      </c>
      <c r="AE81" s="435">
        <v>8313.2633881516322</v>
      </c>
      <c r="AF81" s="435">
        <v>8210.2497804625746</v>
      </c>
      <c r="AG81" s="435">
        <v>8638.4868637595773</v>
      </c>
      <c r="AH81" s="435">
        <v>9305.6218423140381</v>
      </c>
      <c r="AI81" s="435">
        <v>7297.7562303122168</v>
      </c>
      <c r="AJ81" s="435">
        <v>6942.5228771129687</v>
      </c>
      <c r="AK81" s="435">
        <v>7100.0604267328245</v>
      </c>
      <c r="AL81" s="435">
        <v>7294.7218680612004</v>
      </c>
      <c r="AM81" s="438">
        <v>7737.019805747279</v>
      </c>
      <c r="AN81" s="438">
        <v>7725.9018817470196</v>
      </c>
      <c r="AO81" s="438">
        <v>8449.4269623768923</v>
      </c>
      <c r="AP81" s="438">
        <v>8695.070412247429</v>
      </c>
      <c r="AQ81" s="438">
        <v>8709.7096117975616</v>
      </c>
      <c r="AR81" s="432">
        <v>8390.984806074368</v>
      </c>
      <c r="AS81" s="432">
        <v>8701.0023998619999</v>
      </c>
      <c r="AT81" s="432">
        <v>9091.7459950394077</v>
      </c>
      <c r="AU81" s="432">
        <v>9415.2730051031376</v>
      </c>
      <c r="AV81" s="432">
        <v>9650.5098998491594</v>
      </c>
      <c r="AW81" s="436">
        <v>10028.74799746695</v>
      </c>
      <c r="AX81" s="436">
        <v>10145.336703401004</v>
      </c>
      <c r="AY81" s="436">
        <v>9738.3293424661751</v>
      </c>
      <c r="AZ81" s="436">
        <v>8000.89201702837</v>
      </c>
      <c r="BA81" s="436">
        <v>7884.1121131754171</v>
      </c>
      <c r="BB81" s="436">
        <v>8157.0803093493105</v>
      </c>
      <c r="BC81" s="436">
        <v>8452.5942556069567</v>
      </c>
      <c r="BD81" s="436">
        <v>8592.3067062856771</v>
      </c>
      <c r="BE81" s="436">
        <v>8582.5021862158301</v>
      </c>
      <c r="BF81" s="436">
        <v>8901.3210183974497</v>
      </c>
      <c r="BG81" s="436">
        <v>9028.1243912007048</v>
      </c>
      <c r="BH81" s="436">
        <v>9144.3209950438686</v>
      </c>
      <c r="BI81" s="436">
        <v>8614.4946968431268</v>
      </c>
      <c r="BJ81" s="436">
        <v>8510.237856021351</v>
      </c>
      <c r="BK81" s="436">
        <v>8663.1601747512395</v>
      </c>
      <c r="BL81" s="436">
        <v>9075.0741942869445</v>
      </c>
      <c r="BM81" s="436">
        <v>9495.2288243266521</v>
      </c>
      <c r="BN81" s="436">
        <v>9186.0038725419308</v>
      </c>
      <c r="BO81" s="436">
        <v>9327.5467709695313</v>
      </c>
      <c r="BP81" s="436">
        <v>9351.5060030443401</v>
      </c>
      <c r="BQ81" s="436">
        <v>9425.4223889500154</v>
      </c>
      <c r="BR81" s="436">
        <v>9442.6256074599787</v>
      </c>
      <c r="BS81" s="436">
        <v>9518.1802155073656</v>
      </c>
      <c r="BT81" s="436">
        <v>9618.0552619790633</v>
      </c>
      <c r="BU81" s="436">
        <v>9640.7782704845777</v>
      </c>
      <c r="BV81" s="436">
        <v>10281.433004448209</v>
      </c>
      <c r="BW81" s="436">
        <v>10808.052678977388</v>
      </c>
      <c r="BX81" s="436">
        <v>10893.465892825499</v>
      </c>
      <c r="BY81" s="436">
        <v>11019.207913240802</v>
      </c>
      <c r="BZ81" s="436">
        <v>11446.5</v>
      </c>
      <c r="CA81" s="436">
        <v>11943.433838760233</v>
      </c>
      <c r="CB81" s="436">
        <v>12617.90303496498</v>
      </c>
      <c r="CC81" s="436">
        <v>12411.06084720607</v>
      </c>
      <c r="CD81" s="436">
        <v>11716.649705504142</v>
      </c>
      <c r="CE81" s="436">
        <v>10414.332056649338</v>
      </c>
      <c r="CF81" s="436">
        <v>10699.671695048206</v>
      </c>
      <c r="CG81" s="436">
        <v>11728.172901860264</v>
      </c>
      <c r="CH81" s="436">
        <v>11873.6934935513</v>
      </c>
      <c r="CI81" s="436">
        <v>12308.660098071556</v>
      </c>
      <c r="CJ81" s="436">
        <v>12360.624914259924</v>
      </c>
      <c r="CK81" s="436">
        <v>12179.483919685807</v>
      </c>
      <c r="CL81" s="436">
        <v>12790.082113060556</v>
      </c>
      <c r="CM81" s="436">
        <v>12739.272478000217</v>
      </c>
      <c r="CN81" s="436">
        <v>12900.279403424031</v>
      </c>
      <c r="CO81" s="436">
        <v>12865.487584816965</v>
      </c>
      <c r="CP81" s="468">
        <v>13025.75712219122</v>
      </c>
      <c r="CQ81" s="436">
        <v>12838.533784005382</v>
      </c>
      <c r="CR81" s="436">
        <v>11417.145471002792</v>
      </c>
      <c r="CS81" s="436">
        <v>9815.0911670794885</v>
      </c>
      <c r="CT81" s="436">
        <v>9391.5480846527498</v>
      </c>
      <c r="CU81" s="436">
        <v>9763.3982950179234</v>
      </c>
      <c r="CV81" s="436">
        <v>10372.138648966094</v>
      </c>
      <c r="CW81" s="436">
        <v>10155.145720401993</v>
      </c>
      <c r="CX81" s="436">
        <v>10459.249506781667</v>
      </c>
      <c r="CY81" s="436">
        <v>10214.56876043597</v>
      </c>
      <c r="CZ81" s="436">
        <v>10677.725811559822</v>
      </c>
      <c r="DA81" s="436">
        <v>10849.193322530111</v>
      </c>
      <c r="DB81" s="436">
        <v>10087.056275024168</v>
      </c>
      <c r="DC81" s="436">
        <v>10431.548921219945</v>
      </c>
      <c r="DD81" s="436">
        <v>10554.673717964411</v>
      </c>
      <c r="DE81" s="436">
        <v>10472.561514414696</v>
      </c>
      <c r="DF81" s="436">
        <v>10626.377361476169</v>
      </c>
      <c r="DH81" s="430"/>
    </row>
    <row r="82" spans="1:112" ht="7.7" customHeight="1">
      <c r="A82" s="419"/>
      <c r="B82" s="420"/>
      <c r="C82" s="422"/>
      <c r="D82" s="422"/>
      <c r="E82" s="423"/>
      <c r="F82" s="422"/>
      <c r="G82" s="422"/>
      <c r="H82" s="433"/>
      <c r="I82" s="433"/>
      <c r="J82" s="433"/>
      <c r="K82" s="434"/>
      <c r="L82" s="433"/>
      <c r="M82" s="433"/>
      <c r="N82" s="433"/>
      <c r="O82" s="434"/>
      <c r="P82" s="433"/>
      <c r="Q82" s="433"/>
      <c r="R82" s="434"/>
      <c r="S82" s="433"/>
      <c r="T82" s="433"/>
      <c r="U82" s="435"/>
      <c r="V82" s="435"/>
      <c r="W82" s="435"/>
      <c r="X82" s="435"/>
      <c r="Y82" s="435"/>
      <c r="Z82" s="435"/>
      <c r="AA82" s="435"/>
      <c r="AB82" s="435"/>
      <c r="AC82" s="435"/>
      <c r="AD82" s="435"/>
      <c r="AE82" s="435"/>
      <c r="AF82" s="435"/>
      <c r="AG82" s="435"/>
      <c r="AH82" s="435"/>
      <c r="AI82" s="435"/>
      <c r="AJ82" s="435"/>
      <c r="AK82" s="435"/>
      <c r="AL82" s="435"/>
      <c r="AM82" s="426"/>
      <c r="AN82" s="426"/>
      <c r="AO82" s="426"/>
      <c r="AP82" s="426"/>
      <c r="AQ82" s="426"/>
      <c r="AR82" s="420"/>
      <c r="AS82" s="420"/>
      <c r="AT82" s="420"/>
      <c r="AU82" s="420"/>
      <c r="AV82" s="420"/>
      <c r="AW82" s="427"/>
      <c r="AX82" s="427"/>
      <c r="AY82" s="427"/>
      <c r="AZ82" s="427"/>
      <c r="BA82" s="427"/>
      <c r="BB82" s="427"/>
      <c r="BC82" s="427"/>
      <c r="BD82" s="427"/>
      <c r="BE82" s="427"/>
      <c r="BF82" s="427"/>
      <c r="BG82" s="427"/>
      <c r="BH82" s="427"/>
      <c r="BI82" s="427"/>
      <c r="BJ82" s="427"/>
      <c r="BK82" s="427"/>
      <c r="BL82" s="427"/>
      <c r="BM82" s="427"/>
      <c r="BN82" s="427"/>
      <c r="BO82" s="427"/>
      <c r="BP82" s="427"/>
      <c r="BQ82" s="427"/>
      <c r="BR82" s="427"/>
      <c r="BS82" s="427"/>
      <c r="BT82" s="427"/>
      <c r="BU82" s="427"/>
      <c r="BV82" s="427"/>
      <c r="BW82" s="427"/>
      <c r="BX82" s="427"/>
      <c r="BY82" s="427"/>
      <c r="BZ82" s="427"/>
      <c r="CA82" s="427"/>
      <c r="CB82" s="427"/>
      <c r="CC82" s="427"/>
      <c r="CD82" s="427"/>
      <c r="CE82" s="427"/>
      <c r="CF82" s="427"/>
      <c r="CG82" s="427"/>
      <c r="CH82" s="427"/>
      <c r="CI82" s="427"/>
      <c r="CJ82" s="427"/>
      <c r="CK82" s="427"/>
      <c r="CL82" s="427"/>
      <c r="CM82" s="427"/>
      <c r="CN82" s="427"/>
      <c r="CO82" s="427"/>
      <c r="CP82" s="467"/>
      <c r="CQ82" s="427"/>
      <c r="CR82" s="427"/>
      <c r="CS82" s="427"/>
      <c r="CT82" s="427"/>
      <c r="CU82" s="427"/>
      <c r="CV82" s="427"/>
      <c r="CW82" s="427"/>
      <c r="CX82" s="427"/>
      <c r="CY82" s="427"/>
      <c r="CZ82" s="427"/>
      <c r="DA82" s="427"/>
      <c r="DB82" s="427"/>
      <c r="DC82" s="427"/>
      <c r="DD82" s="427"/>
      <c r="DE82" s="427"/>
      <c r="DF82" s="427"/>
      <c r="DH82" s="430"/>
    </row>
    <row r="83" spans="1:112">
      <c r="A83" s="419" t="s">
        <v>336</v>
      </c>
      <c r="B83" s="420">
        <f>SUM(B85:B91)</f>
        <v>1288.4028966999999</v>
      </c>
      <c r="C83" s="422">
        <f>SUM(C85:C91)</f>
        <v>1142.4710314399999</v>
      </c>
      <c r="D83" s="422">
        <f>SUM(D85:D91)</f>
        <v>364.89010446999998</v>
      </c>
      <c r="E83" s="423">
        <f>SUM(E85:E91)</f>
        <v>371.53711342999998</v>
      </c>
      <c r="F83" s="422">
        <v>377.74261174999998</v>
      </c>
      <c r="G83" s="422">
        <v>361.2731708799999</v>
      </c>
      <c r="H83" s="422">
        <v>392.79629721999999</v>
      </c>
      <c r="I83" s="422">
        <v>395.96978152280002</v>
      </c>
      <c r="J83" s="422">
        <v>406.29339423999994</v>
      </c>
      <c r="K83" s="423">
        <v>392.84435288999998</v>
      </c>
      <c r="L83" s="422">
        <v>435.65119946000004</v>
      </c>
      <c r="M83" s="422">
        <v>464.57500348000002</v>
      </c>
      <c r="N83" s="422">
        <v>492.18883113999999</v>
      </c>
      <c r="O83" s="423">
        <v>485.78555505999992</v>
      </c>
      <c r="P83" s="422">
        <v>494.79382902999998</v>
      </c>
      <c r="Q83" s="422">
        <v>489.35476612000002</v>
      </c>
      <c r="R83" s="423">
        <v>512.43925998999998</v>
      </c>
      <c r="S83" s="422">
        <v>482.94430677999998</v>
      </c>
      <c r="T83" s="422">
        <v>523.65306783000005</v>
      </c>
      <c r="U83" s="425">
        <v>563.13052413000003</v>
      </c>
      <c r="V83" s="425">
        <v>525.50622984999995</v>
      </c>
      <c r="W83" s="425">
        <v>541.17276724999999</v>
      </c>
      <c r="X83" s="425">
        <v>601.70877480000001</v>
      </c>
      <c r="Y83" s="425">
        <v>579.38835280000001</v>
      </c>
      <c r="Z83" s="425">
        <v>599.22890469000004</v>
      </c>
      <c r="AA83" s="425">
        <v>578.31237429000009</v>
      </c>
      <c r="AB83" s="425">
        <v>627.31717042000002</v>
      </c>
      <c r="AC83" s="425">
        <v>614.52894823999998</v>
      </c>
      <c r="AD83" s="425">
        <v>619.44313608000004</v>
      </c>
      <c r="AE83" s="425">
        <v>644.72197798000002</v>
      </c>
      <c r="AF83" s="425">
        <v>669.98763797000004</v>
      </c>
      <c r="AG83" s="425">
        <v>875.19918820237604</v>
      </c>
      <c r="AH83" s="425">
        <v>905.16163470832009</v>
      </c>
      <c r="AI83" s="425">
        <v>908.12934231320014</v>
      </c>
      <c r="AJ83" s="425">
        <v>881.49437006085202</v>
      </c>
      <c r="AK83" s="425">
        <v>918.61654992675187</v>
      </c>
      <c r="AL83" s="425">
        <v>924.92525241010003</v>
      </c>
      <c r="AM83" s="426">
        <v>913.10821523229492</v>
      </c>
      <c r="AN83" s="426">
        <v>912.74951691573392</v>
      </c>
      <c r="AO83" s="426">
        <v>954.65386559680007</v>
      </c>
      <c r="AP83" s="426">
        <v>972.78625592079709</v>
      </c>
      <c r="AQ83" s="426">
        <v>961.43556071123601</v>
      </c>
      <c r="AR83" s="420">
        <v>935.60417892166424</v>
      </c>
      <c r="AS83" s="420">
        <v>972.64749743000004</v>
      </c>
      <c r="AT83" s="420">
        <v>1006.2832463537439</v>
      </c>
      <c r="AU83" s="420">
        <v>974.55496344596088</v>
      </c>
      <c r="AV83" s="420">
        <v>1145.2025050770162</v>
      </c>
      <c r="AW83" s="427">
        <v>1102.7026943426999</v>
      </c>
      <c r="AX83" s="427">
        <v>1244.6777932577199</v>
      </c>
      <c r="AY83" s="427">
        <v>1178.324305945951</v>
      </c>
      <c r="AZ83" s="427">
        <v>1147.4822046049328</v>
      </c>
      <c r="BA83" s="427">
        <v>1226.0130953266641</v>
      </c>
      <c r="BB83" s="427">
        <v>1130.831365794076</v>
      </c>
      <c r="BC83" s="427">
        <v>1161.0049242005227</v>
      </c>
      <c r="BD83" s="427">
        <v>1138.1084595318023</v>
      </c>
      <c r="BE83" s="427">
        <v>1123.993487389524</v>
      </c>
      <c r="BF83" s="427">
        <v>1133.0116091832831</v>
      </c>
      <c r="BG83" s="427">
        <v>1305.724522441257</v>
      </c>
      <c r="BH83" s="427">
        <v>1224.3618363164971</v>
      </c>
      <c r="BI83" s="427">
        <v>1163.8796294166771</v>
      </c>
      <c r="BJ83" s="427">
        <v>1237.3087397362349</v>
      </c>
      <c r="BK83" s="427">
        <v>1102.0277948633261</v>
      </c>
      <c r="BL83" s="427">
        <v>1174.2555251794386</v>
      </c>
      <c r="BM83" s="427">
        <v>1155.302251097108</v>
      </c>
      <c r="BN83" s="427">
        <v>1085.1373713034893</v>
      </c>
      <c r="BO83" s="427">
        <v>1086.6804317518943</v>
      </c>
      <c r="BP83" s="427">
        <v>1071.348358192444</v>
      </c>
      <c r="BQ83" s="427">
        <v>1073.1653971900901</v>
      </c>
      <c r="BR83" s="427">
        <v>1065.5033262616471</v>
      </c>
      <c r="BS83" s="427">
        <v>1045.2787308082959</v>
      </c>
      <c r="BT83" s="427">
        <v>1041.0996945637849</v>
      </c>
      <c r="BU83" s="427">
        <v>1060.6760272550459</v>
      </c>
      <c r="BV83" s="427">
        <v>1176.4084249068701</v>
      </c>
      <c r="BW83" s="427">
        <v>1185.024616495182</v>
      </c>
      <c r="BX83" s="427">
        <v>1162.3262351214998</v>
      </c>
      <c r="BY83" s="427">
        <v>1183.6110580476</v>
      </c>
      <c r="BZ83" s="427">
        <v>1195.5999999999999</v>
      </c>
      <c r="CA83" s="427">
        <v>1192.1574438227958</v>
      </c>
      <c r="CB83" s="427">
        <v>1073.6470583212299</v>
      </c>
      <c r="CC83" s="427">
        <v>1077.9918923652272</v>
      </c>
      <c r="CD83" s="427">
        <v>1084.1454481332021</v>
      </c>
      <c r="CE83" s="427">
        <v>1103.6823464717027</v>
      </c>
      <c r="CF83" s="427">
        <v>1119.5677648416001</v>
      </c>
      <c r="CG83" s="427">
        <v>1230.3950879736667</v>
      </c>
      <c r="CH83" s="427">
        <v>1236.8341882504856</v>
      </c>
      <c r="CI83" s="427">
        <v>1315.6299738747839</v>
      </c>
      <c r="CJ83" s="427">
        <v>1204.5498861639221</v>
      </c>
      <c r="CK83" s="427">
        <v>1224.7085962183671</v>
      </c>
      <c r="CL83" s="427">
        <v>1222.2855631336461</v>
      </c>
      <c r="CM83" s="427">
        <v>1253.1570082457781</v>
      </c>
      <c r="CN83" s="427">
        <v>1340.4090720608729</v>
      </c>
      <c r="CO83" s="427">
        <v>1285.152678053041</v>
      </c>
      <c r="CP83" s="467">
        <v>1203.5330269084211</v>
      </c>
      <c r="CQ83" s="427">
        <v>1185.2295300993678</v>
      </c>
      <c r="CR83" s="427">
        <v>1050.9601270441888</v>
      </c>
      <c r="CS83" s="427">
        <v>1084.9958140152501</v>
      </c>
      <c r="CT83" s="427">
        <v>1375.5698792012197</v>
      </c>
      <c r="CU83" s="427">
        <v>1370.2377132451343</v>
      </c>
      <c r="CV83" s="427">
        <v>1350.585967172934</v>
      </c>
      <c r="CW83" s="427">
        <v>1373.4327111839955</v>
      </c>
      <c r="CX83" s="427">
        <v>1332.5046689217406</v>
      </c>
      <c r="CY83" s="427">
        <v>1336.7554205829538</v>
      </c>
      <c r="CZ83" s="427">
        <v>1252.3352645025147</v>
      </c>
      <c r="DA83" s="427">
        <v>1273.5328912109403</v>
      </c>
      <c r="DB83" s="427">
        <v>1289.9589856081277</v>
      </c>
      <c r="DC83" s="427">
        <v>1317.3019212758447</v>
      </c>
      <c r="DD83" s="427">
        <v>2009.7277145174887</v>
      </c>
      <c r="DE83" s="427">
        <v>1244.4504689778098</v>
      </c>
      <c r="DF83" s="427">
        <v>1227.2223286829815</v>
      </c>
      <c r="DH83" s="430"/>
    </row>
    <row r="84" spans="1:112">
      <c r="A84" s="431" t="s">
        <v>275</v>
      </c>
      <c r="B84" s="420"/>
      <c r="C84" s="422"/>
      <c r="D84" s="422"/>
      <c r="E84" s="423"/>
      <c r="F84" s="422"/>
      <c r="G84" s="422"/>
      <c r="H84" s="433"/>
      <c r="I84" s="433"/>
      <c r="J84" s="433"/>
      <c r="K84" s="434"/>
      <c r="L84" s="433"/>
      <c r="M84" s="433"/>
      <c r="N84" s="433"/>
      <c r="O84" s="434"/>
      <c r="P84" s="433"/>
      <c r="Q84" s="433"/>
      <c r="R84" s="434"/>
      <c r="S84" s="433"/>
      <c r="T84" s="433"/>
      <c r="U84" s="435"/>
      <c r="V84" s="435"/>
      <c r="W84" s="435"/>
      <c r="X84" s="435"/>
      <c r="Y84" s="435"/>
      <c r="Z84" s="435"/>
      <c r="AA84" s="435"/>
      <c r="AB84" s="435"/>
      <c r="AC84" s="435"/>
      <c r="AD84" s="435"/>
      <c r="AE84" s="435"/>
      <c r="AF84" s="435"/>
      <c r="AG84" s="435"/>
      <c r="AH84" s="435"/>
      <c r="AI84" s="435"/>
      <c r="AJ84" s="435"/>
      <c r="AK84" s="435"/>
      <c r="AL84" s="435"/>
      <c r="AM84" s="426"/>
      <c r="AN84" s="426"/>
      <c r="AO84" s="426"/>
      <c r="AP84" s="426"/>
      <c r="AQ84" s="426"/>
      <c r="AR84" s="420"/>
      <c r="AS84" s="420"/>
      <c r="AT84" s="420"/>
      <c r="AU84" s="420"/>
      <c r="AV84" s="420"/>
      <c r="AW84" s="427"/>
      <c r="AX84" s="427"/>
      <c r="AY84" s="427"/>
      <c r="AZ84" s="427"/>
      <c r="BA84" s="427"/>
      <c r="BB84" s="427"/>
      <c r="BC84" s="427"/>
      <c r="BD84" s="427"/>
      <c r="BE84" s="427"/>
      <c r="BF84" s="427"/>
      <c r="BG84" s="427"/>
      <c r="BH84" s="427"/>
      <c r="BI84" s="427"/>
      <c r="BJ84" s="427"/>
      <c r="BK84" s="427"/>
      <c r="BL84" s="427"/>
      <c r="BM84" s="427"/>
      <c r="BN84" s="427"/>
      <c r="BO84" s="427"/>
      <c r="BP84" s="427"/>
      <c r="BQ84" s="427"/>
      <c r="BR84" s="427"/>
      <c r="BS84" s="427"/>
      <c r="BT84" s="427"/>
      <c r="BU84" s="427"/>
      <c r="BV84" s="427"/>
      <c r="BW84" s="427"/>
      <c r="BX84" s="427"/>
      <c r="BY84" s="427"/>
      <c r="BZ84" s="427"/>
      <c r="CA84" s="427"/>
      <c r="CB84" s="427"/>
      <c r="CC84" s="427"/>
      <c r="CD84" s="427"/>
      <c r="CE84" s="427"/>
      <c r="CF84" s="427"/>
      <c r="CG84" s="427"/>
      <c r="CH84" s="427"/>
      <c r="CI84" s="427"/>
      <c r="CJ84" s="427"/>
      <c r="CK84" s="427"/>
      <c r="CL84" s="427"/>
      <c r="CM84" s="427"/>
      <c r="CN84" s="427"/>
      <c r="CO84" s="427"/>
      <c r="CP84" s="467"/>
      <c r="CQ84" s="427"/>
      <c r="CR84" s="427"/>
      <c r="CS84" s="427"/>
      <c r="CT84" s="427"/>
      <c r="CU84" s="427"/>
      <c r="CV84" s="427"/>
      <c r="CW84" s="427"/>
      <c r="CX84" s="427"/>
      <c r="CY84" s="427"/>
      <c r="CZ84" s="427"/>
      <c r="DA84" s="427"/>
      <c r="DB84" s="427"/>
      <c r="DC84" s="427"/>
      <c r="DD84" s="427"/>
      <c r="DE84" s="427"/>
      <c r="DF84" s="427"/>
      <c r="DH84" s="430"/>
    </row>
    <row r="85" spans="1:112" ht="15.95" customHeight="1">
      <c r="A85" s="431" t="s">
        <v>337</v>
      </c>
      <c r="B85" s="432">
        <v>1003.3572246700001</v>
      </c>
      <c r="C85" s="433">
        <v>990.17613920999997</v>
      </c>
      <c r="D85" s="433">
        <v>215.02073419999999</v>
      </c>
      <c r="E85" s="434">
        <v>221.98029814999995</v>
      </c>
      <c r="F85" s="433">
        <v>196.36938244999999</v>
      </c>
      <c r="G85" s="433">
        <v>180.39305244999997</v>
      </c>
      <c r="H85" s="433">
        <v>201.92223041999998</v>
      </c>
      <c r="I85" s="433">
        <v>173.67776625279998</v>
      </c>
      <c r="J85" s="433">
        <v>179.38042033000002</v>
      </c>
      <c r="K85" s="434">
        <v>158.81067775</v>
      </c>
      <c r="L85" s="433">
        <v>168.05945237</v>
      </c>
      <c r="M85" s="433">
        <v>164.56924794000003</v>
      </c>
      <c r="N85" s="433">
        <v>179.80557682</v>
      </c>
      <c r="O85" s="434">
        <v>166.23065051</v>
      </c>
      <c r="P85" s="433">
        <v>169.56623184</v>
      </c>
      <c r="Q85" s="433">
        <v>166.04875318000001</v>
      </c>
      <c r="R85" s="434">
        <v>184.46480410999999</v>
      </c>
      <c r="S85" s="433">
        <v>168.46826140000002</v>
      </c>
      <c r="T85" s="433">
        <v>186.75646523</v>
      </c>
      <c r="U85" s="435">
        <v>204.83071408999999</v>
      </c>
      <c r="V85" s="435">
        <v>159.12027782999999</v>
      </c>
      <c r="W85" s="435">
        <v>164.30575118000002</v>
      </c>
      <c r="X85" s="435">
        <v>208.15284751999999</v>
      </c>
      <c r="Y85" s="435">
        <v>177.17968572999999</v>
      </c>
      <c r="Z85" s="435">
        <v>179.72442908000005</v>
      </c>
      <c r="AA85" s="435">
        <v>163.6702607</v>
      </c>
      <c r="AB85" s="435">
        <v>194.11456060000003</v>
      </c>
      <c r="AC85" s="435">
        <v>181.42659131000002</v>
      </c>
      <c r="AD85" s="435">
        <v>183.23072406</v>
      </c>
      <c r="AE85" s="435">
        <v>211.39669401999998</v>
      </c>
      <c r="AF85" s="435">
        <v>254.59472289000001</v>
      </c>
      <c r="AG85" s="435">
        <v>219.42867057999999</v>
      </c>
      <c r="AH85" s="435">
        <v>254.90609262000001</v>
      </c>
      <c r="AI85" s="435">
        <v>238.30351843</v>
      </c>
      <c r="AJ85" s="435">
        <v>236.07852179000002</v>
      </c>
      <c r="AK85" s="435">
        <v>248.97932025</v>
      </c>
      <c r="AL85" s="435">
        <v>239.93421801000002</v>
      </c>
      <c r="AM85" s="438">
        <v>217.57599929</v>
      </c>
      <c r="AN85" s="438">
        <v>210.66561617000002</v>
      </c>
      <c r="AO85" s="438">
        <v>262.96666052</v>
      </c>
      <c r="AP85" s="438">
        <v>225.77103247660003</v>
      </c>
      <c r="AQ85" s="438">
        <v>224.08543610160001</v>
      </c>
      <c r="AR85" s="432">
        <v>231.24230522960002</v>
      </c>
      <c r="AS85" s="432">
        <v>236.88848839000002</v>
      </c>
      <c r="AT85" s="432">
        <v>181.029583328</v>
      </c>
      <c r="AU85" s="432">
        <v>188.22738373880003</v>
      </c>
      <c r="AV85" s="432">
        <v>196.95278670100001</v>
      </c>
      <c r="AW85" s="436">
        <v>185.25011029319998</v>
      </c>
      <c r="AX85" s="436">
        <v>306.73583615759998</v>
      </c>
      <c r="AY85" s="436">
        <v>251.26642658920002</v>
      </c>
      <c r="AZ85" s="436">
        <v>197.22532055729997</v>
      </c>
      <c r="BA85" s="436">
        <v>274.34911475900009</v>
      </c>
      <c r="BB85" s="436">
        <v>193.47024474830002</v>
      </c>
      <c r="BC85" s="436">
        <v>206.91007548119998</v>
      </c>
      <c r="BD85" s="436">
        <v>215.83015771499998</v>
      </c>
      <c r="BE85" s="436">
        <v>207.41798266519996</v>
      </c>
      <c r="BF85" s="436">
        <v>203.47366546500001</v>
      </c>
      <c r="BG85" s="436">
        <v>205.13348557200004</v>
      </c>
      <c r="BH85" s="436">
        <v>285.42884916269998</v>
      </c>
      <c r="BI85" s="436">
        <v>339.10770391759996</v>
      </c>
      <c r="BJ85" s="436">
        <v>424.96512534879992</v>
      </c>
      <c r="BK85" s="436">
        <v>256.48091189859997</v>
      </c>
      <c r="BL85" s="436">
        <v>324.61175804378843</v>
      </c>
      <c r="BM85" s="436">
        <v>300.32245418939993</v>
      </c>
      <c r="BN85" s="436">
        <v>256.75641149479998</v>
      </c>
      <c r="BO85" s="436">
        <v>251.25756277279999</v>
      </c>
      <c r="BP85" s="436">
        <v>242.95102314580001</v>
      </c>
      <c r="BQ85" s="436">
        <v>246.05658869679999</v>
      </c>
      <c r="BR85" s="436">
        <v>247.79219444950002</v>
      </c>
      <c r="BS85" s="436">
        <v>252.7615975352</v>
      </c>
      <c r="BT85" s="436">
        <v>255.26522692211003</v>
      </c>
      <c r="BU85" s="436">
        <v>262.26037256841801</v>
      </c>
      <c r="BV85" s="436">
        <v>244.542399468474</v>
      </c>
      <c r="BW85" s="436">
        <v>249.18572984496501</v>
      </c>
      <c r="BX85" s="436">
        <v>242.13766908349999</v>
      </c>
      <c r="BY85" s="436">
        <v>244.60551647039998</v>
      </c>
      <c r="BZ85" s="436">
        <v>249.7</v>
      </c>
      <c r="CA85" s="436">
        <v>239.05725530160001</v>
      </c>
      <c r="CB85" s="436">
        <v>223.12175609920001</v>
      </c>
      <c r="CC85" s="436">
        <v>222.00437685750001</v>
      </c>
      <c r="CD85" s="436">
        <v>225.39189220846197</v>
      </c>
      <c r="CE85" s="436">
        <v>228.25089033133003</v>
      </c>
      <c r="CF85" s="436">
        <v>260.344546273844</v>
      </c>
      <c r="CG85" s="436">
        <v>403.9193663578933</v>
      </c>
      <c r="CH85" s="436">
        <v>422.73584837028716</v>
      </c>
      <c r="CI85" s="436">
        <v>498.70842374931783</v>
      </c>
      <c r="CJ85" s="436">
        <v>449.50701056563202</v>
      </c>
      <c r="CK85" s="436">
        <v>457.74191750031201</v>
      </c>
      <c r="CL85" s="436">
        <v>436.37944778426061</v>
      </c>
      <c r="CM85" s="436">
        <v>454.40869176505646</v>
      </c>
      <c r="CN85" s="436">
        <v>544.47681704779188</v>
      </c>
      <c r="CO85" s="436">
        <v>498.23170117533186</v>
      </c>
      <c r="CP85" s="468">
        <v>429.92996635384986</v>
      </c>
      <c r="CQ85" s="436">
        <v>536.90287988065995</v>
      </c>
      <c r="CR85" s="436">
        <v>526.45395714839992</v>
      </c>
      <c r="CS85" s="436">
        <v>558.27703357620783</v>
      </c>
      <c r="CT85" s="436">
        <v>832.16802287475002</v>
      </c>
      <c r="CU85" s="436">
        <v>838.31134106369711</v>
      </c>
      <c r="CV85" s="436">
        <v>821.7342159315341</v>
      </c>
      <c r="CW85" s="436">
        <v>822.7100180825546</v>
      </c>
      <c r="CX85" s="436">
        <v>826.17907805708876</v>
      </c>
      <c r="CY85" s="436">
        <v>812.0897602953728</v>
      </c>
      <c r="CZ85" s="436">
        <v>779.39175986923283</v>
      </c>
      <c r="DA85" s="436">
        <v>782.00286858929098</v>
      </c>
      <c r="DB85" s="436">
        <v>784.65236538743227</v>
      </c>
      <c r="DC85" s="436">
        <v>780.3561318879166</v>
      </c>
      <c r="DD85" s="436">
        <v>1529.8206326550162</v>
      </c>
      <c r="DE85" s="436">
        <v>763.18501363538701</v>
      </c>
      <c r="DF85" s="436">
        <v>756.57795844539646</v>
      </c>
      <c r="DH85" s="430"/>
    </row>
    <row r="86" spans="1:112" ht="15.95" customHeight="1">
      <c r="A86" s="431" t="s">
        <v>338</v>
      </c>
      <c r="B86" s="432">
        <v>0.69274532</v>
      </c>
      <c r="C86" s="433">
        <v>0.66161731999999995</v>
      </c>
      <c r="D86" s="433">
        <v>0.27465232000000001</v>
      </c>
      <c r="E86" s="434">
        <v>0.14202632000000001</v>
      </c>
      <c r="F86" s="433">
        <v>0.13103186</v>
      </c>
      <c r="G86" s="433">
        <v>0.24168931999999999</v>
      </c>
      <c r="H86" s="433">
        <v>0.25872931999999998</v>
      </c>
      <c r="I86" s="433">
        <v>0.28362831999999999</v>
      </c>
      <c r="J86" s="433">
        <v>0.28638832000000003</v>
      </c>
      <c r="K86" s="434">
        <v>1.7274504099999999</v>
      </c>
      <c r="L86" s="433">
        <v>27.220345469999998</v>
      </c>
      <c r="M86" s="433">
        <v>65.214018910000007</v>
      </c>
      <c r="N86" s="433">
        <v>93.588372230000004</v>
      </c>
      <c r="O86" s="434">
        <v>106.64346950999999</v>
      </c>
      <c r="P86" s="433">
        <v>113.03227240000001</v>
      </c>
      <c r="Q86" s="433">
        <v>117.39399884000001</v>
      </c>
      <c r="R86" s="434">
        <v>122.96482440999999</v>
      </c>
      <c r="S86" s="433">
        <v>132.68995436999998</v>
      </c>
      <c r="T86" s="433">
        <v>159.77552125</v>
      </c>
      <c r="U86" s="435">
        <v>164.5992067</v>
      </c>
      <c r="V86" s="435">
        <v>179.22844996999999</v>
      </c>
      <c r="W86" s="435">
        <v>184.32212657999997</v>
      </c>
      <c r="X86" s="435">
        <v>194.23318760999996</v>
      </c>
      <c r="Y86" s="435">
        <v>195.56070651999994</v>
      </c>
      <c r="Z86" s="435">
        <v>221.84858540000002</v>
      </c>
      <c r="AA86" s="435">
        <v>226.38540115999999</v>
      </c>
      <c r="AB86" s="435">
        <v>245.87974885000003</v>
      </c>
      <c r="AC86" s="435">
        <v>250.15751631999998</v>
      </c>
      <c r="AD86" s="435">
        <v>247.13055068999998</v>
      </c>
      <c r="AE86" s="435">
        <v>247.61354051000001</v>
      </c>
      <c r="AF86" s="435">
        <v>227.39873095999997</v>
      </c>
      <c r="AG86" s="435">
        <v>223.87538663999999</v>
      </c>
      <c r="AH86" s="435">
        <v>225.03130724000002</v>
      </c>
      <c r="AI86" s="435">
        <v>227.25464790999999</v>
      </c>
      <c r="AJ86" s="435">
        <v>214.41177765</v>
      </c>
      <c r="AK86" s="435">
        <v>226.21673707999994</v>
      </c>
      <c r="AL86" s="435">
        <v>228.80407049999999</v>
      </c>
      <c r="AM86" s="438">
        <v>217.30634305000001</v>
      </c>
      <c r="AN86" s="438">
        <v>233.65335765</v>
      </c>
      <c r="AO86" s="438">
        <v>238.91322309000003</v>
      </c>
      <c r="AP86" s="438">
        <v>257.98632599000001</v>
      </c>
      <c r="AQ86" s="438">
        <v>249.25280749000001</v>
      </c>
      <c r="AR86" s="432">
        <v>247.67783625000001</v>
      </c>
      <c r="AS86" s="432">
        <v>253.48509066</v>
      </c>
      <c r="AT86" s="432">
        <v>308.40863846999997</v>
      </c>
      <c r="AU86" s="432">
        <v>303.74237059999996</v>
      </c>
      <c r="AV86" s="432">
        <v>316.36196386</v>
      </c>
      <c r="AW86" s="436">
        <v>316.75506407</v>
      </c>
      <c r="AX86" s="436">
        <v>309.59709845999998</v>
      </c>
      <c r="AY86" s="436">
        <v>311.43951162999997</v>
      </c>
      <c r="AZ86" s="436">
        <v>302.01984916999993</v>
      </c>
      <c r="BA86" s="436">
        <v>291.15736994999997</v>
      </c>
      <c r="BB86" s="436">
        <v>297.84480109000003</v>
      </c>
      <c r="BC86" s="436">
        <v>288.90294362999998</v>
      </c>
      <c r="BD86" s="436">
        <v>264.04311855000003</v>
      </c>
      <c r="BE86" s="436">
        <v>264.68516525000001</v>
      </c>
      <c r="BF86" s="436">
        <v>271.55939524000001</v>
      </c>
      <c r="BG86" s="436">
        <v>271.02884849999998</v>
      </c>
      <c r="BH86" s="436">
        <v>273.57531112000004</v>
      </c>
      <c r="BI86" s="436">
        <v>247.33716596000002</v>
      </c>
      <c r="BJ86" s="436">
        <v>233.13455670999997</v>
      </c>
      <c r="BK86" s="436">
        <v>266.32883949000001</v>
      </c>
      <c r="BL86" s="436">
        <v>271.90960486000006</v>
      </c>
      <c r="BM86" s="436">
        <v>266.44189790000001</v>
      </c>
      <c r="BN86" s="436">
        <v>261.55825563175</v>
      </c>
      <c r="BO86" s="436">
        <v>268.16998295000002</v>
      </c>
      <c r="BP86" s="436">
        <v>267.61853050999997</v>
      </c>
      <c r="BQ86" s="436">
        <v>260.98292048999997</v>
      </c>
      <c r="BR86" s="436">
        <v>258.61594904999998</v>
      </c>
      <c r="BS86" s="436">
        <v>250.83898643999999</v>
      </c>
      <c r="BT86" s="436">
        <v>241.67748234000001</v>
      </c>
      <c r="BU86" s="436">
        <v>246.19869747000004</v>
      </c>
      <c r="BV86" s="436">
        <v>248.85800791000003</v>
      </c>
      <c r="BW86" s="436">
        <v>246.92093638999998</v>
      </c>
      <c r="BX86" s="436">
        <v>246.738968</v>
      </c>
      <c r="BY86" s="436">
        <v>256.77900899999997</v>
      </c>
      <c r="BZ86" s="436">
        <v>255.6</v>
      </c>
      <c r="CA86" s="436">
        <v>258.98447447999996</v>
      </c>
      <c r="CB86" s="436">
        <v>259.18894384999999</v>
      </c>
      <c r="CC86" s="436">
        <v>259.93746066</v>
      </c>
      <c r="CD86" s="436">
        <v>256.17625300999998</v>
      </c>
      <c r="CE86" s="436">
        <v>249.93565891999998</v>
      </c>
      <c r="CF86" s="436">
        <v>253.60360581999998</v>
      </c>
      <c r="CG86" s="436">
        <v>255.39421365999999</v>
      </c>
      <c r="CH86" s="436">
        <v>264.76110014</v>
      </c>
      <c r="CI86" s="436">
        <v>261.38856346000006</v>
      </c>
      <c r="CJ86" s="436">
        <v>252.94617406000003</v>
      </c>
      <c r="CK86" s="436">
        <v>253.98390782000001</v>
      </c>
      <c r="CL86" s="436">
        <v>251.01374727999999</v>
      </c>
      <c r="CM86" s="436">
        <v>252.89396282000001</v>
      </c>
      <c r="CN86" s="436">
        <v>247.84343826</v>
      </c>
      <c r="CO86" s="436">
        <v>243.08996217000001</v>
      </c>
      <c r="CP86" s="468">
        <v>246.77994147000001</v>
      </c>
      <c r="CQ86" s="436">
        <v>116.81339804000001</v>
      </c>
      <c r="CR86" s="436">
        <v>5.6238310399999998</v>
      </c>
      <c r="CS86" s="436">
        <v>6.0006972700000016</v>
      </c>
      <c r="CT86" s="436">
        <v>6.1138989400000003</v>
      </c>
      <c r="CU86" s="436">
        <v>5.5399524799999984</v>
      </c>
      <c r="CV86" s="436">
        <v>5.2206779400000007</v>
      </c>
      <c r="CW86" s="436">
        <v>5.4294547200000007</v>
      </c>
      <c r="CX86" s="436">
        <v>5.2941119699999994</v>
      </c>
      <c r="CY86" s="436">
        <v>5.4066203399999999</v>
      </c>
      <c r="CZ86" s="436">
        <v>5.1348933400000005</v>
      </c>
      <c r="DA86" s="436">
        <v>5.2320298799999998</v>
      </c>
      <c r="DB86" s="436">
        <v>5.2259854099999998</v>
      </c>
      <c r="DC86" s="436">
        <v>5.1571857199999993</v>
      </c>
      <c r="DD86" s="436">
        <v>4.5793302900000006</v>
      </c>
      <c r="DE86" s="436">
        <v>4.6517931500000005</v>
      </c>
      <c r="DF86" s="436">
        <v>4.6599851099999992</v>
      </c>
      <c r="DH86" s="430"/>
    </row>
    <row r="87" spans="1:112" ht="15.95" customHeight="1">
      <c r="A87" s="431" t="s">
        <v>339</v>
      </c>
      <c r="B87" s="432">
        <v>6.0675792799999995</v>
      </c>
      <c r="C87" s="433">
        <v>6.3799121000000003</v>
      </c>
      <c r="D87" s="433">
        <v>5.7025643199999996</v>
      </c>
      <c r="E87" s="434">
        <v>5.5092628999999995</v>
      </c>
      <c r="F87" s="433">
        <v>5.2635429900000004</v>
      </c>
      <c r="G87" s="433">
        <v>5.6278757300000004</v>
      </c>
      <c r="H87" s="433">
        <v>5.3140654899999999</v>
      </c>
      <c r="I87" s="433">
        <v>5.32739312</v>
      </c>
      <c r="J87" s="433">
        <v>5.5304802300000002</v>
      </c>
      <c r="K87" s="434">
        <v>5.0026731900000003</v>
      </c>
      <c r="L87" s="433">
        <v>4.2434131200000005</v>
      </c>
      <c r="M87" s="433">
        <v>4.7794964099999815</v>
      </c>
      <c r="N87" s="433">
        <v>3.3449213600000118</v>
      </c>
      <c r="O87" s="434">
        <v>4.3645148799999998</v>
      </c>
      <c r="P87" s="433">
        <v>4.125483259999986</v>
      </c>
      <c r="Q87" s="433">
        <v>4.2113440599999992</v>
      </c>
      <c r="R87" s="434">
        <v>4.18420813</v>
      </c>
      <c r="S87" s="433">
        <v>2.9359140299999997</v>
      </c>
      <c r="T87" s="433">
        <v>5.1041778499999992</v>
      </c>
      <c r="U87" s="435">
        <v>4.8015753099999996</v>
      </c>
      <c r="V87" s="435">
        <v>4.7329412300000007</v>
      </c>
      <c r="W87" s="435">
        <v>4.6795259600000003</v>
      </c>
      <c r="X87" s="435">
        <v>4.702836379999999</v>
      </c>
      <c r="Y87" s="435">
        <v>4.73150885</v>
      </c>
      <c r="Z87" s="435">
        <v>2.1199692799999998</v>
      </c>
      <c r="AA87" s="435">
        <v>2.9562785599999999</v>
      </c>
      <c r="AB87" s="435">
        <v>2.8312427599999999</v>
      </c>
      <c r="AC87" s="435">
        <v>3.4715882499999999</v>
      </c>
      <c r="AD87" s="435">
        <v>2.8188206899999999</v>
      </c>
      <c r="AE87" s="435">
        <v>3.5744988099999997</v>
      </c>
      <c r="AF87" s="435">
        <v>2.9232478199999998</v>
      </c>
      <c r="AG87" s="435">
        <v>234.58632690000002</v>
      </c>
      <c r="AH87" s="435">
        <v>233.60753159000001</v>
      </c>
      <c r="AI87" s="435">
        <v>233.60228148000002</v>
      </c>
      <c r="AJ87" s="435">
        <v>234.32091231999999</v>
      </c>
      <c r="AK87" s="435">
        <v>236.30657102000001</v>
      </c>
      <c r="AL87" s="435">
        <v>226.58450656999997</v>
      </c>
      <c r="AM87" s="438">
        <v>225.27045018999999</v>
      </c>
      <c r="AN87" s="438">
        <v>225.43403218</v>
      </c>
      <c r="AO87" s="438">
        <v>226.08997924000002</v>
      </c>
      <c r="AP87" s="438">
        <v>225.84874418999999</v>
      </c>
      <c r="AQ87" s="438">
        <v>228.13656768999999</v>
      </c>
      <c r="AR87" s="432">
        <v>219.38014188</v>
      </c>
      <c r="AS87" s="432">
        <v>213.3855557</v>
      </c>
      <c r="AT87" s="432">
        <v>213.79904245</v>
      </c>
      <c r="AU87" s="432">
        <v>214.54623911000002</v>
      </c>
      <c r="AV87" s="432">
        <v>214.72194997</v>
      </c>
      <c r="AW87" s="436">
        <v>214.13554803</v>
      </c>
      <c r="AX87" s="436">
        <v>203.95354651</v>
      </c>
      <c r="AY87" s="436">
        <v>203.59980625999998</v>
      </c>
      <c r="AZ87" s="436">
        <v>203.55187291999999</v>
      </c>
      <c r="BA87" s="436">
        <v>203.58630334</v>
      </c>
      <c r="BB87" s="436">
        <v>203.57906084000001</v>
      </c>
      <c r="BC87" s="436">
        <v>203.45796325999999</v>
      </c>
      <c r="BD87" s="436">
        <v>193.83738475999999</v>
      </c>
      <c r="BE87" s="436">
        <v>193.79641894</v>
      </c>
      <c r="BF87" s="436">
        <v>193.75864953999999</v>
      </c>
      <c r="BG87" s="436">
        <v>193.65226262000002</v>
      </c>
      <c r="BH87" s="436">
        <v>193.69717065999998</v>
      </c>
      <c r="BI87" s="436">
        <v>193.69332840000001</v>
      </c>
      <c r="BJ87" s="436">
        <v>184.11560825000001</v>
      </c>
      <c r="BK87" s="436">
        <v>184.04030236</v>
      </c>
      <c r="BL87" s="436">
        <v>184.21403699000001</v>
      </c>
      <c r="BM87" s="436">
        <v>184.30588549000001</v>
      </c>
      <c r="BN87" s="436">
        <v>184.31617674</v>
      </c>
      <c r="BO87" s="436">
        <v>184.30898919999998</v>
      </c>
      <c r="BP87" s="436">
        <v>174.59579892999997</v>
      </c>
      <c r="BQ87" s="436">
        <v>174.5394287</v>
      </c>
      <c r="BR87" s="436">
        <v>174.5150907</v>
      </c>
      <c r="BS87" s="436">
        <v>174.53697056000001</v>
      </c>
      <c r="BT87" s="436">
        <v>174.46204139</v>
      </c>
      <c r="BU87" s="436">
        <v>174.48525966</v>
      </c>
      <c r="BV87" s="436">
        <v>165.05113765000002</v>
      </c>
      <c r="BW87" s="436">
        <v>165.02227711</v>
      </c>
      <c r="BX87" s="436">
        <v>164.99763299999998</v>
      </c>
      <c r="BY87" s="436">
        <v>165.11437699999999</v>
      </c>
      <c r="BZ87" s="436">
        <v>165.2</v>
      </c>
      <c r="CA87" s="436">
        <v>165.41982898000001</v>
      </c>
      <c r="CB87" s="436">
        <v>155.66405348999999</v>
      </c>
      <c r="CC87" s="436">
        <v>155.58247512</v>
      </c>
      <c r="CD87" s="436">
        <v>155.53206240999998</v>
      </c>
      <c r="CE87" s="436">
        <v>155.51997097</v>
      </c>
      <c r="CF87" s="436">
        <v>155.46880864999997</v>
      </c>
      <c r="CG87" s="436">
        <v>155.37889684000001</v>
      </c>
      <c r="CH87" s="436">
        <v>145.81984776000002</v>
      </c>
      <c r="CI87" s="436">
        <v>145.67974021000001</v>
      </c>
      <c r="CJ87" s="436">
        <v>146.32464302</v>
      </c>
      <c r="CK87" s="436">
        <v>146.38995348</v>
      </c>
      <c r="CL87" s="436">
        <v>146.39728055</v>
      </c>
      <c r="CM87" s="436">
        <v>146.38539861999999</v>
      </c>
      <c r="CN87" s="436">
        <v>136.94207484</v>
      </c>
      <c r="CO87" s="436">
        <v>136.93775564999999</v>
      </c>
      <c r="CP87" s="468">
        <v>136.77724720000001</v>
      </c>
      <c r="CQ87" s="436">
        <v>136.88843818999999</v>
      </c>
      <c r="CR87" s="436">
        <v>137.06781093000001</v>
      </c>
      <c r="CS87" s="436">
        <v>136.85389631000001</v>
      </c>
      <c r="CT87" s="436">
        <v>127.30109185999999</v>
      </c>
      <c r="CU87" s="436">
        <v>127.29734956</v>
      </c>
      <c r="CV87" s="436">
        <v>127.29398020000001</v>
      </c>
      <c r="CW87" s="436">
        <v>127.30244962</v>
      </c>
      <c r="CX87" s="436">
        <v>126.80610003</v>
      </c>
      <c r="CY87" s="436">
        <v>126.67771062999999</v>
      </c>
      <c r="CZ87" s="436">
        <v>117.05678791000001</v>
      </c>
      <c r="DA87" s="436">
        <v>116.92483731</v>
      </c>
      <c r="DB87" s="436">
        <v>116.8346667</v>
      </c>
      <c r="DC87" s="436">
        <v>115.84498125</v>
      </c>
      <c r="DD87" s="436">
        <v>115.94173655</v>
      </c>
      <c r="DE87" s="436">
        <v>115.88119394</v>
      </c>
      <c r="DF87" s="436">
        <v>106.26444859</v>
      </c>
      <c r="DH87" s="430"/>
    </row>
    <row r="88" spans="1:112" ht="15.95" customHeight="1">
      <c r="A88" s="431" t="s">
        <v>340</v>
      </c>
      <c r="B88" s="432">
        <v>64.305025139999998</v>
      </c>
      <c r="C88" s="433">
        <v>64.410387069999999</v>
      </c>
      <c r="D88" s="433">
        <v>62.527931809999998</v>
      </c>
      <c r="E88" s="434">
        <v>53.491311119999999</v>
      </c>
      <c r="F88" s="433">
        <v>72.454271090000006</v>
      </c>
      <c r="G88" s="433">
        <v>69.507567269999996</v>
      </c>
      <c r="H88" s="433">
        <v>75.590285519999995</v>
      </c>
      <c r="I88" s="433">
        <v>74.361456689999997</v>
      </c>
      <c r="J88" s="433">
        <v>72.97030676</v>
      </c>
      <c r="K88" s="434">
        <v>75.488963999999996</v>
      </c>
      <c r="L88" s="433">
        <v>83.428469750000005</v>
      </c>
      <c r="M88" s="433">
        <v>82.422700240000012</v>
      </c>
      <c r="N88" s="433">
        <v>75.975285179999986</v>
      </c>
      <c r="O88" s="434">
        <v>62.716257620000007</v>
      </c>
      <c r="P88" s="433">
        <v>63.299879750000002</v>
      </c>
      <c r="Q88" s="433">
        <v>61.133792390000004</v>
      </c>
      <c r="R88" s="434">
        <v>67.217385300000018</v>
      </c>
      <c r="S88" s="433">
        <v>49.633252129999995</v>
      </c>
      <c r="T88" s="433">
        <v>50.677388480000005</v>
      </c>
      <c r="U88" s="435">
        <v>63.656802670000005</v>
      </c>
      <c r="V88" s="435">
        <v>55.248537539999994</v>
      </c>
      <c r="W88" s="435">
        <v>58.833755610000004</v>
      </c>
      <c r="X88" s="435">
        <v>57.916210050000011</v>
      </c>
      <c r="Y88" s="435">
        <v>60.2835222</v>
      </c>
      <c r="Z88" s="435">
        <v>53.650485880000005</v>
      </c>
      <c r="AA88" s="435">
        <v>52.967518839999997</v>
      </c>
      <c r="AB88" s="435">
        <v>53.362233800000006</v>
      </c>
      <c r="AC88" s="435">
        <v>47.478002830000001</v>
      </c>
      <c r="AD88" s="435">
        <v>55.202753009999988</v>
      </c>
      <c r="AE88" s="435">
        <v>45.670907369999995</v>
      </c>
      <c r="AF88" s="435">
        <v>49.274646359999998</v>
      </c>
      <c r="AG88" s="435">
        <v>48.01154141</v>
      </c>
      <c r="AH88" s="435">
        <v>42.093704580000001</v>
      </c>
      <c r="AI88" s="435">
        <v>32.948458199999997</v>
      </c>
      <c r="AJ88" s="435">
        <v>35.583476000000005</v>
      </c>
      <c r="AK88" s="435">
        <v>43.305932970000008</v>
      </c>
      <c r="AL88" s="435">
        <v>53.374015479999997</v>
      </c>
      <c r="AM88" s="438">
        <v>46.158967839999995</v>
      </c>
      <c r="AN88" s="438">
        <v>54.347754619999996</v>
      </c>
      <c r="AO88" s="438">
        <v>48.525518700000006</v>
      </c>
      <c r="AP88" s="438">
        <v>52.860461799799992</v>
      </c>
      <c r="AQ88" s="438">
        <v>53.070695175200001</v>
      </c>
      <c r="AR88" s="432">
        <v>63.981940783999995</v>
      </c>
      <c r="AS88" s="432">
        <v>55.699059699999992</v>
      </c>
      <c r="AT88" s="432">
        <v>56.677409847200003</v>
      </c>
      <c r="AU88" s="432">
        <v>59.019868471200006</v>
      </c>
      <c r="AV88" s="432">
        <v>63.042268194000002</v>
      </c>
      <c r="AW88" s="436">
        <v>55.394679115200006</v>
      </c>
      <c r="AX88" s="436">
        <v>53.872736435199997</v>
      </c>
      <c r="AY88" s="436">
        <v>49.063188840800002</v>
      </c>
      <c r="AZ88" s="436">
        <v>53.4720252973</v>
      </c>
      <c r="BA88" s="436">
        <v>52.107485867799994</v>
      </c>
      <c r="BB88" s="436">
        <v>47.097178803000006</v>
      </c>
      <c r="BC88" s="436">
        <v>50.952590386399997</v>
      </c>
      <c r="BD88" s="436">
        <v>52.515943265000018</v>
      </c>
      <c r="BE88" s="436">
        <v>44.703751737499999</v>
      </c>
      <c r="BF88" s="436">
        <v>49.227843590000006</v>
      </c>
      <c r="BG88" s="436">
        <v>45.595012431999997</v>
      </c>
      <c r="BH88" s="436">
        <v>47.1451664792</v>
      </c>
      <c r="BI88" s="436">
        <v>50.2027641102</v>
      </c>
      <c r="BJ88" s="436">
        <v>50.072110066200004</v>
      </c>
      <c r="BK88" s="436">
        <v>54.903676090600008</v>
      </c>
      <c r="BL88" s="436">
        <v>53.200212702500004</v>
      </c>
      <c r="BM88" s="436">
        <v>52.8312616746</v>
      </c>
      <c r="BN88" s="436">
        <v>55.053590408799998</v>
      </c>
      <c r="BO88" s="436">
        <v>57.961530281199998</v>
      </c>
      <c r="BP88" s="436">
        <v>66.371450070899996</v>
      </c>
      <c r="BQ88" s="436">
        <v>68.323603144499984</v>
      </c>
      <c r="BR88" s="436">
        <v>60.966072810099995</v>
      </c>
      <c r="BS88" s="436">
        <v>56.997552879200015</v>
      </c>
      <c r="BT88" s="436">
        <v>53.629983508960009</v>
      </c>
      <c r="BU88" s="436">
        <v>60.554701980456002</v>
      </c>
      <c r="BV88" s="436">
        <v>55.701739239142</v>
      </c>
      <c r="BW88" s="436">
        <v>58.668343509259998</v>
      </c>
      <c r="BX88" s="436">
        <v>57.457198165000001</v>
      </c>
      <c r="BY88" s="436">
        <v>55.877334342600008</v>
      </c>
      <c r="BZ88" s="436">
        <v>56.2</v>
      </c>
      <c r="CA88" s="436">
        <v>53.228000044300003</v>
      </c>
      <c r="CB88" s="436">
        <v>53.528072708800003</v>
      </c>
      <c r="CC88" s="436">
        <v>52.917980476316998</v>
      </c>
      <c r="CD88" s="436">
        <v>62.460235662292007</v>
      </c>
      <c r="CE88" s="436">
        <v>62.935848441642207</v>
      </c>
      <c r="CF88" s="436">
        <v>62.663625340576239</v>
      </c>
      <c r="CG88" s="436">
        <v>65.742422482846678</v>
      </c>
      <c r="CH88" s="436">
        <v>60.632789729900004</v>
      </c>
      <c r="CI88" s="436">
        <v>62.870534400000004</v>
      </c>
      <c r="CJ88" s="436">
        <v>67.517907890000018</v>
      </c>
      <c r="CK88" s="436">
        <v>60.903891130000005</v>
      </c>
      <c r="CL88" s="436">
        <v>63.550595969999996</v>
      </c>
      <c r="CM88" s="436">
        <v>63.836284769999992</v>
      </c>
      <c r="CN88" s="436">
        <v>64.490997109999995</v>
      </c>
      <c r="CO88" s="436">
        <v>60.317251660000011</v>
      </c>
      <c r="CP88" s="468">
        <v>64.099128999999991</v>
      </c>
      <c r="CQ88" s="436">
        <v>69.426817790000001</v>
      </c>
      <c r="CR88" s="436">
        <v>69.655805470000004</v>
      </c>
      <c r="CS88" s="436">
        <v>69.590133350000002</v>
      </c>
      <c r="CT88" s="436">
        <v>78.614045930000017</v>
      </c>
      <c r="CU88" s="436">
        <v>77.726854810000006</v>
      </c>
      <c r="CV88" s="436">
        <v>73.146281900000005</v>
      </c>
      <c r="CW88" s="436">
        <v>75.100519570000003</v>
      </c>
      <c r="CX88" s="436">
        <v>82.259164069999997</v>
      </c>
      <c r="CY88" s="436">
        <v>57.754491030000004</v>
      </c>
      <c r="CZ88" s="436">
        <v>53.748318859999998</v>
      </c>
      <c r="DA88" s="436">
        <v>45.218840970000002</v>
      </c>
      <c r="DB88" s="436">
        <v>51.003858790000002</v>
      </c>
      <c r="DC88" s="436">
        <v>58.100974149999999</v>
      </c>
      <c r="DD88" s="436">
        <v>59.261466720000008</v>
      </c>
      <c r="DE88" s="436">
        <v>60.502115269999997</v>
      </c>
      <c r="DF88" s="436">
        <v>52.653595539999998</v>
      </c>
      <c r="DH88" s="430"/>
    </row>
    <row r="89" spans="1:112" ht="15.95" customHeight="1">
      <c r="A89" s="431" t="s">
        <v>341</v>
      </c>
      <c r="B89" s="432">
        <v>171.65605704000001</v>
      </c>
      <c r="C89" s="433">
        <v>33.317444590000001</v>
      </c>
      <c r="D89" s="433">
        <v>32.025845710000006</v>
      </c>
      <c r="E89" s="434">
        <v>34.958413289999996</v>
      </c>
      <c r="F89" s="433">
        <v>45.978065890000003</v>
      </c>
      <c r="G89" s="433">
        <v>50.347736910000002</v>
      </c>
      <c r="H89" s="433">
        <v>49.352268650000006</v>
      </c>
      <c r="I89" s="433">
        <v>82.946417170000004</v>
      </c>
      <c r="J89" s="433">
        <v>85.933542500000001</v>
      </c>
      <c r="K89" s="434">
        <v>89.194672460000007</v>
      </c>
      <c r="L89" s="433">
        <v>93.413848460000011</v>
      </c>
      <c r="M89" s="433">
        <v>94.379553670000007</v>
      </c>
      <c r="N89" s="433">
        <v>90.990209329999999</v>
      </c>
      <c r="O89" s="434">
        <v>94.149863209999992</v>
      </c>
      <c r="P89" s="433">
        <v>92.369877990000006</v>
      </c>
      <c r="Q89" s="433">
        <v>87.737623689999992</v>
      </c>
      <c r="R89" s="434">
        <v>87.24471521000001</v>
      </c>
      <c r="S89" s="433">
        <v>87.121757759999994</v>
      </c>
      <c r="T89" s="433">
        <v>85.740809509999991</v>
      </c>
      <c r="U89" s="435">
        <v>86.460201620000007</v>
      </c>
      <c r="V89" s="435">
        <v>88.641028899999995</v>
      </c>
      <c r="W89" s="435">
        <v>86.879794500000003</v>
      </c>
      <c r="X89" s="435">
        <v>89.822815009999999</v>
      </c>
      <c r="Y89" s="435">
        <v>89.170840589999997</v>
      </c>
      <c r="Z89" s="435">
        <v>88.372358590000005</v>
      </c>
      <c r="AA89" s="435">
        <v>80.77291922000002</v>
      </c>
      <c r="AB89" s="435">
        <v>81.217964789999996</v>
      </c>
      <c r="AC89" s="435">
        <v>80.568758670000008</v>
      </c>
      <c r="AD89" s="435">
        <v>76.571829509999986</v>
      </c>
      <c r="AE89" s="435">
        <v>80.062509559999995</v>
      </c>
      <c r="AF89" s="435">
        <v>77.912084700000023</v>
      </c>
      <c r="AG89" s="435">
        <v>76.315950380000004</v>
      </c>
      <c r="AH89" s="435">
        <v>73.958580850000004</v>
      </c>
      <c r="AI89" s="435">
        <v>68.50618252000001</v>
      </c>
      <c r="AJ89" s="435">
        <v>67.849605120000007</v>
      </c>
      <c r="AK89" s="435">
        <v>68.041894810000002</v>
      </c>
      <c r="AL89" s="435">
        <v>84.150337359999995</v>
      </c>
      <c r="AM89" s="438">
        <v>88.72816112000001</v>
      </c>
      <c r="AN89" s="438">
        <v>70.906875680000013</v>
      </c>
      <c r="AO89" s="438">
        <v>67.887707739999996</v>
      </c>
      <c r="AP89" s="438">
        <v>59.662527829999995</v>
      </c>
      <c r="AQ89" s="438">
        <v>61.711041339999994</v>
      </c>
      <c r="AR89" s="432">
        <v>64.561846590000002</v>
      </c>
      <c r="AS89" s="432">
        <v>65.349665520000002</v>
      </c>
      <c r="AT89" s="432">
        <v>66.132030009999994</v>
      </c>
      <c r="AU89" s="432">
        <v>68.530294299999994</v>
      </c>
      <c r="AV89" s="432">
        <v>67.346674230000005</v>
      </c>
      <c r="AW89" s="436">
        <v>68.428518339999997</v>
      </c>
      <c r="AX89" s="436">
        <v>67.595359039999991</v>
      </c>
      <c r="AY89" s="436">
        <v>70.949900530000008</v>
      </c>
      <c r="AZ89" s="436">
        <v>75.698302859999998</v>
      </c>
      <c r="BA89" s="436">
        <v>71.952421629999989</v>
      </c>
      <c r="BB89" s="436">
        <v>70.688085779999994</v>
      </c>
      <c r="BC89" s="436">
        <v>74.886116440000009</v>
      </c>
      <c r="BD89" s="436">
        <v>73.004373120000011</v>
      </c>
      <c r="BE89" s="436">
        <v>69.971568810000008</v>
      </c>
      <c r="BF89" s="436">
        <v>70.604772030000007</v>
      </c>
      <c r="BG89" s="436">
        <v>74.759382679999987</v>
      </c>
      <c r="BH89" s="436">
        <v>74.46674895999999</v>
      </c>
      <c r="BI89" s="436">
        <v>77.837999969999984</v>
      </c>
      <c r="BJ89" s="436">
        <v>77.776151370000008</v>
      </c>
      <c r="BK89" s="436">
        <v>81.26819024000001</v>
      </c>
      <c r="BL89" s="436">
        <v>84.65606695999999</v>
      </c>
      <c r="BM89" s="436">
        <v>86.687970650000011</v>
      </c>
      <c r="BN89" s="436">
        <v>76.606500778907304</v>
      </c>
      <c r="BO89" s="436">
        <v>80.129626369999997</v>
      </c>
      <c r="BP89" s="436">
        <v>76.146434189999994</v>
      </c>
      <c r="BQ89" s="436">
        <v>76.137253459999997</v>
      </c>
      <c r="BR89" s="436">
        <v>86.024590925200016</v>
      </c>
      <c r="BS89" s="436">
        <v>88.017500857999991</v>
      </c>
      <c r="BT89" s="436">
        <v>87.20189198885501</v>
      </c>
      <c r="BU89" s="436">
        <v>85.859602339001981</v>
      </c>
      <c r="BV89" s="436">
        <v>226.50688152617801</v>
      </c>
      <c r="BW89" s="436">
        <v>227.66101207839</v>
      </c>
      <c r="BX89" s="436">
        <v>230.08876346149998</v>
      </c>
      <c r="BY89" s="436">
        <v>239.28996293630001</v>
      </c>
      <c r="BZ89" s="436">
        <v>237</v>
      </c>
      <c r="CA89" s="436">
        <v>232.2070900443</v>
      </c>
      <c r="CB89" s="436">
        <v>239.4707059328</v>
      </c>
      <c r="CC89" s="436">
        <v>243.71081602237001</v>
      </c>
      <c r="CD89" s="436">
        <v>243.962094719954</v>
      </c>
      <c r="CE89" s="436">
        <v>241.43516961573351</v>
      </c>
      <c r="CF89" s="436">
        <v>242.29445710160002</v>
      </c>
      <c r="CG89" s="436">
        <v>96.027138010000002</v>
      </c>
      <c r="CH89" s="436">
        <v>97.850375230000012</v>
      </c>
      <c r="CI89" s="436">
        <v>99.224728550000009</v>
      </c>
      <c r="CJ89" s="436">
        <v>97.954183380000003</v>
      </c>
      <c r="CK89" s="436">
        <v>100.86540133999999</v>
      </c>
      <c r="CL89" s="436">
        <v>90.72438425</v>
      </c>
      <c r="CM89" s="436">
        <v>88.612013609999991</v>
      </c>
      <c r="CN89" s="436">
        <v>92.881800429999998</v>
      </c>
      <c r="CO89" s="436">
        <v>88.91664947999999</v>
      </c>
      <c r="CP89" s="468">
        <v>91.698979600000001</v>
      </c>
      <c r="CQ89" s="436">
        <v>92.021359369999999</v>
      </c>
      <c r="CR89" s="436">
        <v>93.928577939999997</v>
      </c>
      <c r="CS89" s="436">
        <v>98.989123570000004</v>
      </c>
      <c r="CT89" s="436">
        <v>90.918288380000021</v>
      </c>
      <c r="CU89" s="436">
        <v>91.066912460000012</v>
      </c>
      <c r="CV89" s="436">
        <v>89.96277465999998</v>
      </c>
      <c r="CW89" s="436">
        <v>85.893793500000001</v>
      </c>
      <c r="CX89" s="436">
        <v>73.588310719999996</v>
      </c>
      <c r="CY89" s="436">
        <v>72.161642999999998</v>
      </c>
      <c r="CZ89" s="436">
        <v>81.088658556183702</v>
      </c>
      <c r="DA89" s="436">
        <v>79.622661533098423</v>
      </c>
      <c r="DB89" s="436">
        <v>77.206293464550811</v>
      </c>
      <c r="DC89" s="436">
        <v>71.352654421427985</v>
      </c>
      <c r="DD89" s="436">
        <v>75.683002871389093</v>
      </c>
      <c r="DE89" s="436">
        <v>74.555756884214404</v>
      </c>
      <c r="DF89" s="436">
        <v>77.798387907891097</v>
      </c>
      <c r="DH89" s="430"/>
    </row>
    <row r="90" spans="1:112" ht="15.95" customHeight="1">
      <c r="A90" s="431" t="s">
        <v>342</v>
      </c>
      <c r="B90" s="432">
        <v>7.8734201000000006</v>
      </c>
      <c r="C90" s="433">
        <v>8.12423948</v>
      </c>
      <c r="D90" s="433">
        <v>7.4374948200000004</v>
      </c>
      <c r="E90" s="434">
        <v>15.363490969999999</v>
      </c>
      <c r="F90" s="433">
        <v>14.68003485</v>
      </c>
      <c r="G90" s="433">
        <v>14.86879944</v>
      </c>
      <c r="H90" s="433">
        <v>14.666910120000001</v>
      </c>
      <c r="I90" s="433">
        <v>14.995390180000001</v>
      </c>
      <c r="J90" s="433">
        <v>14.288696640000001</v>
      </c>
      <c r="K90" s="434">
        <v>14.823433869999999</v>
      </c>
      <c r="L90" s="433">
        <v>14.216058840000001</v>
      </c>
      <c r="M90" s="433">
        <v>14.1933004</v>
      </c>
      <c r="N90" s="433">
        <v>13.89542456</v>
      </c>
      <c r="O90" s="434">
        <v>14.277940580000003</v>
      </c>
      <c r="P90" s="433">
        <v>13.777528200000001</v>
      </c>
      <c r="Q90" s="433">
        <v>14.250351239999999</v>
      </c>
      <c r="R90" s="434">
        <v>6.6764971199999996</v>
      </c>
      <c r="S90" s="433">
        <v>6.8548293599999992</v>
      </c>
      <c r="T90" s="433">
        <v>5.5056059800000003</v>
      </c>
      <c r="U90" s="435">
        <v>6.72710074</v>
      </c>
      <c r="V90" s="435">
        <v>6.6411584599999998</v>
      </c>
      <c r="W90" s="435">
        <v>6.8288568300000003</v>
      </c>
      <c r="X90" s="435">
        <v>6.98856156</v>
      </c>
      <c r="Y90" s="435">
        <v>6.73687272</v>
      </c>
      <c r="Z90" s="435">
        <v>7.4647409799999993</v>
      </c>
      <c r="AA90" s="435">
        <v>7.1861999299999999</v>
      </c>
      <c r="AB90" s="435">
        <v>7.373802959999999</v>
      </c>
      <c r="AC90" s="435">
        <v>6.9942047000000001</v>
      </c>
      <c r="AD90" s="435">
        <v>7.6367300800000004</v>
      </c>
      <c r="AE90" s="435">
        <v>8.1040530900000007</v>
      </c>
      <c r="AF90" s="435">
        <v>7.9350608200000003</v>
      </c>
      <c r="AG90" s="435">
        <v>7.8289382100000005</v>
      </c>
      <c r="AH90" s="435">
        <v>8.3825039399999994</v>
      </c>
      <c r="AI90" s="435">
        <v>31.542864260000002</v>
      </c>
      <c r="AJ90" s="435">
        <v>18.03628471</v>
      </c>
      <c r="AK90" s="435">
        <v>19.145671919999998</v>
      </c>
      <c r="AL90" s="435">
        <v>18.712149989999997</v>
      </c>
      <c r="AM90" s="438">
        <v>41.505096800000004</v>
      </c>
      <c r="AN90" s="438">
        <v>42.360433559999997</v>
      </c>
      <c r="AO90" s="438">
        <v>41.83166671</v>
      </c>
      <c r="AP90" s="438">
        <v>68.379420391599993</v>
      </c>
      <c r="AQ90" s="438">
        <v>59.1442670494</v>
      </c>
      <c r="AR90" s="432">
        <v>16.4931554996</v>
      </c>
      <c r="AS90" s="432">
        <v>44.900507609999991</v>
      </c>
      <c r="AT90" s="432">
        <v>72.50665291</v>
      </c>
      <c r="AU90" s="432">
        <v>26.51654826</v>
      </c>
      <c r="AV90" s="432">
        <v>57.734432510000005</v>
      </c>
      <c r="AW90" s="436">
        <v>23.938626840000001</v>
      </c>
      <c r="AX90" s="436">
        <v>48.143872219999999</v>
      </c>
      <c r="AY90" s="436">
        <v>28.353222479999999</v>
      </c>
      <c r="AZ90" s="436">
        <v>31.982017369999998</v>
      </c>
      <c r="BA90" s="436">
        <v>46.835380539999996</v>
      </c>
      <c r="BB90" s="436">
        <v>27.304262089999995</v>
      </c>
      <c r="BC90" s="436">
        <v>43.336962039999996</v>
      </c>
      <c r="BD90" s="436">
        <v>36.119298010000009</v>
      </c>
      <c r="BE90" s="436">
        <v>31.421963569999999</v>
      </c>
      <c r="BF90" s="436">
        <v>44.027103930000003</v>
      </c>
      <c r="BG90" s="436">
        <v>42.438372439999995</v>
      </c>
      <c r="BH90" s="436">
        <v>45.179139249999999</v>
      </c>
      <c r="BI90" s="436">
        <v>43.399822940000007</v>
      </c>
      <c r="BJ90" s="436">
        <v>34.93027867</v>
      </c>
      <c r="BK90" s="436">
        <v>30.263303269999994</v>
      </c>
      <c r="BL90" s="436">
        <v>39.21497875</v>
      </c>
      <c r="BM90" s="436">
        <v>44.532608019999998</v>
      </c>
      <c r="BN90" s="436">
        <v>41.192827639999997</v>
      </c>
      <c r="BO90" s="436">
        <v>29.850978990000002</v>
      </c>
      <c r="BP90" s="436">
        <v>39.425444129999995</v>
      </c>
      <c r="BQ90" s="436">
        <v>36.882975649999999</v>
      </c>
      <c r="BR90" s="436">
        <v>26.469191049999999</v>
      </c>
      <c r="BS90" s="436">
        <v>32.950469429999998</v>
      </c>
      <c r="BT90" s="436">
        <v>39.605742369999994</v>
      </c>
      <c r="BU90" s="436">
        <v>40.789607630000006</v>
      </c>
      <c r="BV90" s="436">
        <v>25.394526640000002</v>
      </c>
      <c r="BW90" s="436">
        <v>47.133704529999996</v>
      </c>
      <c r="BX90" s="436">
        <v>26.737968890000005</v>
      </c>
      <c r="BY90" s="436">
        <v>26.272059080000002</v>
      </c>
      <c r="BZ90" s="436">
        <v>30.8</v>
      </c>
      <c r="CA90" s="436">
        <v>33.13356211</v>
      </c>
      <c r="CB90" s="436">
        <v>27.833203090000001</v>
      </c>
      <c r="CC90" s="436">
        <v>34.178283350000008</v>
      </c>
      <c r="CD90" s="436">
        <v>25.864871340000001</v>
      </c>
      <c r="CE90" s="436">
        <v>32.431764259999994</v>
      </c>
      <c r="CF90" s="436">
        <v>28.648397790000004</v>
      </c>
      <c r="CG90" s="436">
        <v>50.38823235000001</v>
      </c>
      <c r="CH90" s="436">
        <v>40.501472410000005</v>
      </c>
      <c r="CI90" s="436">
        <v>43.239404429999993</v>
      </c>
      <c r="CJ90" s="436">
        <v>42.928889280000007</v>
      </c>
      <c r="CK90" s="436">
        <v>34.252710650000004</v>
      </c>
      <c r="CL90" s="436">
        <v>47.699756809999997</v>
      </c>
      <c r="CM90" s="436">
        <v>44.162795569999993</v>
      </c>
      <c r="CN90" s="436">
        <v>58.573878050000005</v>
      </c>
      <c r="CO90" s="436">
        <v>55.066359299999988</v>
      </c>
      <c r="CP90" s="468">
        <v>40.254336479999999</v>
      </c>
      <c r="CQ90" s="436">
        <v>37.934387520000001</v>
      </c>
      <c r="CR90" s="436">
        <v>30.141398909999999</v>
      </c>
      <c r="CS90" s="436">
        <v>23.714226109999995</v>
      </c>
      <c r="CT90" s="436">
        <v>37.06716883</v>
      </c>
      <c r="CU90" s="436">
        <v>32.434444190000001</v>
      </c>
      <c r="CV90" s="436">
        <v>46.275090080000005</v>
      </c>
      <c r="CW90" s="436">
        <v>63.554715440000003</v>
      </c>
      <c r="CX90" s="436">
        <v>39.878240130000002</v>
      </c>
      <c r="CY90" s="436">
        <v>41.779197780000004</v>
      </c>
      <c r="CZ90" s="436">
        <v>47.039528079999997</v>
      </c>
      <c r="DA90" s="436">
        <v>45.913244030000008</v>
      </c>
      <c r="DB90" s="436">
        <v>57.296017600000006</v>
      </c>
      <c r="DC90" s="436">
        <v>65.390123649999992</v>
      </c>
      <c r="DD90" s="436">
        <v>36.795868299999995</v>
      </c>
      <c r="DE90" s="436">
        <v>41.339515679999998</v>
      </c>
      <c r="DF90" s="436">
        <v>42.910654219999998</v>
      </c>
      <c r="DH90" s="430"/>
    </row>
    <row r="91" spans="1:112" ht="15.95" customHeight="1">
      <c r="A91" s="431" t="s">
        <v>284</v>
      </c>
      <c r="B91" s="432">
        <v>34.450845149999999</v>
      </c>
      <c r="C91" s="433">
        <v>39.401291669999999</v>
      </c>
      <c r="D91" s="433">
        <v>41.900881290000001</v>
      </c>
      <c r="E91" s="434">
        <v>40.092310679999997</v>
      </c>
      <c r="F91" s="433">
        <v>42.866282620000007</v>
      </c>
      <c r="G91" s="433">
        <v>40.286449760000004</v>
      </c>
      <c r="H91" s="433">
        <v>45.691807700000005</v>
      </c>
      <c r="I91" s="433">
        <v>44.377729790000004</v>
      </c>
      <c r="J91" s="433">
        <v>47.903559460000004</v>
      </c>
      <c r="K91" s="434">
        <v>47.79648121000001</v>
      </c>
      <c r="L91" s="433">
        <v>45.069611450000004</v>
      </c>
      <c r="M91" s="433">
        <v>39.01668591</v>
      </c>
      <c r="N91" s="433">
        <v>34.589041659999999</v>
      </c>
      <c r="O91" s="434">
        <v>37.40285875</v>
      </c>
      <c r="P91" s="433">
        <v>38.622555589999997</v>
      </c>
      <c r="Q91" s="433">
        <v>38.578902720000002</v>
      </c>
      <c r="R91" s="434">
        <v>39.686825710000001</v>
      </c>
      <c r="S91" s="433">
        <v>35.24033773</v>
      </c>
      <c r="T91" s="433">
        <v>30.093099529999996</v>
      </c>
      <c r="U91" s="435">
        <v>32.054923000000002</v>
      </c>
      <c r="V91" s="435">
        <v>31.893835920000001</v>
      </c>
      <c r="W91" s="435">
        <v>35.322956590000004</v>
      </c>
      <c r="X91" s="435">
        <v>39.892316670000007</v>
      </c>
      <c r="Y91" s="435">
        <v>45.725216189999998</v>
      </c>
      <c r="Z91" s="435">
        <v>46.048335479999999</v>
      </c>
      <c r="AA91" s="435">
        <v>44.373795880000003</v>
      </c>
      <c r="AB91" s="435">
        <v>42.537616660000005</v>
      </c>
      <c r="AC91" s="435">
        <v>44.432286159999997</v>
      </c>
      <c r="AD91" s="435">
        <v>46.851728039999998</v>
      </c>
      <c r="AE91" s="435">
        <v>48.299774620000001</v>
      </c>
      <c r="AF91" s="435">
        <v>49.949144420000003</v>
      </c>
      <c r="AG91" s="435">
        <v>65.152374082375999</v>
      </c>
      <c r="AH91" s="435">
        <v>67.181913888319997</v>
      </c>
      <c r="AI91" s="435">
        <v>75.971389513199995</v>
      </c>
      <c r="AJ91" s="435">
        <v>75.213792470851985</v>
      </c>
      <c r="AK91" s="435">
        <v>76.620421876752005</v>
      </c>
      <c r="AL91" s="435">
        <v>73.365954500099988</v>
      </c>
      <c r="AM91" s="438">
        <v>76.563196942294979</v>
      </c>
      <c r="AN91" s="438">
        <v>75.381447055734</v>
      </c>
      <c r="AO91" s="438">
        <v>68.439109596799995</v>
      </c>
      <c r="AP91" s="438">
        <v>82.277743242797001</v>
      </c>
      <c r="AQ91" s="438">
        <v>86.034745865036001</v>
      </c>
      <c r="AR91" s="432">
        <v>92.266952688464002</v>
      </c>
      <c r="AS91" s="432">
        <v>102.93912985000003</v>
      </c>
      <c r="AT91" s="432">
        <v>107.729889338544</v>
      </c>
      <c r="AU91" s="432">
        <v>113.97225896596099</v>
      </c>
      <c r="AV91" s="432">
        <v>229.04242961201598</v>
      </c>
      <c r="AW91" s="436">
        <v>238.80014765429999</v>
      </c>
      <c r="AX91" s="436">
        <v>254.77934443492001</v>
      </c>
      <c r="AY91" s="436">
        <v>263.65224961595101</v>
      </c>
      <c r="AZ91" s="436">
        <v>283.53281643033296</v>
      </c>
      <c r="BA91" s="436">
        <v>286.02501923986404</v>
      </c>
      <c r="BB91" s="436">
        <v>290.84773244277602</v>
      </c>
      <c r="BC91" s="436">
        <v>292.55827296292267</v>
      </c>
      <c r="BD91" s="436">
        <v>302.75818411180222</v>
      </c>
      <c r="BE91" s="436">
        <v>311.996636416824</v>
      </c>
      <c r="BF91" s="436">
        <v>300.36017938828309</v>
      </c>
      <c r="BG91" s="436">
        <v>473.11715819725703</v>
      </c>
      <c r="BH91" s="436">
        <v>304.86945068459704</v>
      </c>
      <c r="BI91" s="436">
        <v>212.300844118877</v>
      </c>
      <c r="BJ91" s="436">
        <v>232.31490932123504</v>
      </c>
      <c r="BK91" s="436">
        <v>228.74257151412601</v>
      </c>
      <c r="BL91" s="436">
        <v>216.44886687315</v>
      </c>
      <c r="BM91" s="436">
        <v>220.18017317310799</v>
      </c>
      <c r="BN91" s="436">
        <v>209.65360860923204</v>
      </c>
      <c r="BO91" s="436">
        <v>215.001761187894</v>
      </c>
      <c r="BP91" s="436">
        <v>204.239677215744</v>
      </c>
      <c r="BQ91" s="436">
        <v>210.24262704879001</v>
      </c>
      <c r="BR91" s="436">
        <v>211.12023727684701</v>
      </c>
      <c r="BS91" s="436">
        <v>189.17565310589603</v>
      </c>
      <c r="BT91" s="436">
        <v>189.25732604385999</v>
      </c>
      <c r="BU91" s="436">
        <v>190.52778560716999</v>
      </c>
      <c r="BV91" s="436">
        <v>210.35373247307604</v>
      </c>
      <c r="BW91" s="436">
        <v>190.43261303256702</v>
      </c>
      <c r="BX91" s="436">
        <v>194.16803452149998</v>
      </c>
      <c r="BY91" s="436">
        <v>195.67279921830001</v>
      </c>
      <c r="BZ91" s="436">
        <v>201.2</v>
      </c>
      <c r="CA91" s="436">
        <v>210.127232862596</v>
      </c>
      <c r="CB91" s="436">
        <v>114.84032315042998</v>
      </c>
      <c r="CC91" s="436">
        <v>109.66049987904</v>
      </c>
      <c r="CD91" s="436">
        <v>114.75803878249401</v>
      </c>
      <c r="CE91" s="436">
        <v>133.17304393299699</v>
      </c>
      <c r="CF91" s="436">
        <v>116.54432386558001</v>
      </c>
      <c r="CG91" s="436">
        <v>203.54481827292668</v>
      </c>
      <c r="CH91" s="436">
        <v>204.53275461029818</v>
      </c>
      <c r="CI91" s="436">
        <v>204.51857907546582</v>
      </c>
      <c r="CJ91" s="436">
        <v>147.37107796829</v>
      </c>
      <c r="CK91" s="436">
        <v>170.57081429805498</v>
      </c>
      <c r="CL91" s="436">
        <v>186.52035048938532</v>
      </c>
      <c r="CM91" s="436">
        <v>202.85786109072151</v>
      </c>
      <c r="CN91" s="436">
        <v>195.20006632308102</v>
      </c>
      <c r="CO91" s="436">
        <v>202.59299861770899</v>
      </c>
      <c r="CP91" s="468">
        <v>193.99342680457102</v>
      </c>
      <c r="CQ91" s="436">
        <v>195.24224930870801</v>
      </c>
      <c r="CR91" s="436">
        <v>188.08874560578897</v>
      </c>
      <c r="CS91" s="436">
        <v>191.57070382904212</v>
      </c>
      <c r="CT91" s="436">
        <v>203.38736238646993</v>
      </c>
      <c r="CU91" s="436">
        <v>197.86085868143721</v>
      </c>
      <c r="CV91" s="436">
        <v>186.95294646140005</v>
      </c>
      <c r="CW91" s="436">
        <v>193.44176025144068</v>
      </c>
      <c r="CX91" s="436">
        <v>178.4996639446515</v>
      </c>
      <c r="CY91" s="436">
        <v>220.88599750758075</v>
      </c>
      <c r="CZ91" s="436">
        <v>168.87531788709833</v>
      </c>
      <c r="DA91" s="436">
        <v>198.61840889855105</v>
      </c>
      <c r="DB91" s="436">
        <v>197.73979825614455</v>
      </c>
      <c r="DC91" s="436">
        <v>221.0998701965004</v>
      </c>
      <c r="DD91" s="436">
        <v>187.64567713108357</v>
      </c>
      <c r="DE91" s="436">
        <v>184.33508041820849</v>
      </c>
      <c r="DF91" s="436">
        <v>186.35729886969401</v>
      </c>
      <c r="DH91" s="430"/>
    </row>
    <row r="92" spans="1:112" ht="7.7" customHeight="1">
      <c r="A92" s="419"/>
      <c r="B92" s="420"/>
      <c r="C92" s="422"/>
      <c r="D92" s="422"/>
      <c r="E92" s="423"/>
      <c r="F92" s="422"/>
      <c r="G92" s="422"/>
      <c r="H92" s="433"/>
      <c r="I92" s="433"/>
      <c r="J92" s="433"/>
      <c r="K92" s="434"/>
      <c r="L92" s="433"/>
      <c r="M92" s="433"/>
      <c r="N92" s="433"/>
      <c r="O92" s="434"/>
      <c r="P92" s="433"/>
      <c r="Q92" s="433"/>
      <c r="R92" s="434"/>
      <c r="S92" s="433"/>
      <c r="T92" s="433"/>
      <c r="U92" s="435"/>
      <c r="V92" s="435"/>
      <c r="W92" s="435"/>
      <c r="X92" s="435"/>
      <c r="Y92" s="435"/>
      <c r="Z92" s="435"/>
      <c r="AA92" s="435"/>
      <c r="AB92" s="435"/>
      <c r="AC92" s="435"/>
      <c r="AD92" s="435"/>
      <c r="AE92" s="435"/>
      <c r="AF92" s="435"/>
      <c r="AG92" s="435"/>
      <c r="AH92" s="435"/>
      <c r="AI92" s="435"/>
      <c r="AJ92" s="435"/>
      <c r="AK92" s="435"/>
      <c r="AL92" s="435"/>
      <c r="AM92" s="426"/>
      <c r="AN92" s="426"/>
      <c r="AO92" s="426"/>
      <c r="AP92" s="426"/>
      <c r="AQ92" s="426"/>
      <c r="AR92" s="420"/>
      <c r="AS92" s="420"/>
      <c r="AT92" s="420"/>
      <c r="AU92" s="420"/>
      <c r="AV92" s="420"/>
      <c r="AW92" s="427"/>
      <c r="AX92" s="427"/>
      <c r="AY92" s="427"/>
      <c r="AZ92" s="427"/>
      <c r="BA92" s="427"/>
      <c r="BB92" s="427"/>
      <c r="BC92" s="427"/>
      <c r="BD92" s="427"/>
      <c r="BE92" s="427"/>
      <c r="BF92" s="427"/>
      <c r="BG92" s="427"/>
      <c r="BH92" s="427"/>
      <c r="BI92" s="427"/>
      <c r="BJ92" s="427"/>
      <c r="BK92" s="427"/>
      <c r="BL92" s="427"/>
      <c r="BM92" s="427"/>
      <c r="BN92" s="427"/>
      <c r="BO92" s="427"/>
      <c r="BP92" s="427"/>
      <c r="BQ92" s="427"/>
      <c r="BR92" s="427"/>
      <c r="BS92" s="427"/>
      <c r="BT92" s="427"/>
      <c r="BU92" s="427"/>
      <c r="BV92" s="427"/>
      <c r="BW92" s="427"/>
      <c r="BX92" s="427"/>
      <c r="BY92" s="427"/>
      <c r="BZ92" s="427"/>
      <c r="CA92" s="427"/>
      <c r="CB92" s="427"/>
      <c r="CC92" s="427"/>
      <c r="CD92" s="427"/>
      <c r="CE92" s="427"/>
      <c r="CF92" s="427"/>
      <c r="CG92" s="427"/>
      <c r="CH92" s="427"/>
      <c r="CI92" s="427"/>
      <c r="CJ92" s="427"/>
      <c r="CK92" s="427"/>
      <c r="CL92" s="427"/>
      <c r="CM92" s="427"/>
      <c r="CN92" s="427"/>
      <c r="CO92" s="427"/>
      <c r="CP92" s="467"/>
      <c r="CQ92" s="427"/>
      <c r="CR92" s="427"/>
      <c r="CS92" s="427"/>
      <c r="CT92" s="427"/>
      <c r="CU92" s="427"/>
      <c r="CV92" s="427"/>
      <c r="CW92" s="427"/>
      <c r="CX92" s="427"/>
      <c r="CY92" s="427"/>
      <c r="CZ92" s="427"/>
      <c r="DA92" s="427"/>
      <c r="DB92" s="427"/>
      <c r="DC92" s="427"/>
      <c r="DD92" s="427"/>
      <c r="DE92" s="427"/>
      <c r="DF92" s="427"/>
      <c r="DH92" s="430"/>
    </row>
    <row r="93" spans="1:112">
      <c r="A93" s="419" t="s">
        <v>343</v>
      </c>
      <c r="B93" s="420">
        <f>SUM(B95:B102)</f>
        <v>10239.246763938054</v>
      </c>
      <c r="C93" s="422">
        <f>SUM(C95:C102)</f>
        <v>10406.182058156483</v>
      </c>
      <c r="D93" s="422">
        <f>SUM(D95:D102)</f>
        <v>10207.053605573472</v>
      </c>
      <c r="E93" s="423">
        <f>SUM(E95:E102)</f>
        <v>10786.014004384326</v>
      </c>
      <c r="F93" s="422">
        <v>10348.732947104645</v>
      </c>
      <c r="G93" s="422">
        <v>10426.856366008687</v>
      </c>
      <c r="H93" s="422">
        <v>11402.531127569615</v>
      </c>
      <c r="I93" s="422">
        <v>11073.310422100827</v>
      </c>
      <c r="J93" s="422">
        <v>11170.116311757378</v>
      </c>
      <c r="K93" s="423">
        <v>11054.893956455007</v>
      </c>
      <c r="L93" s="422">
        <v>12706.913193714905</v>
      </c>
      <c r="M93" s="422">
        <v>12624.32533644574</v>
      </c>
      <c r="N93" s="422">
        <v>13343.68223578252</v>
      </c>
      <c r="O93" s="423">
        <v>13659.3271729853</v>
      </c>
      <c r="P93" s="422">
        <v>14471.049994724812</v>
      </c>
      <c r="Q93" s="422">
        <v>14862.707732863666</v>
      </c>
      <c r="R93" s="423">
        <v>15438.589441814758</v>
      </c>
      <c r="S93" s="422">
        <v>15668.785733133715</v>
      </c>
      <c r="T93" s="422">
        <v>16003.344815273844</v>
      </c>
      <c r="U93" s="425">
        <v>16714.050458770602</v>
      </c>
      <c r="V93" s="425">
        <v>15142.192310342396</v>
      </c>
      <c r="W93" s="425">
        <v>15948.306659457523</v>
      </c>
      <c r="X93" s="425">
        <v>15900.124786</v>
      </c>
      <c r="Y93" s="425">
        <v>15404.169353650997</v>
      </c>
      <c r="Z93" s="425">
        <v>15812.706045893879</v>
      </c>
      <c r="AA93" s="425">
        <v>15423.414469372505</v>
      </c>
      <c r="AB93" s="425">
        <v>15310.448769935267</v>
      </c>
      <c r="AC93" s="425">
        <v>16362.525815941681</v>
      </c>
      <c r="AD93" s="425">
        <v>16138.628881567543</v>
      </c>
      <c r="AE93" s="425">
        <v>16160.348298210391</v>
      </c>
      <c r="AF93" s="425">
        <v>16216.779619660781</v>
      </c>
      <c r="AG93" s="425">
        <v>16390.852792142639</v>
      </c>
      <c r="AH93" s="425">
        <v>15922.520545061707</v>
      </c>
      <c r="AI93" s="425">
        <v>17485.29606659507</v>
      </c>
      <c r="AJ93" s="425">
        <v>17364.193502192957</v>
      </c>
      <c r="AK93" s="425">
        <v>18294.640226317864</v>
      </c>
      <c r="AL93" s="425">
        <v>18819.651354419897</v>
      </c>
      <c r="AM93" s="426">
        <v>19679.802381715544</v>
      </c>
      <c r="AN93" s="426">
        <v>19463.126268720087</v>
      </c>
      <c r="AO93" s="426">
        <v>20223.846397168621</v>
      </c>
      <c r="AP93" s="426">
        <v>20303.324707540163</v>
      </c>
      <c r="AQ93" s="426">
        <v>20364.055083839761</v>
      </c>
      <c r="AR93" s="420">
        <v>20822.89067202574</v>
      </c>
      <c r="AS93" s="420">
        <v>19557.570671908437</v>
      </c>
      <c r="AT93" s="420">
        <v>19269.636936507271</v>
      </c>
      <c r="AU93" s="420">
        <v>19150.347099241455</v>
      </c>
      <c r="AV93" s="420">
        <v>19332.347141066122</v>
      </c>
      <c r="AW93" s="427">
        <v>18795.00539029521</v>
      </c>
      <c r="AX93" s="427">
        <v>18928.356050725099</v>
      </c>
      <c r="AY93" s="427">
        <v>18978.535396493622</v>
      </c>
      <c r="AZ93" s="427">
        <v>19955.178358342735</v>
      </c>
      <c r="BA93" s="427">
        <v>19768.854747974161</v>
      </c>
      <c r="BB93" s="427">
        <v>20904.672550630432</v>
      </c>
      <c r="BC93" s="427">
        <v>21025.776580457215</v>
      </c>
      <c r="BD93" s="427">
        <v>19830.579092448563</v>
      </c>
      <c r="BE93" s="427">
        <v>19787.438907336189</v>
      </c>
      <c r="BF93" s="427">
        <v>19946.015008541341</v>
      </c>
      <c r="BG93" s="427">
        <v>20150.551190495727</v>
      </c>
      <c r="BH93" s="427">
        <v>19914.750258629472</v>
      </c>
      <c r="BI93" s="427">
        <v>20106.847045109447</v>
      </c>
      <c r="BJ93" s="427">
        <v>20470.558232820073</v>
      </c>
      <c r="BK93" s="427">
        <v>20452.789682178445</v>
      </c>
      <c r="BL93" s="427">
        <v>20343.869900526428</v>
      </c>
      <c r="BM93" s="427">
        <v>20952.144708045562</v>
      </c>
      <c r="BN93" s="427">
        <v>21170.056383717772</v>
      </c>
      <c r="BO93" s="427">
        <v>21383.799717185822</v>
      </c>
      <c r="BP93" s="427">
        <v>23371.213060601367</v>
      </c>
      <c r="BQ93" s="427">
        <v>23048.414177633484</v>
      </c>
      <c r="BR93" s="427">
        <v>23299.47600025362</v>
      </c>
      <c r="BS93" s="427">
        <v>23845.265687813891</v>
      </c>
      <c r="BT93" s="427">
        <v>24301.653611378882</v>
      </c>
      <c r="BU93" s="427">
        <v>23937.36804056762</v>
      </c>
      <c r="BV93" s="427">
        <v>24471.318421993863</v>
      </c>
      <c r="BW93" s="427">
        <v>23955.212876430243</v>
      </c>
      <c r="BX93" s="427">
        <v>24413.351969916002</v>
      </c>
      <c r="BY93" s="427">
        <v>23387.569997847299</v>
      </c>
      <c r="BZ93" s="427">
        <v>23468.3</v>
      </c>
      <c r="CA93" s="427">
        <v>23751.442743380012</v>
      </c>
      <c r="CB93" s="427">
        <v>24033.783697151473</v>
      </c>
      <c r="CC93" s="427">
        <v>24173.990273972569</v>
      </c>
      <c r="CD93" s="427">
        <v>24028.50165559406</v>
      </c>
      <c r="CE93" s="427">
        <v>24375.446816106429</v>
      </c>
      <c r="CF93" s="427">
        <v>23380.959747794779</v>
      </c>
      <c r="CG93" s="427">
        <v>24021.056730519056</v>
      </c>
      <c r="CH93" s="427">
        <v>24964.162093929892</v>
      </c>
      <c r="CI93" s="427">
        <v>24792.829702087362</v>
      </c>
      <c r="CJ93" s="427">
        <v>24729.814581393097</v>
      </c>
      <c r="CK93" s="427">
        <v>24795.856673251728</v>
      </c>
      <c r="CL93" s="427">
        <v>24541.949671436556</v>
      </c>
      <c r="CM93" s="427">
        <v>25004.852043611609</v>
      </c>
      <c r="CN93" s="427">
        <v>25463.076390590864</v>
      </c>
      <c r="CO93" s="427">
        <v>25595.92829118748</v>
      </c>
      <c r="CP93" s="467">
        <v>26630.255842917002</v>
      </c>
      <c r="CQ93" s="427">
        <v>26748.677093003345</v>
      </c>
      <c r="CR93" s="427">
        <v>26349.225214531518</v>
      </c>
      <c r="CS93" s="427">
        <v>25364.052077620039</v>
      </c>
      <c r="CT93" s="427">
        <v>25252.914524948963</v>
      </c>
      <c r="CU93" s="427">
        <v>27771.122987536764</v>
      </c>
      <c r="CV93" s="427">
        <v>28885.718648634469</v>
      </c>
      <c r="CW93" s="427">
        <v>29459.886091005686</v>
      </c>
      <c r="CX93" s="427">
        <v>27707.103174228989</v>
      </c>
      <c r="CY93" s="427">
        <v>28095.359953203377</v>
      </c>
      <c r="CZ93" s="427">
        <v>26834.627262810794</v>
      </c>
      <c r="DA93" s="427">
        <v>27729.428585533013</v>
      </c>
      <c r="DB93" s="427">
        <v>27119.448253740287</v>
      </c>
      <c r="DC93" s="427">
        <v>27707.902277206635</v>
      </c>
      <c r="DD93" s="427">
        <v>28101.653905989235</v>
      </c>
      <c r="DE93" s="427">
        <v>27129.934244061391</v>
      </c>
      <c r="DF93" s="427">
        <v>23363.474391706975</v>
      </c>
      <c r="DH93" s="430"/>
    </row>
    <row r="94" spans="1:112" ht="15.95" customHeight="1">
      <c r="A94" s="431" t="s">
        <v>275</v>
      </c>
      <c r="B94" s="420"/>
      <c r="C94" s="422"/>
      <c r="D94" s="422"/>
      <c r="E94" s="423"/>
      <c r="F94" s="422"/>
      <c r="G94" s="422"/>
      <c r="H94" s="433"/>
      <c r="I94" s="433"/>
      <c r="J94" s="433"/>
      <c r="K94" s="434"/>
      <c r="L94" s="433"/>
      <c r="M94" s="433"/>
      <c r="N94" s="433"/>
      <c r="O94" s="434"/>
      <c r="P94" s="433"/>
      <c r="Q94" s="433"/>
      <c r="R94" s="434"/>
      <c r="S94" s="433"/>
      <c r="T94" s="433"/>
      <c r="U94" s="435"/>
      <c r="V94" s="435"/>
      <c r="W94" s="435"/>
      <c r="X94" s="435"/>
      <c r="Y94" s="435"/>
      <c r="Z94" s="435"/>
      <c r="AA94" s="435"/>
      <c r="AB94" s="435"/>
      <c r="AC94" s="435"/>
      <c r="AD94" s="435"/>
      <c r="AE94" s="435"/>
      <c r="AF94" s="435"/>
      <c r="AG94" s="435"/>
      <c r="AH94" s="435"/>
      <c r="AI94" s="435"/>
      <c r="AJ94" s="435"/>
      <c r="AK94" s="435"/>
      <c r="AL94" s="435"/>
      <c r="AM94" s="426"/>
      <c r="AN94" s="426"/>
      <c r="AO94" s="426"/>
      <c r="AP94" s="426"/>
      <c r="AQ94" s="426"/>
      <c r="AR94" s="420"/>
      <c r="AS94" s="420"/>
      <c r="AT94" s="420"/>
      <c r="AU94" s="420"/>
      <c r="AV94" s="420"/>
      <c r="AW94" s="427"/>
      <c r="AX94" s="427"/>
      <c r="AY94" s="427"/>
      <c r="AZ94" s="427"/>
      <c r="BA94" s="427"/>
      <c r="BB94" s="427"/>
      <c r="BC94" s="427"/>
      <c r="BD94" s="427"/>
      <c r="BE94" s="427"/>
      <c r="BF94" s="427"/>
      <c r="BG94" s="427"/>
      <c r="BH94" s="427"/>
      <c r="BI94" s="427"/>
      <c r="BJ94" s="427"/>
      <c r="BK94" s="427"/>
      <c r="BL94" s="427"/>
      <c r="BM94" s="427"/>
      <c r="BN94" s="427"/>
      <c r="BO94" s="427"/>
      <c r="BP94" s="427"/>
      <c r="BQ94" s="427"/>
      <c r="BR94" s="427"/>
      <c r="BS94" s="427"/>
      <c r="BT94" s="427"/>
      <c r="BU94" s="427"/>
      <c r="BV94" s="427"/>
      <c r="BW94" s="427"/>
      <c r="BX94" s="427"/>
      <c r="BY94" s="427"/>
      <c r="BZ94" s="427"/>
      <c r="CA94" s="427"/>
      <c r="CB94" s="427"/>
      <c r="CC94" s="427"/>
      <c r="CD94" s="427"/>
      <c r="CE94" s="427"/>
      <c r="CF94" s="427"/>
      <c r="CG94" s="427"/>
      <c r="CH94" s="427"/>
      <c r="CI94" s="427"/>
      <c r="CJ94" s="427"/>
      <c r="CK94" s="427"/>
      <c r="CL94" s="427"/>
      <c r="CM94" s="427"/>
      <c r="CN94" s="427"/>
      <c r="CO94" s="427"/>
      <c r="CP94" s="467"/>
      <c r="CQ94" s="427"/>
      <c r="CR94" s="427"/>
      <c r="CS94" s="427"/>
      <c r="CT94" s="427"/>
      <c r="CU94" s="427"/>
      <c r="CV94" s="427"/>
      <c r="CW94" s="427"/>
      <c r="CX94" s="427"/>
      <c r="CY94" s="427"/>
      <c r="CZ94" s="427"/>
      <c r="DA94" s="427"/>
      <c r="DB94" s="427"/>
      <c r="DC94" s="427"/>
      <c r="DD94" s="427"/>
      <c r="DE94" s="427"/>
      <c r="DF94" s="427"/>
      <c r="DH94" s="430"/>
    </row>
    <row r="95" spans="1:112" ht="15.95" customHeight="1">
      <c r="A95" s="431" t="s">
        <v>344</v>
      </c>
      <c r="B95" s="432">
        <v>4.9045179999999995</v>
      </c>
      <c r="C95" s="433">
        <v>2.5930610000000001</v>
      </c>
      <c r="D95" s="433">
        <v>2.7619479999999998</v>
      </c>
      <c r="E95" s="434">
        <v>2.6722790000000001</v>
      </c>
      <c r="F95" s="433">
        <v>4.4402275400000004</v>
      </c>
      <c r="G95" s="433">
        <v>8.8841290499999985</v>
      </c>
      <c r="H95" s="433">
        <v>3.6144039500000003</v>
      </c>
      <c r="I95" s="433">
        <v>9.9661430000000006</v>
      </c>
      <c r="J95" s="433">
        <v>9.8340397300000006</v>
      </c>
      <c r="K95" s="434">
        <v>10.246136890000001</v>
      </c>
      <c r="L95" s="433">
        <v>9.9625671999999987</v>
      </c>
      <c r="M95" s="433">
        <v>14.934986349999999</v>
      </c>
      <c r="N95" s="433">
        <v>14.874248570000001</v>
      </c>
      <c r="O95" s="434">
        <v>15.06938912</v>
      </c>
      <c r="P95" s="433">
        <v>16.276806060000002</v>
      </c>
      <c r="Q95" s="433">
        <v>11.71659125</v>
      </c>
      <c r="R95" s="434">
        <v>10.555385080000001</v>
      </c>
      <c r="S95" s="433">
        <v>11.46800625</v>
      </c>
      <c r="T95" s="433">
        <v>11.013948210000001</v>
      </c>
      <c r="U95" s="435">
        <v>12.57314891</v>
      </c>
      <c r="V95" s="435">
        <v>12.443879340000001</v>
      </c>
      <c r="W95" s="435">
        <v>16.364145780000001</v>
      </c>
      <c r="X95" s="435">
        <v>19.069219009999998</v>
      </c>
      <c r="Y95" s="435">
        <v>13.8105504</v>
      </c>
      <c r="Z95" s="435">
        <v>12.69293869</v>
      </c>
      <c r="AA95" s="435">
        <v>12.691935800000001</v>
      </c>
      <c r="AB95" s="435">
        <v>14.188990689999999</v>
      </c>
      <c r="AC95" s="435">
        <v>9.862601960000001</v>
      </c>
      <c r="AD95" s="435">
        <v>11.321037499999999</v>
      </c>
      <c r="AE95" s="435">
        <v>12.87908021</v>
      </c>
      <c r="AF95" s="435">
        <v>16.04744938</v>
      </c>
      <c r="AG95" s="435">
        <v>13.398075990000001</v>
      </c>
      <c r="AH95" s="435">
        <v>10.005299619999999</v>
      </c>
      <c r="AI95" s="435">
        <v>28.95724968</v>
      </c>
      <c r="AJ95" s="435">
        <v>21.930325359999998</v>
      </c>
      <c r="AK95" s="435">
        <v>16.845786539999999</v>
      </c>
      <c r="AL95" s="435">
        <v>19.348860689999999</v>
      </c>
      <c r="AM95" s="438">
        <v>29.22510132</v>
      </c>
      <c r="AN95" s="438">
        <v>30.019139630000002</v>
      </c>
      <c r="AO95" s="438">
        <v>42.983233649999995</v>
      </c>
      <c r="AP95" s="438">
        <v>69.737272219999994</v>
      </c>
      <c r="AQ95" s="438">
        <v>70.885334819999997</v>
      </c>
      <c r="AR95" s="432">
        <v>60.793728689999995</v>
      </c>
      <c r="AS95" s="432">
        <v>61.134252320000002</v>
      </c>
      <c r="AT95" s="432">
        <v>61.990585320000001</v>
      </c>
      <c r="AU95" s="432">
        <v>82.084445319999986</v>
      </c>
      <c r="AV95" s="432">
        <v>73.414663250000004</v>
      </c>
      <c r="AW95" s="436">
        <v>69.813362720000001</v>
      </c>
      <c r="AX95" s="436">
        <v>61.827411549999994</v>
      </c>
      <c r="AY95" s="436">
        <v>66.063057000000001</v>
      </c>
      <c r="AZ95" s="436">
        <v>56.058306439999996</v>
      </c>
      <c r="BA95" s="436">
        <v>66.997788409999998</v>
      </c>
      <c r="BB95" s="436">
        <v>56.892161300000005</v>
      </c>
      <c r="BC95" s="436">
        <v>47.256914389999999</v>
      </c>
      <c r="BD95" s="436">
        <v>34.731450000000002</v>
      </c>
      <c r="BE95" s="436">
        <v>37.430674000000003</v>
      </c>
      <c r="BF95" s="436">
        <v>36.551178999999998</v>
      </c>
      <c r="BG95" s="436">
        <v>33.25754981</v>
      </c>
      <c r="BH95" s="436">
        <v>38.052050739999999</v>
      </c>
      <c r="BI95" s="436">
        <v>37.943505999999999</v>
      </c>
      <c r="BJ95" s="436">
        <v>42.199926989999994</v>
      </c>
      <c r="BK95" s="436">
        <v>36.935164</v>
      </c>
      <c r="BL95" s="436">
        <v>37.87817708</v>
      </c>
      <c r="BM95" s="436">
        <v>42.307136</v>
      </c>
      <c r="BN95" s="436">
        <v>43.304243230000004</v>
      </c>
      <c r="BO95" s="436">
        <v>48.659097000000003</v>
      </c>
      <c r="BP95" s="436">
        <v>50.835060769999998</v>
      </c>
      <c r="BQ95" s="436">
        <v>51.045758890000002</v>
      </c>
      <c r="BR95" s="436">
        <v>50.124512790000004</v>
      </c>
      <c r="BS95" s="436">
        <v>54.963033589999995</v>
      </c>
      <c r="BT95" s="436">
        <v>44.677905659999993</v>
      </c>
      <c r="BU95" s="436">
        <v>49.875298099999995</v>
      </c>
      <c r="BV95" s="436">
        <v>44.972405109999997</v>
      </c>
      <c r="BW95" s="436">
        <v>45.128035730000001</v>
      </c>
      <c r="BX95" s="436">
        <v>47.923345999999995</v>
      </c>
      <c r="BY95" s="436">
        <v>50.804738</v>
      </c>
      <c r="BZ95" s="436">
        <v>38.4</v>
      </c>
      <c r="CA95" s="436">
        <v>37.006069629999999</v>
      </c>
      <c r="CB95" s="436">
        <v>40.081002810000001</v>
      </c>
      <c r="CC95" s="436">
        <v>42.238968499999999</v>
      </c>
      <c r="CD95" s="436">
        <v>41.647586230000002</v>
      </c>
      <c r="CE95" s="436">
        <v>46.654936120000002</v>
      </c>
      <c r="CF95" s="436">
        <v>32.151660239999998</v>
      </c>
      <c r="CG95" s="436">
        <v>34.580458130000004</v>
      </c>
      <c r="CH95" s="436">
        <v>33.636910820000004</v>
      </c>
      <c r="CI95" s="436">
        <v>33.018045020000002</v>
      </c>
      <c r="CJ95" s="436">
        <v>34.541678240000003</v>
      </c>
      <c r="CK95" s="436">
        <v>32.667870839999999</v>
      </c>
      <c r="CL95" s="436">
        <v>54.789500190000005</v>
      </c>
      <c r="CM95" s="436">
        <v>33.50317416</v>
      </c>
      <c r="CN95" s="436">
        <v>33.827824470000003</v>
      </c>
      <c r="CO95" s="436">
        <v>29.114454440000003</v>
      </c>
      <c r="CP95" s="468">
        <v>28.524955730000002</v>
      </c>
      <c r="CQ95" s="436">
        <v>28.659801880000003</v>
      </c>
      <c r="CR95" s="436">
        <v>24.293492359999998</v>
      </c>
      <c r="CS95" s="436">
        <v>23.770483940000002</v>
      </c>
      <c r="CT95" s="436">
        <v>141.22192183999999</v>
      </c>
      <c r="CU95" s="436">
        <v>24.491336759999999</v>
      </c>
      <c r="CV95" s="436">
        <v>24.46257932</v>
      </c>
      <c r="CW95" s="436">
        <v>50.934829010000001</v>
      </c>
      <c r="CX95" s="436">
        <v>34.879935400000001</v>
      </c>
      <c r="CY95" s="436">
        <v>23.763957870000002</v>
      </c>
      <c r="CZ95" s="436">
        <v>26.331423149999999</v>
      </c>
      <c r="DA95" s="436">
        <v>24.1905</v>
      </c>
      <c r="DB95" s="436">
        <v>25.682256729999999</v>
      </c>
      <c r="DC95" s="436">
        <v>38.623691000000001</v>
      </c>
      <c r="DD95" s="436">
        <v>61.093420999999999</v>
      </c>
      <c r="DE95" s="436">
        <v>59.058878999999997</v>
      </c>
      <c r="DF95" s="436">
        <v>59.998329470000002</v>
      </c>
      <c r="DH95" s="430"/>
    </row>
    <row r="96" spans="1:112" ht="15.95" customHeight="1">
      <c r="A96" s="431" t="s">
        <v>345</v>
      </c>
      <c r="B96" s="432">
        <v>458.56225221</v>
      </c>
      <c r="C96" s="433">
        <v>410.25812970000004</v>
      </c>
      <c r="D96" s="433">
        <v>403.02830119000004</v>
      </c>
      <c r="E96" s="434">
        <v>329.05903873000386</v>
      </c>
      <c r="F96" s="433">
        <v>341.95476552078139</v>
      </c>
      <c r="G96" s="433">
        <v>339.09278306834017</v>
      </c>
      <c r="H96" s="433">
        <v>420.28988859024321</v>
      </c>
      <c r="I96" s="433">
        <v>378.73481136024321</v>
      </c>
      <c r="J96" s="433">
        <v>360.9729199002432</v>
      </c>
      <c r="K96" s="434">
        <v>355.90044921367502</v>
      </c>
      <c r="L96" s="433">
        <v>390.51876092775501</v>
      </c>
      <c r="M96" s="433">
        <v>389.15838209775501</v>
      </c>
      <c r="N96" s="433">
        <v>181.60498554</v>
      </c>
      <c r="O96" s="434">
        <v>204.11329756000001</v>
      </c>
      <c r="P96" s="433">
        <v>197.38224117999999</v>
      </c>
      <c r="Q96" s="433">
        <v>292.87685069010007</v>
      </c>
      <c r="R96" s="434">
        <v>254.40152639999997</v>
      </c>
      <c r="S96" s="433">
        <v>208.07787175000004</v>
      </c>
      <c r="T96" s="433">
        <v>248.59148288</v>
      </c>
      <c r="U96" s="435">
        <v>302.94367345000006</v>
      </c>
      <c r="V96" s="435">
        <v>307.40363624000003</v>
      </c>
      <c r="W96" s="435">
        <v>470.47246289999998</v>
      </c>
      <c r="X96" s="435">
        <v>438.98922529000004</v>
      </c>
      <c r="Y96" s="435">
        <v>476.09153550000002</v>
      </c>
      <c r="Z96" s="435">
        <v>453.07723897999995</v>
      </c>
      <c r="AA96" s="435">
        <v>481.83735429000006</v>
      </c>
      <c r="AB96" s="435">
        <v>522.59824073999994</v>
      </c>
      <c r="AC96" s="435">
        <v>539.11396489999993</v>
      </c>
      <c r="AD96" s="435">
        <v>551.16096037</v>
      </c>
      <c r="AE96" s="435">
        <v>533.11707913999999</v>
      </c>
      <c r="AF96" s="435">
        <v>571.28253526999993</v>
      </c>
      <c r="AG96" s="435">
        <v>550.96294891000002</v>
      </c>
      <c r="AH96" s="435">
        <v>528.01371347999998</v>
      </c>
      <c r="AI96" s="435">
        <v>522.64509634000001</v>
      </c>
      <c r="AJ96" s="435">
        <v>472.12721420999998</v>
      </c>
      <c r="AK96" s="435">
        <v>419.47476452000001</v>
      </c>
      <c r="AL96" s="435">
        <v>415.71260592000004</v>
      </c>
      <c r="AM96" s="438">
        <v>415.73243699</v>
      </c>
      <c r="AN96" s="438">
        <v>414.82680673999999</v>
      </c>
      <c r="AO96" s="438">
        <v>431.93540259000002</v>
      </c>
      <c r="AP96" s="438">
        <v>505.06526922210003</v>
      </c>
      <c r="AQ96" s="438">
        <v>426.30727753039997</v>
      </c>
      <c r="AR96" s="432">
        <v>459.28211493840001</v>
      </c>
      <c r="AS96" s="432">
        <v>400.14385020999998</v>
      </c>
      <c r="AT96" s="432">
        <v>423.051291026</v>
      </c>
      <c r="AU96" s="432">
        <v>401.35562827059999</v>
      </c>
      <c r="AV96" s="432">
        <v>384.34107685000015</v>
      </c>
      <c r="AW96" s="436">
        <v>220.02334320040001</v>
      </c>
      <c r="AX96" s="436">
        <v>207.45671959079999</v>
      </c>
      <c r="AY96" s="436">
        <v>210.0750525981</v>
      </c>
      <c r="AZ96" s="436">
        <v>184.37448961959998</v>
      </c>
      <c r="BA96" s="436">
        <v>214.48794284760001</v>
      </c>
      <c r="BB96" s="436">
        <v>199.46192767739998</v>
      </c>
      <c r="BC96" s="436">
        <v>172.30331233359999</v>
      </c>
      <c r="BD96" s="436">
        <v>111.413711564</v>
      </c>
      <c r="BE96" s="436">
        <v>111.09404101280001</v>
      </c>
      <c r="BF96" s="436">
        <v>120.67677614750001</v>
      </c>
      <c r="BG96" s="436">
        <v>149.15916136200002</v>
      </c>
      <c r="BH96" s="436">
        <v>151.92989694620002</v>
      </c>
      <c r="BI96" s="436">
        <v>151.90765576679999</v>
      </c>
      <c r="BJ96" s="436">
        <v>168.5504862057</v>
      </c>
      <c r="BK96" s="436">
        <v>142.80875612940002</v>
      </c>
      <c r="BL96" s="436">
        <v>140.34380577929997</v>
      </c>
      <c r="BM96" s="436">
        <v>161.80180081260002</v>
      </c>
      <c r="BN96" s="436">
        <v>163.47942299759998</v>
      </c>
      <c r="BO96" s="436">
        <v>161.8139939216</v>
      </c>
      <c r="BP96" s="436">
        <v>151.78985120440001</v>
      </c>
      <c r="BQ96" s="436">
        <v>146.00171220810003</v>
      </c>
      <c r="BR96" s="436">
        <v>161.91336487500001</v>
      </c>
      <c r="BS96" s="436">
        <v>192.13894060680002</v>
      </c>
      <c r="BT96" s="436">
        <v>156.65662444099999</v>
      </c>
      <c r="BU96" s="436">
        <v>281.23640318665201</v>
      </c>
      <c r="BV96" s="436">
        <v>301.19833118999998</v>
      </c>
      <c r="BW96" s="436">
        <v>326.28566699527499</v>
      </c>
      <c r="BX96" s="436">
        <v>322.96316003800001</v>
      </c>
      <c r="BY96" s="436">
        <v>329.38223694919998</v>
      </c>
      <c r="BZ96" s="436">
        <v>343.2</v>
      </c>
      <c r="CA96" s="436">
        <v>374.67520907369999</v>
      </c>
      <c r="CB96" s="436">
        <v>310.43440835119998</v>
      </c>
      <c r="CC96" s="436">
        <v>258.92055705416186</v>
      </c>
      <c r="CD96" s="436">
        <v>334.06053435010597</v>
      </c>
      <c r="CE96" s="436">
        <v>297.98444443243886</v>
      </c>
      <c r="CF96" s="436">
        <v>307.04168828399003</v>
      </c>
      <c r="CG96" s="436">
        <v>335.6517644195867</v>
      </c>
      <c r="CH96" s="436">
        <v>284.06548669775566</v>
      </c>
      <c r="CI96" s="436">
        <v>342.46164094060055</v>
      </c>
      <c r="CJ96" s="436">
        <v>347.40254422716998</v>
      </c>
      <c r="CK96" s="436">
        <v>381.41656484351699</v>
      </c>
      <c r="CL96" s="436">
        <v>339.72788373997435</v>
      </c>
      <c r="CM96" s="436">
        <v>347.978404498136</v>
      </c>
      <c r="CN96" s="436">
        <v>320.29628878</v>
      </c>
      <c r="CO96" s="436">
        <v>352.42983462000007</v>
      </c>
      <c r="CP96" s="468">
        <v>331.95163834672496</v>
      </c>
      <c r="CQ96" s="436">
        <v>353.74473520000004</v>
      </c>
      <c r="CR96" s="436">
        <v>355.04234875999998</v>
      </c>
      <c r="CS96" s="436">
        <v>357.92982588999996</v>
      </c>
      <c r="CT96" s="436">
        <v>358.99640338</v>
      </c>
      <c r="CU96" s="436">
        <v>904.44422775999976</v>
      </c>
      <c r="CV96" s="436">
        <v>876.02381897999987</v>
      </c>
      <c r="CW96" s="436">
        <v>936.6637754300001</v>
      </c>
      <c r="CX96" s="436">
        <v>898.01396697999996</v>
      </c>
      <c r="CY96" s="436">
        <v>884.68272397999988</v>
      </c>
      <c r="CZ96" s="436">
        <v>800.574101047049</v>
      </c>
      <c r="DA96" s="436">
        <v>887.76587046999998</v>
      </c>
      <c r="DB96" s="436">
        <v>904.26917709999998</v>
      </c>
      <c r="DC96" s="436">
        <v>798.01032484999996</v>
      </c>
      <c r="DD96" s="436">
        <v>880.87621766999996</v>
      </c>
      <c r="DE96" s="436">
        <v>777.35534666000001</v>
      </c>
      <c r="DF96" s="436">
        <v>839.33726257000001</v>
      </c>
      <c r="DH96" s="430"/>
    </row>
    <row r="97" spans="1:112" ht="15.95" customHeight="1">
      <c r="A97" s="431" t="s">
        <v>346</v>
      </c>
      <c r="B97" s="432">
        <v>2563.9704272600002</v>
      </c>
      <c r="C97" s="433">
        <v>3245.9522036799999</v>
      </c>
      <c r="D97" s="433">
        <v>3247.1019830000005</v>
      </c>
      <c r="E97" s="434">
        <v>3415.5594353922224</v>
      </c>
      <c r="F97" s="433">
        <v>3169.5879776383335</v>
      </c>
      <c r="G97" s="433">
        <v>3198.0400410183333</v>
      </c>
      <c r="H97" s="433">
        <v>3294.6856943783332</v>
      </c>
      <c r="I97" s="433">
        <v>3219.9639974583329</v>
      </c>
      <c r="J97" s="433">
        <v>3253.6764692583333</v>
      </c>
      <c r="K97" s="434">
        <v>3262.317456528333</v>
      </c>
      <c r="L97" s="433">
        <v>3138.7950710183336</v>
      </c>
      <c r="M97" s="433">
        <v>3221.2310814983334</v>
      </c>
      <c r="N97" s="433">
        <v>3583.5491130699997</v>
      </c>
      <c r="O97" s="434">
        <v>3697.6646452499995</v>
      </c>
      <c r="P97" s="433">
        <v>3885.34004052</v>
      </c>
      <c r="Q97" s="433">
        <v>4123.0217166231005</v>
      </c>
      <c r="R97" s="434">
        <v>4200.1537452088196</v>
      </c>
      <c r="S97" s="433">
        <v>4117.6612422323396</v>
      </c>
      <c r="T97" s="433">
        <v>4447.8047711792506</v>
      </c>
      <c r="U97" s="435">
        <v>4588.8682646858597</v>
      </c>
      <c r="V97" s="435">
        <v>4308.3374376725251</v>
      </c>
      <c r="W97" s="435">
        <v>4473.3940746526996</v>
      </c>
      <c r="X97" s="435">
        <v>4472.6898375225492</v>
      </c>
      <c r="Y97" s="435">
        <v>4246.7176312110614</v>
      </c>
      <c r="Z97" s="435">
        <v>4476.5082070665367</v>
      </c>
      <c r="AA97" s="435">
        <v>4362.1870549193436</v>
      </c>
      <c r="AB97" s="435">
        <v>4206.2011534326502</v>
      </c>
      <c r="AC97" s="435">
        <v>4129.0862973779995</v>
      </c>
      <c r="AD97" s="435">
        <v>3821.8227647000699</v>
      </c>
      <c r="AE97" s="435">
        <v>3719.218586447143</v>
      </c>
      <c r="AF97" s="435">
        <v>3778.5605503167508</v>
      </c>
      <c r="AG97" s="435">
        <v>3698.0188956592401</v>
      </c>
      <c r="AH97" s="435">
        <v>3453.3596177423997</v>
      </c>
      <c r="AI97" s="435">
        <v>3403.1616083785075</v>
      </c>
      <c r="AJ97" s="435">
        <v>3200.4759877640563</v>
      </c>
      <c r="AK97" s="435">
        <v>3245.9896350499871</v>
      </c>
      <c r="AL97" s="435">
        <v>2879.4464343076015</v>
      </c>
      <c r="AM97" s="438">
        <v>3133.7692147697339</v>
      </c>
      <c r="AN97" s="438">
        <v>3613.3243036667777</v>
      </c>
      <c r="AO97" s="438">
        <v>3826.3674270747147</v>
      </c>
      <c r="AP97" s="438">
        <v>4046.4495650802146</v>
      </c>
      <c r="AQ97" s="438">
        <v>4175.2848149041147</v>
      </c>
      <c r="AR97" s="432">
        <v>4365.1638130544643</v>
      </c>
      <c r="AS97" s="432">
        <v>4171.0563628956643</v>
      </c>
      <c r="AT97" s="432">
        <v>4019.995452652769</v>
      </c>
      <c r="AU97" s="432">
        <v>3939.1217516854126</v>
      </c>
      <c r="AV97" s="432">
        <v>3907.7119051107138</v>
      </c>
      <c r="AW97" s="436">
        <v>4119.3108599709149</v>
      </c>
      <c r="AX97" s="436">
        <v>4213.5366982021142</v>
      </c>
      <c r="AY97" s="436">
        <v>3936.749447916256</v>
      </c>
      <c r="AZ97" s="436">
        <v>3511.5180610625944</v>
      </c>
      <c r="BA97" s="436">
        <v>3436.4015037429949</v>
      </c>
      <c r="BB97" s="436">
        <v>3618.7884375695144</v>
      </c>
      <c r="BC97" s="436">
        <v>3581.5214842677137</v>
      </c>
      <c r="BD97" s="436">
        <v>3275.4391089557548</v>
      </c>
      <c r="BE97" s="436">
        <v>3233.4531317637343</v>
      </c>
      <c r="BF97" s="436">
        <v>3235.8133675267145</v>
      </c>
      <c r="BG97" s="436">
        <v>3605.179638938514</v>
      </c>
      <c r="BH97" s="436">
        <v>3199.6223504474342</v>
      </c>
      <c r="BI97" s="436">
        <v>3622.6036794827346</v>
      </c>
      <c r="BJ97" s="436">
        <v>3514.1536301157748</v>
      </c>
      <c r="BK97" s="436">
        <v>3331.9965153145727</v>
      </c>
      <c r="BL97" s="436">
        <v>3253.8211511223139</v>
      </c>
      <c r="BM97" s="436">
        <v>3269.4633381787689</v>
      </c>
      <c r="BN97" s="436">
        <v>3323.3014528958024</v>
      </c>
      <c r="BO97" s="436">
        <v>3313.6797171324238</v>
      </c>
      <c r="BP97" s="436">
        <v>3112.0300106809682</v>
      </c>
      <c r="BQ97" s="436">
        <v>3051.2564302442966</v>
      </c>
      <c r="BR97" s="436">
        <v>3045.1375149969799</v>
      </c>
      <c r="BS97" s="436">
        <v>3543.4071539475199</v>
      </c>
      <c r="BT97" s="436">
        <v>3803.0876005267</v>
      </c>
      <c r="BU97" s="436">
        <v>3280.8602856862803</v>
      </c>
      <c r="BV97" s="436">
        <v>3352.6545404298581</v>
      </c>
      <c r="BW97" s="436">
        <v>3046.052725914335</v>
      </c>
      <c r="BX97" s="436">
        <v>2775.2754322005003</v>
      </c>
      <c r="BY97" s="436">
        <v>2848.2652017419005</v>
      </c>
      <c r="BZ97" s="436">
        <v>2634.5</v>
      </c>
      <c r="CA97" s="436">
        <v>2446.6151896215697</v>
      </c>
      <c r="CB97" s="436">
        <v>2350.7854610935169</v>
      </c>
      <c r="CC97" s="436">
        <v>2126.6094122995</v>
      </c>
      <c r="CD97" s="436">
        <v>2145.3452387380676</v>
      </c>
      <c r="CE97" s="436">
        <v>2368.4847978793455</v>
      </c>
      <c r="CF97" s="436">
        <v>2109.3762112946088</v>
      </c>
      <c r="CG97" s="436">
        <v>2175.8216241959267</v>
      </c>
      <c r="CH97" s="436">
        <v>2345.7790300879487</v>
      </c>
      <c r="CI97" s="436">
        <v>2233.5758634700451</v>
      </c>
      <c r="CJ97" s="436">
        <v>2249.7278603445702</v>
      </c>
      <c r="CK97" s="436">
        <v>2457.9441949691059</v>
      </c>
      <c r="CL97" s="436">
        <v>1983.392954014688</v>
      </c>
      <c r="CM97" s="436">
        <v>1926.8855084993738</v>
      </c>
      <c r="CN97" s="436">
        <v>2257.5859043407841</v>
      </c>
      <c r="CO97" s="436">
        <v>2161.0683882842072</v>
      </c>
      <c r="CP97" s="468">
        <v>2289.9324891702995</v>
      </c>
      <c r="CQ97" s="436">
        <v>2422.3803993368942</v>
      </c>
      <c r="CR97" s="436">
        <v>2308.3390554223297</v>
      </c>
      <c r="CS97" s="436">
        <v>2191.7788932584826</v>
      </c>
      <c r="CT97" s="436">
        <v>2011.5525712232723</v>
      </c>
      <c r="CU97" s="436">
        <v>1639.8655949700315</v>
      </c>
      <c r="CV97" s="436">
        <v>1947.2806476823612</v>
      </c>
      <c r="CW97" s="436">
        <v>2372.5158765136866</v>
      </c>
      <c r="CX97" s="436">
        <v>2324.4142931514948</v>
      </c>
      <c r="CY97" s="436">
        <v>2341.7145521846946</v>
      </c>
      <c r="CZ97" s="436">
        <v>2444.753452619072</v>
      </c>
      <c r="DA97" s="436">
        <v>2788.8584901584186</v>
      </c>
      <c r="DB97" s="436">
        <v>2876.6598361499823</v>
      </c>
      <c r="DC97" s="436">
        <v>2762.4759220969863</v>
      </c>
      <c r="DD97" s="436">
        <v>2511.0927440616392</v>
      </c>
      <c r="DE97" s="436">
        <v>2469.1877783743607</v>
      </c>
      <c r="DF97" s="436">
        <v>3025.1342439427049</v>
      </c>
      <c r="DH97" s="430"/>
    </row>
    <row r="98" spans="1:112" ht="15.95" customHeight="1">
      <c r="A98" s="431" t="s">
        <v>347</v>
      </c>
      <c r="B98" s="432">
        <v>87.711047879999995</v>
      </c>
      <c r="C98" s="433">
        <v>87.23537374</v>
      </c>
      <c r="D98" s="433">
        <v>86.763602249999991</v>
      </c>
      <c r="E98" s="434">
        <v>136.29410518</v>
      </c>
      <c r="F98" s="433">
        <v>136.37495138</v>
      </c>
      <c r="G98" s="433">
        <v>135.31764812</v>
      </c>
      <c r="H98" s="433">
        <v>24.832373199999999</v>
      </c>
      <c r="I98" s="433">
        <v>24.364547479999999</v>
      </c>
      <c r="J98" s="433">
        <v>24.216398359999999</v>
      </c>
      <c r="K98" s="434">
        <v>23.514482040000001</v>
      </c>
      <c r="L98" s="433">
        <v>22.901835519999999</v>
      </c>
      <c r="M98" s="433">
        <v>22.402974329999999</v>
      </c>
      <c r="N98" s="433">
        <v>21.906625369999997</v>
      </c>
      <c r="O98" s="434">
        <v>21.404850240000002</v>
      </c>
      <c r="P98" s="433">
        <v>6.5</v>
      </c>
      <c r="Q98" s="433">
        <v>6.53132</v>
      </c>
      <c r="R98" s="434">
        <v>6.5</v>
      </c>
      <c r="S98" s="433">
        <v>6.5</v>
      </c>
      <c r="T98" s="433">
        <v>6.5</v>
      </c>
      <c r="U98" s="435">
        <v>6.5</v>
      </c>
      <c r="V98" s="435">
        <v>6.5</v>
      </c>
      <c r="W98" s="435">
        <v>6.5</v>
      </c>
      <c r="X98" s="435">
        <v>6.5002195599999997</v>
      </c>
      <c r="Y98" s="435">
        <v>6.5</v>
      </c>
      <c r="Z98" s="435">
        <v>6.5</v>
      </c>
      <c r="AA98" s="435">
        <v>6.5</v>
      </c>
      <c r="AB98" s="435">
        <v>6.5</v>
      </c>
      <c r="AC98" s="435">
        <v>6.5</v>
      </c>
      <c r="AD98" s="435">
        <v>6.5</v>
      </c>
      <c r="AE98" s="435">
        <v>6.5</v>
      </c>
      <c r="AF98" s="435">
        <v>6.5002380000000004</v>
      </c>
      <c r="AG98" s="435">
        <v>6.5189180000000002</v>
      </c>
      <c r="AH98" s="435">
        <v>6.5002399999999998</v>
      </c>
      <c r="AI98" s="435">
        <v>6.5044225599999992</v>
      </c>
      <c r="AJ98" s="435">
        <v>6.5002360000000001</v>
      </c>
      <c r="AK98" s="435">
        <v>6.500254</v>
      </c>
      <c r="AL98" s="435">
        <v>84.972913100000014</v>
      </c>
      <c r="AM98" s="438">
        <v>116.23986896</v>
      </c>
      <c r="AN98" s="438">
        <v>292.0267952726</v>
      </c>
      <c r="AO98" s="438">
        <v>364.49077288310002</v>
      </c>
      <c r="AP98" s="438">
        <v>236.79753667800301</v>
      </c>
      <c r="AQ98" s="438">
        <v>236.19022687685401</v>
      </c>
      <c r="AR98" s="432">
        <v>234.39160893746799</v>
      </c>
      <c r="AS98" s="432">
        <v>291.83981005999999</v>
      </c>
      <c r="AT98" s="432">
        <v>136.85403206999999</v>
      </c>
      <c r="AU98" s="432">
        <v>134.99995465999999</v>
      </c>
      <c r="AV98" s="432">
        <v>132.88275013000001</v>
      </c>
      <c r="AW98" s="436">
        <v>130.69888889000001</v>
      </c>
      <c r="AX98" s="436">
        <v>128.58849473999999</v>
      </c>
      <c r="AY98" s="436">
        <v>126.43155626000001</v>
      </c>
      <c r="AZ98" s="436">
        <v>124.25816643</v>
      </c>
      <c r="BA98" s="436">
        <v>122.04283488999999</v>
      </c>
      <c r="BB98" s="436">
        <v>119.80981906000001</v>
      </c>
      <c r="BC98" s="436">
        <v>117.58767493000001</v>
      </c>
      <c r="BD98" s="436">
        <v>115.34965885</v>
      </c>
      <c r="BE98" s="436">
        <v>113.08956507000001</v>
      </c>
      <c r="BF98" s="436">
        <v>113.75152331</v>
      </c>
      <c r="BG98" s="436">
        <v>8.1195020299999996</v>
      </c>
      <c r="BH98" s="436">
        <v>8.1184999999999992</v>
      </c>
      <c r="BI98" s="436">
        <v>8.1184999999999992</v>
      </c>
      <c r="BJ98" s="436">
        <v>8.1705000000000005</v>
      </c>
      <c r="BK98" s="436">
        <v>8.1706395300000008</v>
      </c>
      <c r="BL98" s="436">
        <v>8.1710042499999993</v>
      </c>
      <c r="BM98" s="436">
        <v>8.2198796699999992</v>
      </c>
      <c r="BN98" s="436">
        <v>7.9494999999999996</v>
      </c>
      <c r="BO98" s="436">
        <v>7.9494999999999996</v>
      </c>
      <c r="BP98" s="436">
        <v>7.6764999999999999</v>
      </c>
      <c r="BQ98" s="436">
        <v>7.6764999999999999</v>
      </c>
      <c r="BR98" s="436">
        <v>7.6764999999999999</v>
      </c>
      <c r="BS98" s="436">
        <v>7.6764999999999999</v>
      </c>
      <c r="BT98" s="436">
        <v>7.6764999999999999</v>
      </c>
      <c r="BU98" s="436">
        <v>7.6764999999999999</v>
      </c>
      <c r="BV98" s="436">
        <v>9.2302020000000002</v>
      </c>
      <c r="BW98" s="436">
        <v>10.095631000000001</v>
      </c>
      <c r="BX98" s="436">
        <v>9.2302020000000002</v>
      </c>
      <c r="BY98" s="436">
        <v>9.23</v>
      </c>
      <c r="BZ98" s="436">
        <v>9.1999999999999993</v>
      </c>
      <c r="CA98" s="436">
        <v>9.23</v>
      </c>
      <c r="CB98" s="436">
        <v>9.3440100000000008</v>
      </c>
      <c r="CC98" s="436">
        <v>9.3440100000000008</v>
      </c>
      <c r="CD98" s="436">
        <v>9.3440100000000008</v>
      </c>
      <c r="CE98" s="436">
        <v>9.3546212200000003</v>
      </c>
      <c r="CF98" s="436">
        <v>9.3580840000000016</v>
      </c>
      <c r="CG98" s="436">
        <v>9.3579106200000002</v>
      </c>
      <c r="CH98" s="436">
        <v>1.3760290000000001E-2</v>
      </c>
      <c r="CI98" s="436">
        <v>5.9129999999999999E-3</v>
      </c>
      <c r="CJ98" s="436">
        <v>9.5551649999999988E-2</v>
      </c>
      <c r="CK98" s="436">
        <v>1.8079499999999998E-2</v>
      </c>
      <c r="CL98" s="436">
        <v>1.1941790000000001E-2</v>
      </c>
      <c r="CM98" s="436">
        <v>1.0566790000000001E-2</v>
      </c>
      <c r="CN98" s="436">
        <v>1.148191E-2</v>
      </c>
      <c r="CO98" s="436">
        <v>9.1796100000000012E-3</v>
      </c>
      <c r="CP98" s="468">
        <v>1.1176200000000001E-2</v>
      </c>
      <c r="CQ98" s="436">
        <v>1.0819229999999999E-2</v>
      </c>
      <c r="CR98" s="436">
        <v>8.0507200000000008E-3</v>
      </c>
      <c r="CS98" s="436">
        <v>1.147306E-2</v>
      </c>
      <c r="CT98" s="436">
        <v>6.222280000000001E-3</v>
      </c>
      <c r="CU98" s="436">
        <v>1.205376E-2</v>
      </c>
      <c r="CV98" s="436">
        <v>7.2006600000000002E-3</v>
      </c>
      <c r="CW98" s="436">
        <v>1.007565E-2</v>
      </c>
      <c r="CX98" s="436">
        <v>8.1689999999999992E-3</v>
      </c>
      <c r="CY98" s="436">
        <v>1.1121000000000001E-2</v>
      </c>
      <c r="CZ98" s="436">
        <v>1.3073E-2</v>
      </c>
      <c r="DA98" s="436">
        <v>9.9000000000000008E-3</v>
      </c>
      <c r="DB98" s="436">
        <v>0.64575324999999995</v>
      </c>
      <c r="DC98" s="436">
        <v>0.66820199999999996</v>
      </c>
      <c r="DD98" s="436">
        <v>0.65178309999999995</v>
      </c>
      <c r="DE98" s="436">
        <v>0.59056534999999999</v>
      </c>
      <c r="DF98" s="436">
        <v>0.62705959999999994</v>
      </c>
      <c r="DH98" s="430"/>
    </row>
    <row r="99" spans="1:112" ht="15.95" customHeight="1">
      <c r="A99" s="431" t="s">
        <v>348</v>
      </c>
      <c r="B99" s="432">
        <v>185.20317135999997</v>
      </c>
      <c r="C99" s="433">
        <v>187.90801233999997</v>
      </c>
      <c r="D99" s="433">
        <v>194.08208089000004</v>
      </c>
      <c r="E99" s="434">
        <v>210.36974814999999</v>
      </c>
      <c r="F99" s="433">
        <v>215.56163597000003</v>
      </c>
      <c r="G99" s="433">
        <v>235.5792629357</v>
      </c>
      <c r="H99" s="433">
        <v>435.39563840999995</v>
      </c>
      <c r="I99" s="433">
        <v>387.50842507000004</v>
      </c>
      <c r="J99" s="433">
        <v>304.06025365999994</v>
      </c>
      <c r="K99" s="434">
        <v>292.24339026000001</v>
      </c>
      <c r="L99" s="433">
        <v>306.38062955999999</v>
      </c>
      <c r="M99" s="433">
        <v>294.86824723000001</v>
      </c>
      <c r="N99" s="433">
        <v>282.02337148000004</v>
      </c>
      <c r="O99" s="434">
        <v>310.96630834999996</v>
      </c>
      <c r="P99" s="433">
        <v>318.34908197999994</v>
      </c>
      <c r="Q99" s="433">
        <v>319.90471190999995</v>
      </c>
      <c r="R99" s="434">
        <v>318.67521477999998</v>
      </c>
      <c r="S99" s="433">
        <v>318.77939139999995</v>
      </c>
      <c r="T99" s="433">
        <v>326.91259193000002</v>
      </c>
      <c r="U99" s="435">
        <v>358.82074175000002</v>
      </c>
      <c r="V99" s="435">
        <v>319.17839400000003</v>
      </c>
      <c r="W99" s="435">
        <v>327.59200720000001</v>
      </c>
      <c r="X99" s="435">
        <v>320.40623551000004</v>
      </c>
      <c r="Y99" s="435">
        <v>322.88736379999995</v>
      </c>
      <c r="Z99" s="435">
        <v>316.95812301000001</v>
      </c>
      <c r="AA99" s="435">
        <v>293.78175304000001</v>
      </c>
      <c r="AB99" s="435">
        <v>272.63401559000005</v>
      </c>
      <c r="AC99" s="435">
        <v>155.90102480000002</v>
      </c>
      <c r="AD99" s="435">
        <v>180.43408848000001</v>
      </c>
      <c r="AE99" s="435">
        <v>170.30640887999999</v>
      </c>
      <c r="AF99" s="435">
        <v>208.18358467000002</v>
      </c>
      <c r="AG99" s="435">
        <v>212.44825832000004</v>
      </c>
      <c r="AH99" s="435">
        <v>226.32060888000001</v>
      </c>
      <c r="AI99" s="435">
        <v>299.41302808000006</v>
      </c>
      <c r="AJ99" s="435">
        <v>388.99981198499995</v>
      </c>
      <c r="AK99" s="435">
        <v>401.00022699499999</v>
      </c>
      <c r="AL99" s="435">
        <v>378.60530072</v>
      </c>
      <c r="AM99" s="438">
        <v>414.23817852499997</v>
      </c>
      <c r="AN99" s="438">
        <v>372.24626378999994</v>
      </c>
      <c r="AO99" s="438">
        <v>346.29605989500004</v>
      </c>
      <c r="AP99" s="438">
        <v>328.88665951690001</v>
      </c>
      <c r="AQ99" s="438">
        <v>325.34614498399998</v>
      </c>
      <c r="AR99" s="432">
        <v>600.15440630260002</v>
      </c>
      <c r="AS99" s="432">
        <v>443.43151562999998</v>
      </c>
      <c r="AT99" s="432">
        <v>423.63595256740001</v>
      </c>
      <c r="AU99" s="432">
        <v>454.58265854299998</v>
      </c>
      <c r="AV99" s="432">
        <v>518.80168487600008</v>
      </c>
      <c r="AW99" s="436">
        <v>606.6952508700499</v>
      </c>
      <c r="AX99" s="436">
        <v>627.91408924847497</v>
      </c>
      <c r="AY99" s="436">
        <v>687.78706260697106</v>
      </c>
      <c r="AZ99" s="436">
        <v>787.65242554868598</v>
      </c>
      <c r="BA99" s="436">
        <v>773.61235472999999</v>
      </c>
      <c r="BB99" s="436">
        <v>752.88096248290003</v>
      </c>
      <c r="BC99" s="436">
        <v>769.81463182979996</v>
      </c>
      <c r="BD99" s="436">
        <v>902.64682031999996</v>
      </c>
      <c r="BE99" s="436">
        <v>897.72737644850008</v>
      </c>
      <c r="BF99" s="436">
        <v>847.74924172099986</v>
      </c>
      <c r="BG99" s="436">
        <v>788.22460027800003</v>
      </c>
      <c r="BH99" s="436">
        <v>811.39179054039994</v>
      </c>
      <c r="BI99" s="436">
        <v>872.47320154249996</v>
      </c>
      <c r="BJ99" s="436">
        <v>903.83692580930006</v>
      </c>
      <c r="BK99" s="436">
        <v>974.5391210002</v>
      </c>
      <c r="BL99" s="436">
        <v>915.34603206259987</v>
      </c>
      <c r="BM99" s="436">
        <v>977.19577565400004</v>
      </c>
      <c r="BN99" s="436">
        <v>956.09327772300003</v>
      </c>
      <c r="BO99" s="436">
        <v>916.69655005480001</v>
      </c>
      <c r="BP99" s="436">
        <v>978.89973404</v>
      </c>
      <c r="BQ99" s="436">
        <v>767.52691697629996</v>
      </c>
      <c r="BR99" s="436">
        <v>861.08378199299977</v>
      </c>
      <c r="BS99" s="436">
        <v>870.99274113440015</v>
      </c>
      <c r="BT99" s="436">
        <v>932.57963933649989</v>
      </c>
      <c r="BU99" s="436">
        <v>899.20173616124794</v>
      </c>
      <c r="BV99" s="436">
        <v>858.33024937361597</v>
      </c>
      <c r="BW99" s="436">
        <v>894.12813590486996</v>
      </c>
      <c r="BX99" s="436">
        <v>915.53442298300001</v>
      </c>
      <c r="BY99" s="436">
        <v>881.21824795549992</v>
      </c>
      <c r="BZ99" s="436">
        <v>1158.5999999999999</v>
      </c>
      <c r="CA99" s="436">
        <v>1669.7786998369002</v>
      </c>
      <c r="CB99" s="436">
        <v>979.50007842539981</v>
      </c>
      <c r="CC99" s="436">
        <v>1012.6294994022001</v>
      </c>
      <c r="CD99" s="436">
        <v>1008.9264088955917</v>
      </c>
      <c r="CE99" s="436">
        <v>588.16601591873723</v>
      </c>
      <c r="CF99" s="436">
        <v>567.61900842683986</v>
      </c>
      <c r="CG99" s="436">
        <v>555.40778413253668</v>
      </c>
      <c r="CH99" s="436">
        <v>581.84559862027345</v>
      </c>
      <c r="CI99" s="436">
        <v>628.92124794464837</v>
      </c>
      <c r="CJ99" s="436">
        <v>586.55950193630599</v>
      </c>
      <c r="CK99" s="436">
        <v>602.04242589</v>
      </c>
      <c r="CL99" s="436">
        <v>533.62354291999998</v>
      </c>
      <c r="CM99" s="436">
        <v>860.09848991500007</v>
      </c>
      <c r="CN99" s="436">
        <v>878.09817760500005</v>
      </c>
      <c r="CO99" s="436">
        <v>852.10210693249996</v>
      </c>
      <c r="CP99" s="468">
        <v>889.48670879999997</v>
      </c>
      <c r="CQ99" s="436">
        <v>870.44320116239999</v>
      </c>
      <c r="CR99" s="436">
        <v>858.00464179815003</v>
      </c>
      <c r="CS99" s="436">
        <v>860.94982790460006</v>
      </c>
      <c r="CT99" s="436">
        <v>815.58859447915006</v>
      </c>
      <c r="CU99" s="436">
        <v>1100.6979193138</v>
      </c>
      <c r="CV99" s="436">
        <v>1055.8780073256</v>
      </c>
      <c r="CW99" s="436">
        <v>1100.04526601159</v>
      </c>
      <c r="CX99" s="436">
        <v>1216.6347342155</v>
      </c>
      <c r="CY99" s="436">
        <v>1151.2902636325998</v>
      </c>
      <c r="CZ99" s="436">
        <v>1314.2256115204377</v>
      </c>
      <c r="DA99" s="436">
        <v>1292.1898150298798</v>
      </c>
      <c r="DB99" s="436">
        <v>1441.3608016859837</v>
      </c>
      <c r="DC99" s="436">
        <v>1503.8159876901475</v>
      </c>
      <c r="DD99" s="436">
        <v>1506.1630896509475</v>
      </c>
      <c r="DE99" s="436">
        <v>1402.38555701365</v>
      </c>
      <c r="DF99" s="436">
        <v>1178.6475296937558</v>
      </c>
      <c r="DH99" s="430"/>
    </row>
    <row r="100" spans="1:112" ht="15.95" customHeight="1">
      <c r="A100" s="431" t="s">
        <v>349</v>
      </c>
      <c r="B100" s="432">
        <v>714.69791464449997</v>
      </c>
      <c r="C100" s="433">
        <v>609.97317856999996</v>
      </c>
      <c r="D100" s="433">
        <v>584.83938008999996</v>
      </c>
      <c r="E100" s="434">
        <v>818.77560125039997</v>
      </c>
      <c r="F100" s="433">
        <v>822.05765346479996</v>
      </c>
      <c r="G100" s="433">
        <v>826.83608893626763</v>
      </c>
      <c r="H100" s="433">
        <v>890.8246249852001</v>
      </c>
      <c r="I100" s="433">
        <v>619.88005194136997</v>
      </c>
      <c r="J100" s="433">
        <v>703.13107186720003</v>
      </c>
      <c r="K100" s="434">
        <v>705.33570654439995</v>
      </c>
      <c r="L100" s="433">
        <v>695.09410273376739</v>
      </c>
      <c r="M100" s="433">
        <v>703.50408094345426</v>
      </c>
      <c r="N100" s="433">
        <v>734.68697424995776</v>
      </c>
      <c r="O100" s="434">
        <v>717.95744650379993</v>
      </c>
      <c r="P100" s="433">
        <v>723.59506086616409</v>
      </c>
      <c r="Q100" s="433">
        <v>754.56626723869999</v>
      </c>
      <c r="R100" s="434">
        <v>770.0674528510001</v>
      </c>
      <c r="S100" s="433">
        <v>808.44522681559999</v>
      </c>
      <c r="T100" s="433">
        <v>736.59105190999992</v>
      </c>
      <c r="U100" s="435">
        <v>799.79405567525794</v>
      </c>
      <c r="V100" s="435">
        <v>936.6830903924149</v>
      </c>
      <c r="W100" s="435">
        <v>1013.1736650591851</v>
      </c>
      <c r="X100" s="435">
        <v>1084.2326746755821</v>
      </c>
      <c r="Y100" s="435">
        <v>926.18866461550783</v>
      </c>
      <c r="Z100" s="435">
        <v>1855.4002443724978</v>
      </c>
      <c r="AA100" s="435">
        <v>1661.6434256461564</v>
      </c>
      <c r="AB100" s="435">
        <v>1657.9978314761324</v>
      </c>
      <c r="AC100" s="435">
        <v>1882.902730647935</v>
      </c>
      <c r="AD100" s="435">
        <v>2029.5459584542771</v>
      </c>
      <c r="AE100" s="435">
        <v>2121.655358206996</v>
      </c>
      <c r="AF100" s="435">
        <v>2098.0112250705502</v>
      </c>
      <c r="AG100" s="435">
        <v>2158.8833239561445</v>
      </c>
      <c r="AH100" s="435">
        <v>2489.7712049900401</v>
      </c>
      <c r="AI100" s="435">
        <v>3744.2692637208961</v>
      </c>
      <c r="AJ100" s="435">
        <v>4155.8679908568829</v>
      </c>
      <c r="AK100" s="435">
        <v>4454.3598172714346</v>
      </c>
      <c r="AL100" s="435">
        <v>4989.9076507462632</v>
      </c>
      <c r="AM100" s="438">
        <v>5493.4411654425985</v>
      </c>
      <c r="AN100" s="438">
        <v>4706.5288888501009</v>
      </c>
      <c r="AO100" s="438">
        <v>4838.4834164824651</v>
      </c>
      <c r="AP100" s="438">
        <v>4483.7849558840016</v>
      </c>
      <c r="AQ100" s="438">
        <v>4401.6200424451417</v>
      </c>
      <c r="AR100" s="432">
        <v>4013.7287109496592</v>
      </c>
      <c r="AS100" s="432">
        <v>3995.3991917870385</v>
      </c>
      <c r="AT100" s="432">
        <v>3807.2270378305357</v>
      </c>
      <c r="AU100" s="432">
        <v>3975.51400469891</v>
      </c>
      <c r="AV100" s="432">
        <v>4030.2719575240917</v>
      </c>
      <c r="AW100" s="436">
        <v>3822.1326939366368</v>
      </c>
      <c r="AX100" s="436">
        <v>3576.041704142755</v>
      </c>
      <c r="AY100" s="436">
        <v>3760.3622018337101</v>
      </c>
      <c r="AZ100" s="436">
        <v>4321.7628450836828</v>
      </c>
      <c r="BA100" s="436">
        <v>4286.1327192511326</v>
      </c>
      <c r="BB100" s="436">
        <v>5076.4133249375518</v>
      </c>
      <c r="BC100" s="436">
        <v>5032.9457677654027</v>
      </c>
      <c r="BD100" s="436">
        <v>4634.8070307125636</v>
      </c>
      <c r="BE100" s="436">
        <v>4566.9877742784865</v>
      </c>
      <c r="BF100" s="436">
        <v>4236.1309651734</v>
      </c>
      <c r="BG100" s="436">
        <v>4506.9717652589998</v>
      </c>
      <c r="BH100" s="436">
        <v>4438.0138212631291</v>
      </c>
      <c r="BI100" s="436">
        <v>4580.9228817900894</v>
      </c>
      <c r="BJ100" s="436">
        <v>4407.1366620156086</v>
      </c>
      <c r="BK100" s="436">
        <v>4107.1727612484401</v>
      </c>
      <c r="BL100" s="436">
        <v>4359.6045222536904</v>
      </c>
      <c r="BM100" s="436">
        <v>4668.4158780293619</v>
      </c>
      <c r="BN100" s="436">
        <v>4701.5166690812084</v>
      </c>
      <c r="BO100" s="436">
        <v>4783.799419619425</v>
      </c>
      <c r="BP100" s="436">
        <v>5260.9006798971914</v>
      </c>
      <c r="BQ100" s="436">
        <v>5096.2989496242744</v>
      </c>
      <c r="BR100" s="436">
        <v>5038.5606199521235</v>
      </c>
      <c r="BS100" s="436">
        <v>5474.6890044584716</v>
      </c>
      <c r="BT100" s="436">
        <v>5560.205297856578</v>
      </c>
      <c r="BU100" s="436">
        <v>5408.3974051894747</v>
      </c>
      <c r="BV100" s="436">
        <v>5598.2392397336644</v>
      </c>
      <c r="BW100" s="436">
        <v>5462.1298817169245</v>
      </c>
      <c r="BX100" s="436">
        <v>5525.5667349415007</v>
      </c>
      <c r="BY100" s="436">
        <v>5709.7100208644006</v>
      </c>
      <c r="BZ100" s="436">
        <v>5688.6</v>
      </c>
      <c r="CA100" s="436">
        <v>5611.7488778820198</v>
      </c>
      <c r="CB100" s="436">
        <v>6966.9247731276555</v>
      </c>
      <c r="CC100" s="436">
        <v>7859.6954385377103</v>
      </c>
      <c r="CD100" s="436">
        <v>7505.8112808411697</v>
      </c>
      <c r="CE100" s="436">
        <v>7215.123862775863</v>
      </c>
      <c r="CF100" s="436">
        <v>6457.8209475162639</v>
      </c>
      <c r="CG100" s="436">
        <v>6899.7869665262961</v>
      </c>
      <c r="CH100" s="436">
        <v>7303.4483771381629</v>
      </c>
      <c r="CI100" s="436">
        <v>6752.2187619599708</v>
      </c>
      <c r="CJ100" s="436">
        <v>6792.2447299277528</v>
      </c>
      <c r="CK100" s="436">
        <v>6712.9474384153946</v>
      </c>
      <c r="CL100" s="436">
        <v>6596.0007252802234</v>
      </c>
      <c r="CM100" s="436">
        <v>6605.9548178585792</v>
      </c>
      <c r="CN100" s="436">
        <v>6592.225891089859</v>
      </c>
      <c r="CO100" s="436">
        <v>6704.7852407125683</v>
      </c>
      <c r="CP100" s="468">
        <v>6826.2733793794241</v>
      </c>
      <c r="CQ100" s="436">
        <v>6946.1043188049434</v>
      </c>
      <c r="CR100" s="436">
        <v>6819.6101613116407</v>
      </c>
      <c r="CS100" s="436">
        <v>6664.5797204801511</v>
      </c>
      <c r="CT100" s="436">
        <v>6675.4499300752286</v>
      </c>
      <c r="CU100" s="436">
        <v>7567.5670321336547</v>
      </c>
      <c r="CV100" s="436">
        <v>7700.9670508598356</v>
      </c>
      <c r="CW100" s="436">
        <v>7315.2341064148295</v>
      </c>
      <c r="CX100" s="436">
        <v>6876.340800273194</v>
      </c>
      <c r="CY100" s="436">
        <v>6926.6989738109842</v>
      </c>
      <c r="CZ100" s="436">
        <v>6980.6843216399693</v>
      </c>
      <c r="DA100" s="436">
        <v>6703.0936189812028</v>
      </c>
      <c r="DB100" s="436">
        <v>6755.1600970247773</v>
      </c>
      <c r="DC100" s="436">
        <v>6698.8777939881966</v>
      </c>
      <c r="DD100" s="436">
        <v>7312.7797743858009</v>
      </c>
      <c r="DE100" s="436">
        <v>6956.1348550839439</v>
      </c>
      <c r="DF100" s="436">
        <v>6434.5231689045841</v>
      </c>
      <c r="DH100" s="430"/>
    </row>
    <row r="101" spans="1:112" ht="15.95" customHeight="1">
      <c r="A101" s="431" t="s">
        <v>350</v>
      </c>
      <c r="B101" s="432">
        <v>381.14089100000001</v>
      </c>
      <c r="C101" s="433">
        <v>302.61128963000004</v>
      </c>
      <c r="D101" s="433">
        <v>285.53637800000001</v>
      </c>
      <c r="E101" s="434">
        <v>284.21448800000002</v>
      </c>
      <c r="F101" s="433">
        <v>274.02513800000003</v>
      </c>
      <c r="G101" s="433">
        <v>374.02534300000002</v>
      </c>
      <c r="H101" s="433">
        <v>368.18711999999999</v>
      </c>
      <c r="I101" s="433">
        <v>334.661451</v>
      </c>
      <c r="J101" s="433">
        <v>432.17281000000003</v>
      </c>
      <c r="K101" s="434">
        <v>441.52141273000001</v>
      </c>
      <c r="L101" s="433">
        <v>2052.3029062099999</v>
      </c>
      <c r="M101" s="433">
        <v>2048.7337489199999</v>
      </c>
      <c r="N101" s="433">
        <v>2338.9024081794018</v>
      </c>
      <c r="O101" s="434">
        <v>2353.964952379401</v>
      </c>
      <c r="P101" s="433">
        <v>2397.9630134694012</v>
      </c>
      <c r="Q101" s="433">
        <v>2389.7803961655663</v>
      </c>
      <c r="R101" s="434">
        <v>2339.8218220753397</v>
      </c>
      <c r="S101" s="433">
        <v>2366.8926311532732</v>
      </c>
      <c r="T101" s="433">
        <v>2347.6050583645938</v>
      </c>
      <c r="U101" s="435">
        <v>2338.7577917844678</v>
      </c>
      <c r="V101" s="435">
        <v>813.77663583446781</v>
      </c>
      <c r="W101" s="435">
        <v>800.93301396543848</v>
      </c>
      <c r="X101" s="435">
        <v>762.53315009543849</v>
      </c>
      <c r="Y101" s="435">
        <v>690.77569324543856</v>
      </c>
      <c r="Z101" s="435">
        <v>875.22545058905791</v>
      </c>
      <c r="AA101" s="435">
        <v>856.39211658905788</v>
      </c>
      <c r="AB101" s="435">
        <v>846.17491996905778</v>
      </c>
      <c r="AC101" s="435">
        <v>962.37317897051287</v>
      </c>
      <c r="AD101" s="435">
        <v>910.00165437592636</v>
      </c>
      <c r="AE101" s="435">
        <v>903.5156826259265</v>
      </c>
      <c r="AF101" s="435">
        <v>905.56880137592634</v>
      </c>
      <c r="AG101" s="435">
        <v>903.24171565592633</v>
      </c>
      <c r="AH101" s="435">
        <v>870.58053361592636</v>
      </c>
      <c r="AI101" s="435">
        <v>844.03356805300098</v>
      </c>
      <c r="AJ101" s="435">
        <v>789.98935332300096</v>
      </c>
      <c r="AK101" s="435">
        <v>776.08177119300103</v>
      </c>
      <c r="AL101" s="435">
        <v>739.87209321773605</v>
      </c>
      <c r="AM101" s="438">
        <v>729.26508691773608</v>
      </c>
      <c r="AN101" s="438">
        <v>629.52247591773607</v>
      </c>
      <c r="AO101" s="438">
        <v>634.03069074906625</v>
      </c>
      <c r="AP101" s="438">
        <v>628.47410435906625</v>
      </c>
      <c r="AQ101" s="438">
        <v>617.57752563906627</v>
      </c>
      <c r="AR101" s="432">
        <v>607.74584303573283</v>
      </c>
      <c r="AS101" s="432">
        <v>605.66193696573293</v>
      </c>
      <c r="AT101" s="432">
        <v>588.7356674257328</v>
      </c>
      <c r="AU101" s="432">
        <v>574.60864812609407</v>
      </c>
      <c r="AV101" s="432">
        <v>566.27279296609402</v>
      </c>
      <c r="AW101" s="436">
        <v>557.94309238609412</v>
      </c>
      <c r="AX101" s="436">
        <v>759.54389995805184</v>
      </c>
      <c r="AY101" s="436">
        <v>753.54239917805182</v>
      </c>
      <c r="AZ101" s="436">
        <v>695.2011811780518</v>
      </c>
      <c r="BA101" s="436">
        <v>702.75181049288278</v>
      </c>
      <c r="BB101" s="436">
        <v>691.00808081288278</v>
      </c>
      <c r="BC101" s="436">
        <v>679.33504925288287</v>
      </c>
      <c r="BD101" s="436">
        <v>788.07075187510304</v>
      </c>
      <c r="BE101" s="436">
        <v>777.97135363510301</v>
      </c>
      <c r="BF101" s="436">
        <v>763.48328460510299</v>
      </c>
      <c r="BG101" s="436">
        <v>768.64001738133641</v>
      </c>
      <c r="BH101" s="436">
        <v>755.30659838133647</v>
      </c>
      <c r="BI101" s="436">
        <v>741.97326438133643</v>
      </c>
      <c r="BJ101" s="436">
        <v>820.6427628737564</v>
      </c>
      <c r="BK101" s="436">
        <v>810.81510727375655</v>
      </c>
      <c r="BL101" s="436">
        <v>793.98801387375636</v>
      </c>
      <c r="BM101" s="436">
        <v>960.40302395000003</v>
      </c>
      <c r="BN101" s="436">
        <v>830.93890644232317</v>
      </c>
      <c r="BO101" s="436">
        <v>812.01249773232314</v>
      </c>
      <c r="BP101" s="436">
        <v>798.13518832049795</v>
      </c>
      <c r="BQ101" s="436">
        <v>785.70795316049794</v>
      </c>
      <c r="BR101" s="436">
        <v>771.47003816049789</v>
      </c>
      <c r="BS101" s="436">
        <v>764.92091790800782</v>
      </c>
      <c r="BT101" s="436">
        <v>728.10997330156067</v>
      </c>
      <c r="BU101" s="436">
        <v>746.36401860156059</v>
      </c>
      <c r="BV101" s="436">
        <v>884.22925797999994</v>
      </c>
      <c r="BW101" s="436">
        <v>852.79331327999989</v>
      </c>
      <c r="BX101" s="436">
        <v>931.98122499999999</v>
      </c>
      <c r="BY101" s="436">
        <v>932.64709300000004</v>
      </c>
      <c r="BZ101" s="436">
        <v>922.2</v>
      </c>
      <c r="CA101" s="436">
        <v>921.22766354275007</v>
      </c>
      <c r="CB101" s="436">
        <v>907.98291426275011</v>
      </c>
      <c r="CC101" s="436">
        <v>308.30996425000001</v>
      </c>
      <c r="CD101" s="436">
        <v>417.75223341999998</v>
      </c>
      <c r="CE101" s="436">
        <v>519.08684378999999</v>
      </c>
      <c r="CF101" s="436">
        <v>511.8668419</v>
      </c>
      <c r="CG101" s="436">
        <v>504.52041152000004</v>
      </c>
      <c r="CH101" s="436">
        <v>541.17620889</v>
      </c>
      <c r="CI101" s="436">
        <v>538.10996406000004</v>
      </c>
      <c r="CJ101" s="436">
        <v>540.13928379000004</v>
      </c>
      <c r="CK101" s="436">
        <v>536.76707811999995</v>
      </c>
      <c r="CL101" s="436">
        <v>456.26798581000003</v>
      </c>
      <c r="CM101" s="436">
        <v>425.08917665000001</v>
      </c>
      <c r="CN101" s="436">
        <v>412.26895896999997</v>
      </c>
      <c r="CO101" s="436">
        <v>398.37499306999996</v>
      </c>
      <c r="CP101" s="468">
        <v>467.71017252000007</v>
      </c>
      <c r="CQ101" s="436">
        <v>497.53095352999998</v>
      </c>
      <c r="CR101" s="436">
        <v>488.12421932000001</v>
      </c>
      <c r="CS101" s="436">
        <v>459.59498085000001</v>
      </c>
      <c r="CT101" s="436">
        <v>452.72130077000003</v>
      </c>
      <c r="CU101" s="436">
        <v>455.99258927999995</v>
      </c>
      <c r="CV101" s="436">
        <v>442.86412240999999</v>
      </c>
      <c r="CW101" s="436">
        <v>443.23145349999999</v>
      </c>
      <c r="CX101" s="436">
        <v>421.08020832</v>
      </c>
      <c r="CY101" s="436">
        <v>476.6715519</v>
      </c>
      <c r="CZ101" s="436">
        <v>495.43524981999997</v>
      </c>
      <c r="DA101" s="436">
        <v>688.71012415999996</v>
      </c>
      <c r="DB101" s="436">
        <v>701.68831126999999</v>
      </c>
      <c r="DC101" s="436">
        <v>651.76059376000001</v>
      </c>
      <c r="DD101" s="436">
        <v>664.56444291999992</v>
      </c>
      <c r="DE101" s="436">
        <v>495.46454969999996</v>
      </c>
      <c r="DF101" s="436">
        <v>479.94742694999997</v>
      </c>
      <c r="DH101" s="430"/>
    </row>
    <row r="102" spans="1:112" ht="15.95" customHeight="1">
      <c r="A102" s="431" t="s">
        <v>284</v>
      </c>
      <c r="B102" s="432">
        <v>5843.0565415835536</v>
      </c>
      <c r="C102" s="433">
        <v>5559.6508094964829</v>
      </c>
      <c r="D102" s="433">
        <v>5402.9399321534711</v>
      </c>
      <c r="E102" s="434">
        <v>5589.0693086817</v>
      </c>
      <c r="F102" s="433">
        <v>5384.7305975907293</v>
      </c>
      <c r="G102" s="433">
        <v>5309.0810698800469</v>
      </c>
      <c r="H102" s="433">
        <v>5964.7013840558393</v>
      </c>
      <c r="I102" s="433">
        <v>6098.2309947908798</v>
      </c>
      <c r="J102" s="433">
        <v>6082.0523489815996</v>
      </c>
      <c r="K102" s="434">
        <v>5963.8149222485999</v>
      </c>
      <c r="L102" s="433">
        <v>6090.9573205450479</v>
      </c>
      <c r="M102" s="433">
        <v>5929.4918350761973</v>
      </c>
      <c r="N102" s="433">
        <v>6186.1345093231603</v>
      </c>
      <c r="O102" s="434">
        <v>6338.1862835821003</v>
      </c>
      <c r="P102" s="433">
        <v>6925.6437506492466</v>
      </c>
      <c r="Q102" s="433">
        <v>6964.3098789862006</v>
      </c>
      <c r="R102" s="434">
        <v>7538.4142954195995</v>
      </c>
      <c r="S102" s="433">
        <v>7830.9613635325013</v>
      </c>
      <c r="T102" s="433">
        <v>7878.3259107999993</v>
      </c>
      <c r="U102" s="435">
        <v>8305.7927825150182</v>
      </c>
      <c r="V102" s="435">
        <v>8437.8692368629872</v>
      </c>
      <c r="W102" s="435">
        <v>8839.8772899001997</v>
      </c>
      <c r="X102" s="435">
        <v>8795.7042239999992</v>
      </c>
      <c r="Y102" s="435">
        <v>8721.1979148789906</v>
      </c>
      <c r="Z102" s="435">
        <v>7816.3438431857876</v>
      </c>
      <c r="AA102" s="435">
        <v>7748.380829087946</v>
      </c>
      <c r="AB102" s="435">
        <v>7784.153618037426</v>
      </c>
      <c r="AC102" s="435">
        <v>8676.7860172852324</v>
      </c>
      <c r="AD102" s="435">
        <v>8627.8424176872686</v>
      </c>
      <c r="AE102" s="435">
        <v>8693.1561027003245</v>
      </c>
      <c r="AF102" s="435">
        <v>8632.6252355775541</v>
      </c>
      <c r="AG102" s="435">
        <v>8847.3806556513282</v>
      </c>
      <c r="AH102" s="435">
        <v>8337.9693267333387</v>
      </c>
      <c r="AI102" s="435">
        <v>8636.3118297826659</v>
      </c>
      <c r="AJ102" s="435">
        <v>8328.3025826940157</v>
      </c>
      <c r="AK102" s="435">
        <v>8974.3879707484375</v>
      </c>
      <c r="AL102" s="435">
        <v>9311.7854957182954</v>
      </c>
      <c r="AM102" s="438">
        <v>9347.8913287904797</v>
      </c>
      <c r="AN102" s="438">
        <v>9404.6315948528718</v>
      </c>
      <c r="AO102" s="438">
        <v>9739.2593938442769</v>
      </c>
      <c r="AP102" s="438">
        <v>10004.12934457988</v>
      </c>
      <c r="AQ102" s="438">
        <v>10110.843716640182</v>
      </c>
      <c r="AR102" s="432">
        <v>10481.630446117419</v>
      </c>
      <c r="AS102" s="432">
        <v>9588.9037520400016</v>
      </c>
      <c r="AT102" s="432">
        <v>9808.146917614833</v>
      </c>
      <c r="AU102" s="432">
        <v>9588.0800079374403</v>
      </c>
      <c r="AV102" s="432">
        <v>9718.6503103592222</v>
      </c>
      <c r="AW102" s="436">
        <v>9268.3878983211143</v>
      </c>
      <c r="AX102" s="436">
        <v>9353.4470332928995</v>
      </c>
      <c r="AY102" s="436">
        <v>9437.5246191005372</v>
      </c>
      <c r="AZ102" s="436">
        <v>10274.352882980123</v>
      </c>
      <c r="BA102" s="436">
        <v>10166.427793609553</v>
      </c>
      <c r="BB102" s="436">
        <v>10389.417836790184</v>
      </c>
      <c r="BC102" s="436">
        <v>10625.011745687814</v>
      </c>
      <c r="BD102" s="436">
        <v>9968.1205601711408</v>
      </c>
      <c r="BE102" s="436">
        <v>10049.684991127566</v>
      </c>
      <c r="BF102" s="436">
        <v>10591.858671057624</v>
      </c>
      <c r="BG102" s="436">
        <v>10290.99895543688</v>
      </c>
      <c r="BH102" s="436">
        <v>10512.315250310969</v>
      </c>
      <c r="BI102" s="436">
        <v>10090.904356145989</v>
      </c>
      <c r="BJ102" s="436">
        <v>10605.867338809932</v>
      </c>
      <c r="BK102" s="436">
        <v>11040.351617682078</v>
      </c>
      <c r="BL102" s="436">
        <v>10834.717194104769</v>
      </c>
      <c r="BM102" s="436">
        <v>10864.337875750831</v>
      </c>
      <c r="BN102" s="436">
        <v>11143.472911347837</v>
      </c>
      <c r="BO102" s="436">
        <v>11339.18894172525</v>
      </c>
      <c r="BP102" s="436">
        <v>13010.94603568831</v>
      </c>
      <c r="BQ102" s="436">
        <v>13142.899956530015</v>
      </c>
      <c r="BR102" s="436">
        <v>13363.50966748602</v>
      </c>
      <c r="BS102" s="436">
        <v>12936.477396168693</v>
      </c>
      <c r="BT102" s="436">
        <v>13068.660070256547</v>
      </c>
      <c r="BU102" s="436">
        <v>13263.756393642407</v>
      </c>
      <c r="BV102" s="436">
        <v>13422.464196176719</v>
      </c>
      <c r="BW102" s="436">
        <v>13318.599485888837</v>
      </c>
      <c r="BX102" s="436">
        <v>13884.877446752998</v>
      </c>
      <c r="BY102" s="436">
        <v>12626.312459336299</v>
      </c>
      <c r="BZ102" s="436">
        <v>12673.5</v>
      </c>
      <c r="CA102" s="436">
        <v>12681.161033793069</v>
      </c>
      <c r="CB102" s="436">
        <v>12468.731049080949</v>
      </c>
      <c r="CC102" s="436">
        <v>12556.242423928998</v>
      </c>
      <c r="CD102" s="436">
        <v>12565.614363119123</v>
      </c>
      <c r="CE102" s="436">
        <v>13330.591293970043</v>
      </c>
      <c r="CF102" s="436">
        <v>13385.725306133078</v>
      </c>
      <c r="CG102" s="436">
        <v>13505.929810974714</v>
      </c>
      <c r="CH102" s="436">
        <v>13874.19672138575</v>
      </c>
      <c r="CI102" s="436">
        <v>14264.518265692097</v>
      </c>
      <c r="CJ102" s="436">
        <v>14179.103431277292</v>
      </c>
      <c r="CK102" s="436">
        <v>14072.053020673709</v>
      </c>
      <c r="CL102" s="436">
        <v>14578.135137691666</v>
      </c>
      <c r="CM102" s="436">
        <v>14805.33190524052</v>
      </c>
      <c r="CN102" s="436">
        <v>14968.761863425219</v>
      </c>
      <c r="CO102" s="436">
        <v>15098.044093518205</v>
      </c>
      <c r="CP102" s="468">
        <v>15796.365322770551</v>
      </c>
      <c r="CQ102" s="436">
        <v>15629.802863859108</v>
      </c>
      <c r="CR102" s="436">
        <v>15495.803244839399</v>
      </c>
      <c r="CS102" s="436">
        <v>14805.436872236807</v>
      </c>
      <c r="CT102" s="436">
        <v>14797.377580901317</v>
      </c>
      <c r="CU102" s="436">
        <v>16078.05223355928</v>
      </c>
      <c r="CV102" s="436">
        <v>16838.235221396673</v>
      </c>
      <c r="CW102" s="436">
        <v>17241.250708475582</v>
      </c>
      <c r="CX102" s="436">
        <v>15935.731066888802</v>
      </c>
      <c r="CY102" s="436">
        <v>16290.5268088251</v>
      </c>
      <c r="CZ102" s="436">
        <v>14772.610030014266</v>
      </c>
      <c r="DA102" s="436">
        <v>15344.610266733509</v>
      </c>
      <c r="DB102" s="436">
        <v>14413.982020529544</v>
      </c>
      <c r="DC102" s="436">
        <v>15253.669761821304</v>
      </c>
      <c r="DD102" s="436">
        <v>15164.432433200847</v>
      </c>
      <c r="DE102" s="436">
        <v>14969.756712879434</v>
      </c>
      <c r="DF102" s="436">
        <v>11345.259370575928</v>
      </c>
      <c r="DH102" s="430"/>
    </row>
    <row r="103" spans="1:112" ht="7.7" customHeight="1">
      <c r="A103" s="419"/>
      <c r="B103" s="420"/>
      <c r="C103" s="422"/>
      <c r="D103" s="422"/>
      <c r="E103" s="423"/>
      <c r="F103" s="422"/>
      <c r="G103" s="422"/>
      <c r="H103" s="433"/>
      <c r="I103" s="433"/>
      <c r="J103" s="433"/>
      <c r="K103" s="434"/>
      <c r="L103" s="433"/>
      <c r="M103" s="433"/>
      <c r="N103" s="433"/>
      <c r="O103" s="434"/>
      <c r="P103" s="433"/>
      <c r="Q103" s="433"/>
      <c r="R103" s="434"/>
      <c r="S103" s="433"/>
      <c r="T103" s="433"/>
      <c r="U103" s="435"/>
      <c r="V103" s="435"/>
      <c r="W103" s="435"/>
      <c r="X103" s="435"/>
      <c r="Y103" s="435"/>
      <c r="Z103" s="435"/>
      <c r="AA103" s="435"/>
      <c r="AB103" s="435"/>
      <c r="AC103" s="435"/>
      <c r="AD103" s="435"/>
      <c r="AE103" s="435"/>
      <c r="AF103" s="435"/>
      <c r="AG103" s="435"/>
      <c r="AH103" s="435"/>
      <c r="AI103" s="435"/>
      <c r="AJ103" s="435"/>
      <c r="AK103" s="435"/>
      <c r="AL103" s="435"/>
      <c r="AM103" s="426"/>
      <c r="AN103" s="426"/>
      <c r="AO103" s="426"/>
      <c r="AP103" s="426"/>
      <c r="AQ103" s="426"/>
      <c r="AR103" s="420"/>
      <c r="AS103" s="420"/>
      <c r="AT103" s="420"/>
      <c r="AU103" s="420"/>
      <c r="AV103" s="420"/>
      <c r="AW103" s="427"/>
      <c r="AX103" s="427"/>
      <c r="AY103" s="427"/>
      <c r="AZ103" s="427"/>
      <c r="BA103" s="427"/>
      <c r="BB103" s="427"/>
      <c r="BC103" s="427"/>
      <c r="BD103" s="427"/>
      <c r="BE103" s="427"/>
      <c r="BF103" s="427"/>
      <c r="BG103" s="427"/>
      <c r="BH103" s="427"/>
      <c r="BI103" s="427"/>
      <c r="BJ103" s="427"/>
      <c r="BK103" s="427"/>
      <c r="BL103" s="427"/>
      <c r="BM103" s="427"/>
      <c r="BN103" s="427"/>
      <c r="BO103" s="427"/>
      <c r="BP103" s="427"/>
      <c r="BQ103" s="427"/>
      <c r="BR103" s="427"/>
      <c r="BS103" s="427"/>
      <c r="BT103" s="427"/>
      <c r="BU103" s="427"/>
      <c r="BV103" s="427"/>
      <c r="BW103" s="427"/>
      <c r="BX103" s="427"/>
      <c r="BY103" s="427"/>
      <c r="BZ103" s="427"/>
      <c r="CA103" s="427"/>
      <c r="CB103" s="427"/>
      <c r="CC103" s="427"/>
      <c r="CD103" s="427"/>
      <c r="CE103" s="427"/>
      <c r="CF103" s="427"/>
      <c r="CG103" s="427"/>
      <c r="CH103" s="427"/>
      <c r="CI103" s="427"/>
      <c r="CJ103" s="427"/>
      <c r="CK103" s="427"/>
      <c r="CL103" s="427"/>
      <c r="CM103" s="427"/>
      <c r="CN103" s="427"/>
      <c r="CO103" s="427"/>
      <c r="CP103" s="467"/>
      <c r="CQ103" s="436"/>
      <c r="CR103" s="427"/>
      <c r="CS103" s="427"/>
      <c r="CT103" s="427"/>
      <c r="CU103" s="427"/>
      <c r="CV103" s="427"/>
      <c r="CW103" s="427"/>
      <c r="CX103" s="427"/>
      <c r="CY103" s="427"/>
      <c r="CZ103" s="427"/>
      <c r="DA103" s="427"/>
      <c r="DB103" s="427"/>
      <c r="DC103" s="427"/>
      <c r="DD103" s="427"/>
      <c r="DE103" s="427"/>
      <c r="DF103" s="427"/>
      <c r="DH103" s="430"/>
    </row>
    <row r="104" spans="1:112">
      <c r="A104" s="419" t="s">
        <v>351</v>
      </c>
      <c r="B104" s="420">
        <f>SUM(B106:B111)</f>
        <v>1509.70975011</v>
      </c>
      <c r="C104" s="422">
        <f>SUM(C106:C111)</f>
        <v>1523.1343472900003</v>
      </c>
      <c r="D104" s="422">
        <f>SUM(D106:D111)</f>
        <v>1435.4538235392199</v>
      </c>
      <c r="E104" s="423">
        <f>SUM(E106:E111)</f>
        <v>1777.6978128800001</v>
      </c>
      <c r="F104" s="422">
        <v>1783.0134692099998</v>
      </c>
      <c r="G104" s="422">
        <v>1782.97130324</v>
      </c>
      <c r="H104" s="422">
        <v>1928.6365559099997</v>
      </c>
      <c r="I104" s="422">
        <v>2159.7271055099995</v>
      </c>
      <c r="J104" s="422">
        <v>2096.2796883999999</v>
      </c>
      <c r="K104" s="423">
        <v>2240.9168075799998</v>
      </c>
      <c r="L104" s="422">
        <v>2359.1139275</v>
      </c>
      <c r="M104" s="422">
        <v>2532.0489711800001</v>
      </c>
      <c r="N104" s="422">
        <v>2832.795467736827</v>
      </c>
      <c r="O104" s="423">
        <v>3056.7181062300001</v>
      </c>
      <c r="P104" s="422">
        <v>2950.8056036100006</v>
      </c>
      <c r="Q104" s="422">
        <v>3271.7490953799997</v>
      </c>
      <c r="R104" s="423">
        <v>3261.0112979267997</v>
      </c>
      <c r="S104" s="422">
        <v>3222.4995605480003</v>
      </c>
      <c r="T104" s="422">
        <v>3446.5573752949999</v>
      </c>
      <c r="U104" s="425">
        <v>3722.3216707786</v>
      </c>
      <c r="V104" s="425">
        <v>3555.3852888812253</v>
      </c>
      <c r="W104" s="425">
        <v>3906.7524735088</v>
      </c>
      <c r="X104" s="425">
        <v>3980.1829983998005</v>
      </c>
      <c r="Y104" s="425">
        <v>3955.0857712682723</v>
      </c>
      <c r="Z104" s="425">
        <v>4136.6673557411377</v>
      </c>
      <c r="AA104" s="425">
        <v>4719.2753357909669</v>
      </c>
      <c r="AB104" s="425">
        <v>4731.3731359345293</v>
      </c>
      <c r="AC104" s="425">
        <v>5472.0266775643213</v>
      </c>
      <c r="AD104" s="425">
        <v>5284.1989032000001</v>
      </c>
      <c r="AE104" s="425">
        <v>5278.0772102500014</v>
      </c>
      <c r="AF104" s="425">
        <v>5297.4631043299996</v>
      </c>
      <c r="AG104" s="425">
        <v>5292.8926040299993</v>
      </c>
      <c r="AH104" s="425">
        <v>5252.9533871599997</v>
      </c>
      <c r="AI104" s="425">
        <v>5191.3927255099989</v>
      </c>
      <c r="AJ104" s="425">
        <v>5257.7029262500009</v>
      </c>
      <c r="AK104" s="425">
        <v>5222.8961423800001</v>
      </c>
      <c r="AL104" s="425">
        <v>5124.9316933700011</v>
      </c>
      <c r="AM104" s="426">
        <v>6001.12399671</v>
      </c>
      <c r="AN104" s="426">
        <v>5071.9550348500006</v>
      </c>
      <c r="AO104" s="426">
        <v>5134.7203384800005</v>
      </c>
      <c r="AP104" s="426">
        <v>5214.7937380833009</v>
      </c>
      <c r="AQ104" s="426">
        <v>5019.2706518697996</v>
      </c>
      <c r="AR104" s="420">
        <v>5011.9611979984011</v>
      </c>
      <c r="AS104" s="420">
        <v>5012.5874523900002</v>
      </c>
      <c r="AT104" s="420">
        <v>5093.6261356928017</v>
      </c>
      <c r="AU104" s="420">
        <v>5227.9352840696001</v>
      </c>
      <c r="AV104" s="420">
        <v>5213.4135083210003</v>
      </c>
      <c r="AW104" s="427">
        <v>5192.8869614513997</v>
      </c>
      <c r="AX104" s="427">
        <v>5170.2930121266008</v>
      </c>
      <c r="AY104" s="427">
        <v>5117.4767530987019</v>
      </c>
      <c r="AZ104" s="427">
        <v>4969.6525154068004</v>
      </c>
      <c r="BA104" s="427">
        <v>4952.8842333205994</v>
      </c>
      <c r="BB104" s="427">
        <v>4968.2237115259986</v>
      </c>
      <c r="BC104" s="427">
        <v>4991.351040043799</v>
      </c>
      <c r="BD104" s="427">
        <v>4679.0333738847994</v>
      </c>
      <c r="BE104" s="427">
        <v>4739.297370675099</v>
      </c>
      <c r="BF104" s="427">
        <v>4737.8399976220007</v>
      </c>
      <c r="BG104" s="427">
        <v>5011.7861140549994</v>
      </c>
      <c r="BH104" s="427">
        <v>4984.6044536206</v>
      </c>
      <c r="BI104" s="427">
        <v>4599.8889201365</v>
      </c>
      <c r="BJ104" s="427">
        <v>4626.6899196592994</v>
      </c>
      <c r="BK104" s="427">
        <v>4607.3518246560006</v>
      </c>
      <c r="BL104" s="427">
        <v>4604.0258776235996</v>
      </c>
      <c r="BM104" s="427">
        <v>4515.9871865396008</v>
      </c>
      <c r="BN104" s="427">
        <v>4503.6206132851003</v>
      </c>
      <c r="BO104" s="427">
        <v>4515.6693013260001</v>
      </c>
      <c r="BP104" s="427">
        <v>4596.0199963968998</v>
      </c>
      <c r="BQ104" s="427">
        <v>4538.0364011846996</v>
      </c>
      <c r="BR104" s="427">
        <v>4533.8173955696002</v>
      </c>
      <c r="BS104" s="427">
        <v>4561.4763032700002</v>
      </c>
      <c r="BT104" s="427">
        <v>4485.4882666535559</v>
      </c>
      <c r="BU104" s="427">
        <v>4742.118447319458</v>
      </c>
      <c r="BV104" s="427">
        <v>4869.9260031321537</v>
      </c>
      <c r="BW104" s="427">
        <v>4820.9327075944093</v>
      </c>
      <c r="BX104" s="427">
        <v>4778.5848931379996</v>
      </c>
      <c r="BY104" s="427">
        <v>4918.598412099901</v>
      </c>
      <c r="BZ104" s="427">
        <v>4850.2</v>
      </c>
      <c r="CA104" s="427">
        <v>4837.9414658570431</v>
      </c>
      <c r="CB104" s="427">
        <v>5008.919048558656</v>
      </c>
      <c r="CC104" s="427">
        <v>5247.7130071773581</v>
      </c>
      <c r="CD104" s="427">
        <v>4798.6357955309813</v>
      </c>
      <c r="CE104" s="427">
        <v>4772.9053229254278</v>
      </c>
      <c r="CF104" s="427">
        <v>5010.3745755004684</v>
      </c>
      <c r="CG104" s="427">
        <v>4983.999164788378</v>
      </c>
      <c r="CH104" s="427">
        <v>5339.7968440045843</v>
      </c>
      <c r="CI104" s="427">
        <v>5104.4157031112536</v>
      </c>
      <c r="CJ104" s="427">
        <v>4609.8845675915545</v>
      </c>
      <c r="CK104" s="427">
        <v>4519.6842046908441</v>
      </c>
      <c r="CL104" s="427">
        <v>4589.0669697419962</v>
      </c>
      <c r="CM104" s="427">
        <v>4611.6554767679072</v>
      </c>
      <c r="CN104" s="427">
        <v>4939.7034843434312</v>
      </c>
      <c r="CO104" s="427">
        <v>4601.7767237080379</v>
      </c>
      <c r="CP104" s="467">
        <v>4603.7480078824756</v>
      </c>
      <c r="CQ104" s="427">
        <v>4637.5540243965588</v>
      </c>
      <c r="CR104" s="427">
        <v>4574.5220597050047</v>
      </c>
      <c r="CS104" s="427">
        <v>4552.3019547040949</v>
      </c>
      <c r="CT104" s="427">
        <v>4528.6528754635538</v>
      </c>
      <c r="CU104" s="427">
        <v>4380.4741818151906</v>
      </c>
      <c r="CV104" s="427">
        <v>4296.8779493818765</v>
      </c>
      <c r="CW104" s="427">
        <v>4398.7340739368456</v>
      </c>
      <c r="CX104" s="427">
        <v>4415.143159425138</v>
      </c>
      <c r="CY104" s="427">
        <v>4407.5101466302431</v>
      </c>
      <c r="CZ104" s="427">
        <v>4470.4268681511494</v>
      </c>
      <c r="DA104" s="427">
        <v>4376.5370871671694</v>
      </c>
      <c r="DB104" s="427">
        <v>4363.4521039060683</v>
      </c>
      <c r="DC104" s="427">
        <v>4380.8822737070886</v>
      </c>
      <c r="DD104" s="427">
        <v>4399.4761551193196</v>
      </c>
      <c r="DE104" s="427">
        <v>4371.4322952930133</v>
      </c>
      <c r="DF104" s="427">
        <v>4333.4335600078566</v>
      </c>
      <c r="DH104" s="430"/>
    </row>
    <row r="105" spans="1:112" ht="15.95" customHeight="1">
      <c r="A105" s="431" t="s">
        <v>275</v>
      </c>
      <c r="B105" s="420"/>
      <c r="C105" s="422"/>
      <c r="D105" s="422"/>
      <c r="E105" s="423"/>
      <c r="F105" s="422"/>
      <c r="G105" s="422"/>
      <c r="H105" s="433"/>
      <c r="I105" s="433"/>
      <c r="J105" s="433"/>
      <c r="K105" s="434"/>
      <c r="L105" s="433"/>
      <c r="M105" s="433"/>
      <c r="N105" s="433"/>
      <c r="O105" s="434"/>
      <c r="P105" s="433"/>
      <c r="Q105" s="433"/>
      <c r="R105" s="434"/>
      <c r="S105" s="433"/>
      <c r="T105" s="433"/>
      <c r="U105" s="435"/>
      <c r="V105" s="435"/>
      <c r="W105" s="435"/>
      <c r="X105" s="435"/>
      <c r="Y105" s="435"/>
      <c r="Z105" s="435"/>
      <c r="AA105" s="435"/>
      <c r="AB105" s="435"/>
      <c r="AC105" s="435"/>
      <c r="AD105" s="435"/>
      <c r="AE105" s="435"/>
      <c r="AF105" s="435"/>
      <c r="AG105" s="435"/>
      <c r="AH105" s="435"/>
      <c r="AI105" s="435"/>
      <c r="AJ105" s="435"/>
      <c r="AK105" s="435"/>
      <c r="AL105" s="435"/>
      <c r="AM105" s="426"/>
      <c r="AN105" s="426"/>
      <c r="AO105" s="426"/>
      <c r="AP105" s="426"/>
      <c r="AQ105" s="438"/>
      <c r="AR105" s="420"/>
      <c r="AS105" s="420"/>
      <c r="AT105" s="420"/>
      <c r="AU105" s="420"/>
      <c r="AV105" s="420"/>
      <c r="AW105" s="427"/>
      <c r="AX105" s="427"/>
      <c r="AY105" s="427"/>
      <c r="AZ105" s="427"/>
      <c r="BA105" s="427"/>
      <c r="BB105" s="427"/>
      <c r="BC105" s="427"/>
      <c r="BD105" s="427"/>
      <c r="BE105" s="427"/>
      <c r="BF105" s="427"/>
      <c r="BG105" s="427"/>
      <c r="BH105" s="427"/>
      <c r="BI105" s="427"/>
      <c r="BJ105" s="427"/>
      <c r="BK105" s="427"/>
      <c r="BL105" s="427"/>
      <c r="BM105" s="427"/>
      <c r="BN105" s="427"/>
      <c r="BO105" s="427"/>
      <c r="BP105" s="427"/>
      <c r="BQ105" s="427"/>
      <c r="BR105" s="427"/>
      <c r="BS105" s="427"/>
      <c r="BT105" s="427"/>
      <c r="BU105" s="427"/>
      <c r="BV105" s="427"/>
      <c r="BW105" s="427"/>
      <c r="BX105" s="427"/>
      <c r="BY105" s="427"/>
      <c r="BZ105" s="427"/>
      <c r="CA105" s="427"/>
      <c r="CB105" s="427"/>
      <c r="CC105" s="427"/>
      <c r="CD105" s="427"/>
      <c r="CE105" s="427"/>
      <c r="CF105" s="427"/>
      <c r="CG105" s="427"/>
      <c r="CH105" s="427"/>
      <c r="CI105" s="427"/>
      <c r="CJ105" s="427"/>
      <c r="CK105" s="427"/>
      <c r="CL105" s="427"/>
      <c r="CM105" s="427"/>
      <c r="CN105" s="427"/>
      <c r="CO105" s="427"/>
      <c r="CP105" s="467"/>
      <c r="CQ105" s="427"/>
      <c r="CR105" s="427"/>
      <c r="CS105" s="427"/>
      <c r="CT105" s="427"/>
      <c r="CU105" s="427"/>
      <c r="CV105" s="427"/>
      <c r="CW105" s="427"/>
      <c r="CX105" s="427"/>
      <c r="CY105" s="427"/>
      <c r="CZ105" s="427"/>
      <c r="DA105" s="427"/>
      <c r="DB105" s="427"/>
      <c r="DC105" s="427"/>
      <c r="DD105" s="427"/>
      <c r="DE105" s="427"/>
      <c r="DF105" s="427"/>
      <c r="DH105" s="430"/>
    </row>
    <row r="106" spans="1:112" ht="15.95" customHeight="1">
      <c r="A106" s="431" t="s">
        <v>352</v>
      </c>
      <c r="B106" s="432">
        <v>119.49455534000001</v>
      </c>
      <c r="C106" s="433">
        <v>119.30625034000001</v>
      </c>
      <c r="D106" s="433">
        <v>119.30625000000001</v>
      </c>
      <c r="E106" s="434">
        <v>112.289063</v>
      </c>
      <c r="F106" s="433">
        <v>112.48625563</v>
      </c>
      <c r="G106" s="433">
        <v>112.76867897</v>
      </c>
      <c r="H106" s="433">
        <v>105.74606136</v>
      </c>
      <c r="I106" s="433">
        <v>105.74100195</v>
      </c>
      <c r="J106" s="433">
        <v>105.73498293</v>
      </c>
      <c r="K106" s="434">
        <v>24.019706510000002</v>
      </c>
      <c r="L106" s="433">
        <v>0.45148349999999998</v>
      </c>
      <c r="M106" s="433">
        <v>0.44630403999999996</v>
      </c>
      <c r="N106" s="433">
        <v>0.44039478000000004</v>
      </c>
      <c r="O106" s="434">
        <v>20.754899780000002</v>
      </c>
      <c r="P106" s="433">
        <v>0.95627418999999991</v>
      </c>
      <c r="Q106" s="433">
        <v>0.94292693999999999</v>
      </c>
      <c r="R106" s="434">
        <v>1.03827666</v>
      </c>
      <c r="S106" s="433">
        <v>1.40527326</v>
      </c>
      <c r="T106" s="433">
        <v>1.38103205</v>
      </c>
      <c r="U106" s="435">
        <v>1.4526903</v>
      </c>
      <c r="V106" s="435">
        <v>1.53126601</v>
      </c>
      <c r="W106" s="435">
        <v>1.8102425200000001</v>
      </c>
      <c r="X106" s="435">
        <v>1.81593559</v>
      </c>
      <c r="Y106" s="435">
        <v>2.6619332999999998</v>
      </c>
      <c r="Z106" s="435">
        <v>2.6905306600000003</v>
      </c>
      <c r="AA106" s="435">
        <v>59.017689750000002</v>
      </c>
      <c r="AB106" s="435">
        <v>59.236836029999999</v>
      </c>
      <c r="AC106" s="435">
        <v>58.907486890000001</v>
      </c>
      <c r="AD106" s="435">
        <v>58.931897870000007</v>
      </c>
      <c r="AE106" s="435">
        <v>57.013748010000008</v>
      </c>
      <c r="AF106" s="435">
        <v>51.077286660000006</v>
      </c>
      <c r="AG106" s="435">
        <v>49.599513710000004</v>
      </c>
      <c r="AH106" s="435">
        <v>46.855433259999998</v>
      </c>
      <c r="AI106" s="435">
        <v>44.036852079999996</v>
      </c>
      <c r="AJ106" s="435">
        <v>48.907155380000006</v>
      </c>
      <c r="AK106" s="435">
        <v>51.11775424999999</v>
      </c>
      <c r="AL106" s="435">
        <v>25.436707629999997</v>
      </c>
      <c r="AM106" s="438">
        <v>47.410901860000003</v>
      </c>
      <c r="AN106" s="438">
        <v>43.159645169999997</v>
      </c>
      <c r="AO106" s="438">
        <v>41.302958429999997</v>
      </c>
      <c r="AP106" s="438">
        <v>45.216777900000004</v>
      </c>
      <c r="AQ106" s="438">
        <v>44.099737509999997</v>
      </c>
      <c r="AR106" s="432">
        <v>45.059103379999996</v>
      </c>
      <c r="AS106" s="432">
        <v>45.224328409999998</v>
      </c>
      <c r="AT106" s="432">
        <v>47.191116170000001</v>
      </c>
      <c r="AU106" s="432">
        <v>43.811339769999996</v>
      </c>
      <c r="AV106" s="432">
        <v>41.335493360000001</v>
      </c>
      <c r="AW106" s="436">
        <v>39.050217979999999</v>
      </c>
      <c r="AX106" s="436">
        <v>37.830638819999997</v>
      </c>
      <c r="AY106" s="436">
        <v>36.384225139999998</v>
      </c>
      <c r="AZ106" s="436">
        <v>35.162277520000004</v>
      </c>
      <c r="BA106" s="436">
        <v>33.40985053</v>
      </c>
      <c r="BB106" s="436">
        <v>33.574761459999998</v>
      </c>
      <c r="BC106" s="436">
        <v>29.755468539999999</v>
      </c>
      <c r="BD106" s="436">
        <v>34.904166840000002</v>
      </c>
      <c r="BE106" s="436">
        <v>34.125251879999993</v>
      </c>
      <c r="BF106" s="436">
        <v>34.632319320000001</v>
      </c>
      <c r="BG106" s="436">
        <v>465.04032915999994</v>
      </c>
      <c r="BH106" s="436">
        <v>466.30826980000001</v>
      </c>
      <c r="BI106" s="436">
        <v>41.138195430000003</v>
      </c>
      <c r="BJ106" s="436">
        <v>38.765016780000003</v>
      </c>
      <c r="BK106" s="436">
        <v>36.797917529999999</v>
      </c>
      <c r="BL106" s="436">
        <v>35.637485759999997</v>
      </c>
      <c r="BM106" s="436">
        <v>35.087282939999994</v>
      </c>
      <c r="BN106" s="436">
        <v>34.263288586750001</v>
      </c>
      <c r="BO106" s="436">
        <v>38.249361739999998</v>
      </c>
      <c r="BP106" s="436">
        <v>21.898889609999998</v>
      </c>
      <c r="BQ106" s="436">
        <v>20.16773263</v>
      </c>
      <c r="BR106" s="436">
        <v>25.65319182</v>
      </c>
      <c r="BS106" s="436">
        <v>17.75135903</v>
      </c>
      <c r="BT106" s="436">
        <v>16.87788802</v>
      </c>
      <c r="BU106" s="436">
        <v>14.272777870000001</v>
      </c>
      <c r="BV106" s="436">
        <v>13.225327569999999</v>
      </c>
      <c r="BW106" s="436">
        <v>12.52046803</v>
      </c>
      <c r="BX106" s="436">
        <v>11.871399</v>
      </c>
      <c r="BY106" s="436">
        <v>11.17329</v>
      </c>
      <c r="BZ106" s="436">
        <v>10.9</v>
      </c>
      <c r="CA106" s="436">
        <v>9.8260235500000004</v>
      </c>
      <c r="CB106" s="436">
        <v>8.2108843300000007</v>
      </c>
      <c r="CC106" s="436">
        <v>403.39722673</v>
      </c>
      <c r="CD106" s="436">
        <v>21.864306820000003</v>
      </c>
      <c r="CE106" s="436">
        <v>19.04434878</v>
      </c>
      <c r="CF106" s="436">
        <v>9.2798890000000007</v>
      </c>
      <c r="CG106" s="436">
        <v>5.2046002800000002</v>
      </c>
      <c r="CH106" s="436">
        <v>3.5374280100000002</v>
      </c>
      <c r="CI106" s="436">
        <v>2.3785914999999997</v>
      </c>
      <c r="CJ106" s="436">
        <v>3.4697751399999999</v>
      </c>
      <c r="CK106" s="436">
        <v>2.4355652700000001</v>
      </c>
      <c r="CL106" s="436">
        <v>16.650414300000001</v>
      </c>
      <c r="CM106" s="436">
        <v>32.544520750000004</v>
      </c>
      <c r="CN106" s="436">
        <v>64.723370339999988</v>
      </c>
      <c r="CO106" s="436">
        <v>71.935314459999987</v>
      </c>
      <c r="CP106" s="468">
        <v>126.1101657</v>
      </c>
      <c r="CQ106" s="436">
        <v>156.06813425000001</v>
      </c>
      <c r="CR106" s="436">
        <v>167.75473380000003</v>
      </c>
      <c r="CS106" s="436">
        <v>129.44003673999998</v>
      </c>
      <c r="CT106" s="436">
        <v>156.21530458999999</v>
      </c>
      <c r="CU106" s="436">
        <v>144.97523511000003</v>
      </c>
      <c r="CV106" s="436">
        <v>147.89160914000001</v>
      </c>
      <c r="CW106" s="436">
        <v>249.51444346999997</v>
      </c>
      <c r="CX106" s="436">
        <v>269.93679225</v>
      </c>
      <c r="CY106" s="436">
        <v>235.56546027000002</v>
      </c>
      <c r="CZ106" s="436">
        <v>234.09562825</v>
      </c>
      <c r="DA106" s="436">
        <v>233.48007157999999</v>
      </c>
      <c r="DB106" s="436">
        <v>281.82136236000002</v>
      </c>
      <c r="DC106" s="436">
        <v>340.39974451999996</v>
      </c>
      <c r="DD106" s="436">
        <v>372.42716636</v>
      </c>
      <c r="DE106" s="436">
        <v>377.80649629999999</v>
      </c>
      <c r="DF106" s="436">
        <v>286.05142635000004</v>
      </c>
      <c r="DH106" s="430"/>
    </row>
    <row r="107" spans="1:112" ht="15.95" customHeight="1">
      <c r="A107" s="431" t="s">
        <v>353</v>
      </c>
      <c r="B107" s="432">
        <v>8.6698999999999998E-2</v>
      </c>
      <c r="C107" s="433">
        <v>8.7903999999999996E-2</v>
      </c>
      <c r="D107" s="433">
        <v>0</v>
      </c>
      <c r="E107" s="434">
        <v>0</v>
      </c>
      <c r="F107" s="433">
        <v>0</v>
      </c>
      <c r="G107" s="433">
        <v>0</v>
      </c>
      <c r="H107" s="433">
        <v>0</v>
      </c>
      <c r="I107" s="433">
        <v>0</v>
      </c>
      <c r="J107" s="433">
        <v>0</v>
      </c>
      <c r="K107" s="434">
        <v>0</v>
      </c>
      <c r="L107" s="433">
        <v>0</v>
      </c>
      <c r="M107" s="433">
        <v>0</v>
      </c>
      <c r="N107" s="433">
        <v>1.7000000000000001E-7</v>
      </c>
      <c r="O107" s="434">
        <v>0</v>
      </c>
      <c r="P107" s="433">
        <v>0</v>
      </c>
      <c r="Q107" s="433">
        <v>0</v>
      </c>
      <c r="R107" s="434">
        <v>0</v>
      </c>
      <c r="S107" s="433">
        <v>0</v>
      </c>
      <c r="T107" s="433">
        <v>0</v>
      </c>
      <c r="U107" s="435">
        <v>0</v>
      </c>
      <c r="V107" s="435">
        <v>0</v>
      </c>
      <c r="W107" s="435">
        <v>0</v>
      </c>
      <c r="X107" s="435">
        <v>0</v>
      </c>
      <c r="Y107" s="435">
        <v>0</v>
      </c>
      <c r="Z107" s="435">
        <v>0</v>
      </c>
      <c r="AA107" s="435">
        <v>0</v>
      </c>
      <c r="AB107" s="435">
        <v>0</v>
      </c>
      <c r="AC107" s="435">
        <v>0</v>
      </c>
      <c r="AD107" s="435">
        <v>0</v>
      </c>
      <c r="AE107" s="435">
        <v>0</v>
      </c>
      <c r="AF107" s="435">
        <v>0</v>
      </c>
      <c r="AG107" s="435">
        <v>0.87286981999999991</v>
      </c>
      <c r="AH107" s="435">
        <v>0.83348158999999999</v>
      </c>
      <c r="AI107" s="435">
        <v>0.82566706999999995</v>
      </c>
      <c r="AJ107" s="435">
        <v>0.84184024000000002</v>
      </c>
      <c r="AK107" s="435">
        <v>0.84622047999999994</v>
      </c>
      <c r="AL107" s="435">
        <v>0.80138970999999992</v>
      </c>
      <c r="AM107" s="438">
        <v>0.80229708999999994</v>
      </c>
      <c r="AN107" s="438">
        <v>0.83257758999999998</v>
      </c>
      <c r="AO107" s="438">
        <v>0.83681335999999995</v>
      </c>
      <c r="AP107" s="438">
        <v>0.77550790000000003</v>
      </c>
      <c r="AQ107" s="438">
        <v>0.82390682000000004</v>
      </c>
      <c r="AR107" s="432">
        <v>0.77461053000000002</v>
      </c>
      <c r="AS107" s="432">
        <v>0.80295496000000011</v>
      </c>
      <c r="AT107" s="432">
        <v>0.78176608999999997</v>
      </c>
      <c r="AU107" s="432">
        <v>0.81492243999999991</v>
      </c>
      <c r="AV107" s="432">
        <v>0.87455806000000003</v>
      </c>
      <c r="AW107" s="436">
        <v>0.89304991999999994</v>
      </c>
      <c r="AX107" s="436">
        <v>0.88163465000000008</v>
      </c>
      <c r="AY107" s="436">
        <v>0.80285133000000009</v>
      </c>
      <c r="AZ107" s="436">
        <v>0.85393606000000011</v>
      </c>
      <c r="BA107" s="436">
        <v>0.89275982000000009</v>
      </c>
      <c r="BB107" s="436">
        <v>0.93817373999999998</v>
      </c>
      <c r="BC107" s="436">
        <v>0.89677717999999995</v>
      </c>
      <c r="BD107" s="436">
        <v>0.82711160000000006</v>
      </c>
      <c r="BE107" s="436">
        <v>0.82887506999999994</v>
      </c>
      <c r="BF107" s="436">
        <v>0.87387207000000011</v>
      </c>
      <c r="BG107" s="436">
        <v>0.83807326000000004</v>
      </c>
      <c r="BH107" s="436">
        <v>0.79597003</v>
      </c>
      <c r="BI107" s="436">
        <v>0.74438353000000002</v>
      </c>
      <c r="BJ107" s="436">
        <v>0.81301922999999998</v>
      </c>
      <c r="BK107" s="436">
        <v>0.89484501999999999</v>
      </c>
      <c r="BL107" s="436">
        <v>0.83976812000000001</v>
      </c>
      <c r="BM107" s="436">
        <v>0.77374410999999987</v>
      </c>
      <c r="BN107" s="436">
        <v>0.74394908000000004</v>
      </c>
      <c r="BO107" s="436">
        <v>0.95615585999999997</v>
      </c>
      <c r="BP107" s="436">
        <v>0.70921234000000011</v>
      </c>
      <c r="BQ107" s="436">
        <v>0.76676848000000009</v>
      </c>
      <c r="BR107" s="436">
        <v>0.78927779999999992</v>
      </c>
      <c r="BS107" s="436">
        <v>0.70710201000000006</v>
      </c>
      <c r="BT107" s="436">
        <v>0.75653966999999989</v>
      </c>
      <c r="BU107" s="436">
        <v>169.49915914499999</v>
      </c>
      <c r="BV107" s="436">
        <v>0.7341534999999999</v>
      </c>
      <c r="BW107" s="436">
        <v>1.5788452951299998</v>
      </c>
      <c r="BX107" s="436">
        <v>0.68706699999999998</v>
      </c>
      <c r="BY107" s="436">
        <v>0.63937699999999997</v>
      </c>
      <c r="BZ107" s="436">
        <v>0.7</v>
      </c>
      <c r="CA107" s="436">
        <v>0.66250910000000007</v>
      </c>
      <c r="CB107" s="436">
        <v>0.62058137000000002</v>
      </c>
      <c r="CC107" s="436">
        <v>0.64621927999999995</v>
      </c>
      <c r="CD107" s="436">
        <v>0.64745849999999994</v>
      </c>
      <c r="CE107" s="436">
        <v>0.59894466000000002</v>
      </c>
      <c r="CF107" s="436">
        <v>0.60216871000000005</v>
      </c>
      <c r="CG107" s="436">
        <v>0.59884506000000004</v>
      </c>
      <c r="CH107" s="436">
        <v>0.3291482</v>
      </c>
      <c r="CI107" s="436">
        <v>0.30758937000000003</v>
      </c>
      <c r="CJ107" s="436">
        <v>0.34192033999999993</v>
      </c>
      <c r="CK107" s="436">
        <v>0.33796384999999995</v>
      </c>
      <c r="CL107" s="436">
        <v>0.26031196999999995</v>
      </c>
      <c r="CM107" s="436">
        <v>0.32560691999999997</v>
      </c>
      <c r="CN107" s="436">
        <v>0.20557094000000001</v>
      </c>
      <c r="CO107" s="436">
        <v>0.16930111</v>
      </c>
      <c r="CP107" s="468">
        <v>0.25293156</v>
      </c>
      <c r="CQ107" s="436">
        <v>0.19770417999999998</v>
      </c>
      <c r="CR107" s="436">
        <v>0.27725835999999998</v>
      </c>
      <c r="CS107" s="436">
        <v>0.13611614999999999</v>
      </c>
      <c r="CT107" s="436">
        <v>3.7074570000000001E-2</v>
      </c>
      <c r="CU107" s="436">
        <v>0.11044973</v>
      </c>
      <c r="CV107" s="436">
        <v>0.12256629999999999</v>
      </c>
      <c r="CW107" s="436">
        <v>0.15521771000000001</v>
      </c>
      <c r="CX107" s="436">
        <v>0.11679244</v>
      </c>
      <c r="CY107" s="436">
        <v>9.779003E-2</v>
      </c>
      <c r="CZ107" s="436">
        <v>9.6887199999999996E-3</v>
      </c>
      <c r="DA107" s="436">
        <v>0.17491887</v>
      </c>
      <c r="DB107" s="436">
        <v>6.0992989999999997E-2</v>
      </c>
      <c r="DC107" s="436">
        <v>0.16526191999999998</v>
      </c>
      <c r="DD107" s="436">
        <v>9.3909430000000002E-2</v>
      </c>
      <c r="DE107" s="436">
        <v>3.9655199999999995E-2</v>
      </c>
      <c r="DF107" s="436">
        <v>0.12710466000000001</v>
      </c>
      <c r="DH107" s="430"/>
    </row>
    <row r="108" spans="1:112" ht="15.95" customHeight="1">
      <c r="A108" s="431" t="s">
        <v>354</v>
      </c>
      <c r="B108" s="432">
        <v>1319.58720836</v>
      </c>
      <c r="C108" s="433">
        <v>1346.0016246800001</v>
      </c>
      <c r="D108" s="433">
        <v>1242.73591231</v>
      </c>
      <c r="E108" s="434">
        <v>1572.2854826100001</v>
      </c>
      <c r="F108" s="433">
        <v>1560.9065010899999</v>
      </c>
      <c r="G108" s="433">
        <v>1585.3775773699999</v>
      </c>
      <c r="H108" s="433">
        <v>1721.5423900999999</v>
      </c>
      <c r="I108" s="433">
        <v>1981.72471215</v>
      </c>
      <c r="J108" s="433">
        <v>1912.35082405</v>
      </c>
      <c r="K108" s="434">
        <v>2120.2220272499999</v>
      </c>
      <c r="L108" s="433">
        <v>2296.5238972900001</v>
      </c>
      <c r="M108" s="433">
        <v>2451.2847674</v>
      </c>
      <c r="N108" s="433">
        <v>2786.516032406827</v>
      </c>
      <c r="O108" s="434">
        <v>2985.8160611999997</v>
      </c>
      <c r="P108" s="433">
        <v>2893.4227878400002</v>
      </c>
      <c r="Q108" s="433">
        <v>3215.2856183099998</v>
      </c>
      <c r="R108" s="434">
        <v>3204.9002545967996</v>
      </c>
      <c r="S108" s="433">
        <v>3168.6164450880001</v>
      </c>
      <c r="T108" s="433">
        <v>3390.6271246749998</v>
      </c>
      <c r="U108" s="435">
        <v>3659.5488182685999</v>
      </c>
      <c r="V108" s="435">
        <v>3497.147517511225</v>
      </c>
      <c r="W108" s="435">
        <v>3849.4241273387997</v>
      </c>
      <c r="X108" s="435">
        <v>3910.4604776198003</v>
      </c>
      <c r="Y108" s="435">
        <v>3898.9584248482724</v>
      </c>
      <c r="Z108" s="435">
        <v>4075.0927027111379</v>
      </c>
      <c r="AA108" s="435">
        <v>4612.2420968709675</v>
      </c>
      <c r="AB108" s="435">
        <v>4623.8598898145292</v>
      </c>
      <c r="AC108" s="435">
        <v>5363.4843688043211</v>
      </c>
      <c r="AD108" s="435">
        <v>5174.6025133200001</v>
      </c>
      <c r="AE108" s="435">
        <v>5176.9895113700004</v>
      </c>
      <c r="AF108" s="435">
        <v>5175.3655062399994</v>
      </c>
      <c r="AG108" s="435">
        <v>5115.5871677599998</v>
      </c>
      <c r="AH108" s="435">
        <v>5088.6933811600002</v>
      </c>
      <c r="AI108" s="435">
        <v>5015.0515038200001</v>
      </c>
      <c r="AJ108" s="435">
        <v>5052.1303271600009</v>
      </c>
      <c r="AK108" s="435">
        <v>5034.8292972400004</v>
      </c>
      <c r="AL108" s="435">
        <v>5004.8375547700007</v>
      </c>
      <c r="AM108" s="438">
        <v>5829.4497738800001</v>
      </c>
      <c r="AN108" s="438">
        <v>4929.5849083399999</v>
      </c>
      <c r="AO108" s="438">
        <v>4968.2986028400001</v>
      </c>
      <c r="AP108" s="438">
        <v>5029.3694211400007</v>
      </c>
      <c r="AQ108" s="438">
        <v>4860.9992540900002</v>
      </c>
      <c r="AR108" s="432">
        <v>4843.83837726</v>
      </c>
      <c r="AS108" s="432">
        <v>4829.9899116300003</v>
      </c>
      <c r="AT108" s="432">
        <v>4949.3120753600006</v>
      </c>
      <c r="AU108" s="432">
        <v>5070.2892873400006</v>
      </c>
      <c r="AV108" s="432">
        <v>5058.7642513500004</v>
      </c>
      <c r="AW108" s="436">
        <v>5030.5074466900005</v>
      </c>
      <c r="AX108" s="436">
        <v>5035.8267314900004</v>
      </c>
      <c r="AY108" s="436">
        <v>4954.3828010300003</v>
      </c>
      <c r="AZ108" s="436">
        <v>4818.5299336300004</v>
      </c>
      <c r="BA108" s="436">
        <v>4795.4212070799986</v>
      </c>
      <c r="BB108" s="436">
        <v>4826.1915849399993</v>
      </c>
      <c r="BC108" s="436">
        <v>4814.5322764699995</v>
      </c>
      <c r="BD108" s="436">
        <v>4538.6064292900001</v>
      </c>
      <c r="BE108" s="436">
        <v>4576.0364318099992</v>
      </c>
      <c r="BF108" s="436">
        <v>4549.8133272599989</v>
      </c>
      <c r="BG108" s="436">
        <v>4416.3221045199998</v>
      </c>
      <c r="BH108" s="436">
        <v>4389.6163489</v>
      </c>
      <c r="BI108" s="436">
        <v>4409.6554666700004</v>
      </c>
      <c r="BJ108" s="436">
        <v>4412.4316824099997</v>
      </c>
      <c r="BK108" s="436">
        <v>4301.3054654000007</v>
      </c>
      <c r="BL108" s="436">
        <v>4303.9825675500006</v>
      </c>
      <c r="BM108" s="436">
        <v>4201.8497396499997</v>
      </c>
      <c r="BN108" s="436">
        <v>4197.0589122947504</v>
      </c>
      <c r="BO108" s="436">
        <v>4217.8194457</v>
      </c>
      <c r="BP108" s="436">
        <v>4264.6437833400005</v>
      </c>
      <c r="BQ108" s="436">
        <v>4251.7259982899996</v>
      </c>
      <c r="BR108" s="436">
        <v>4214.8323523300005</v>
      </c>
      <c r="BS108" s="436">
        <v>4261.8394221799999</v>
      </c>
      <c r="BT108" s="436">
        <v>4208.7910649800006</v>
      </c>
      <c r="BU108" s="436">
        <v>4259.3839909247999</v>
      </c>
      <c r="BV108" s="436">
        <v>4489.1992416898283</v>
      </c>
      <c r="BW108" s="436">
        <v>4427.7451519286096</v>
      </c>
      <c r="BX108" s="436">
        <v>4339.8851194660001</v>
      </c>
      <c r="BY108" s="436">
        <v>4448.9700860049006</v>
      </c>
      <c r="BZ108" s="436">
        <v>4366.5</v>
      </c>
      <c r="CA108" s="436">
        <v>4349.2459709611421</v>
      </c>
      <c r="CB108" s="436">
        <v>4441.2232165070554</v>
      </c>
      <c r="CC108" s="436">
        <v>4327.2875934964195</v>
      </c>
      <c r="CD108" s="436">
        <v>4246.3807298002403</v>
      </c>
      <c r="CE108" s="436">
        <v>4160.090667905074</v>
      </c>
      <c r="CF108" s="436">
        <v>4434.0156219142282</v>
      </c>
      <c r="CG108" s="436">
        <v>4398.5630761263819</v>
      </c>
      <c r="CH108" s="436">
        <v>4609.233803477754</v>
      </c>
      <c r="CI108" s="436">
        <v>4586.4869699307737</v>
      </c>
      <c r="CJ108" s="436">
        <v>4081.2354941919698</v>
      </c>
      <c r="CK108" s="436">
        <v>3983.91017562052</v>
      </c>
      <c r="CL108" s="436">
        <v>4076.316736397242</v>
      </c>
      <c r="CM108" s="436">
        <v>4095.7705147939887</v>
      </c>
      <c r="CN108" s="436">
        <v>4381.7516204980566</v>
      </c>
      <c r="CO108" s="436">
        <v>4034.1868612702842</v>
      </c>
      <c r="CP108" s="468">
        <v>3960.6658996163746</v>
      </c>
      <c r="CQ108" s="436">
        <v>3963.2876127698501</v>
      </c>
      <c r="CR108" s="436">
        <v>3945.0676558906093</v>
      </c>
      <c r="CS108" s="436">
        <v>3990.3513962188426</v>
      </c>
      <c r="CT108" s="436">
        <v>3956.2977441966632</v>
      </c>
      <c r="CU108" s="436">
        <v>3798.0446118831273</v>
      </c>
      <c r="CV108" s="436">
        <v>3746.017907814281</v>
      </c>
      <c r="CW108" s="436">
        <v>3746.526408129052</v>
      </c>
      <c r="CX108" s="436">
        <v>3702.2864087934136</v>
      </c>
      <c r="CY108" s="436">
        <v>3725.6687366379765</v>
      </c>
      <c r="CZ108" s="436">
        <v>3731.4219861369943</v>
      </c>
      <c r="DA108" s="436">
        <v>3681.0439711257918</v>
      </c>
      <c r="DB108" s="436">
        <v>3619.3027628722593</v>
      </c>
      <c r="DC108" s="436">
        <v>3587.3192996222497</v>
      </c>
      <c r="DD108" s="436">
        <v>3524.698354581586</v>
      </c>
      <c r="DE108" s="436">
        <v>3495.9771721605434</v>
      </c>
      <c r="DF108" s="436">
        <v>3503.5251420123882</v>
      </c>
      <c r="DH108" s="430"/>
    </row>
    <row r="109" spans="1:112" ht="15.95" customHeight="1">
      <c r="A109" s="431" t="s">
        <v>355</v>
      </c>
      <c r="B109" s="432">
        <v>0.81684999999999997</v>
      </c>
      <c r="C109" s="433">
        <v>0</v>
      </c>
      <c r="D109" s="433">
        <v>11.844215</v>
      </c>
      <c r="E109" s="434">
        <v>6.8813989999999992</v>
      </c>
      <c r="F109" s="433">
        <v>6.0880850000000004</v>
      </c>
      <c r="G109" s="433">
        <v>8.1711910000000003</v>
      </c>
      <c r="H109" s="433">
        <v>8.1863609099999994</v>
      </c>
      <c r="I109" s="433">
        <v>8.9182209100000005</v>
      </c>
      <c r="J109" s="433">
        <v>10.50457791</v>
      </c>
      <c r="K109" s="434">
        <v>10.390245910000001</v>
      </c>
      <c r="L109" s="433">
        <v>9.1430439099999994</v>
      </c>
      <c r="M109" s="433">
        <v>7.4867906500000005</v>
      </c>
      <c r="N109" s="433">
        <v>7.2407209100000003</v>
      </c>
      <c r="O109" s="434">
        <v>8.7733349199999999</v>
      </c>
      <c r="P109" s="433">
        <v>10.23856928</v>
      </c>
      <c r="Q109" s="433">
        <v>8.5962449099999994</v>
      </c>
      <c r="R109" s="434">
        <v>11.016232909999999</v>
      </c>
      <c r="S109" s="433">
        <v>12.863376909999999</v>
      </c>
      <c r="T109" s="433">
        <v>10.09026534</v>
      </c>
      <c r="U109" s="435">
        <v>11.67338152</v>
      </c>
      <c r="V109" s="435">
        <v>11.16142391</v>
      </c>
      <c r="W109" s="435">
        <v>10.774765</v>
      </c>
      <c r="X109" s="435">
        <v>10.509497849999999</v>
      </c>
      <c r="Y109" s="435">
        <v>9.0157019100000007</v>
      </c>
      <c r="Z109" s="435">
        <v>12.978799909999999</v>
      </c>
      <c r="AA109" s="435">
        <v>7.9233559099999997</v>
      </c>
      <c r="AB109" s="435">
        <v>7.9181519099999997</v>
      </c>
      <c r="AC109" s="435">
        <v>9.4929859099999998</v>
      </c>
      <c r="AD109" s="435">
        <v>10.089240910000001</v>
      </c>
      <c r="AE109" s="435">
        <v>5.18979313</v>
      </c>
      <c r="AF109" s="435">
        <v>11.56585475</v>
      </c>
      <c r="AG109" s="435">
        <v>15.37978461</v>
      </c>
      <c r="AH109" s="435">
        <v>14.12042258</v>
      </c>
      <c r="AI109" s="435">
        <v>14.404598179999999</v>
      </c>
      <c r="AJ109" s="435">
        <v>6.5812866799999998</v>
      </c>
      <c r="AK109" s="435">
        <v>8.5091888299999994</v>
      </c>
      <c r="AL109" s="435">
        <v>7.5591589099999998</v>
      </c>
      <c r="AM109" s="438">
        <v>10.80766068</v>
      </c>
      <c r="AN109" s="438">
        <v>9.7869349999999997</v>
      </c>
      <c r="AO109" s="438">
        <v>11.759848199999999</v>
      </c>
      <c r="AP109" s="438">
        <v>14.98682466</v>
      </c>
      <c r="AQ109" s="438">
        <v>15.743302760000001</v>
      </c>
      <c r="AR109" s="432">
        <v>11.847971509999999</v>
      </c>
      <c r="AS109" s="432">
        <v>18.601202390000001</v>
      </c>
      <c r="AT109" s="432">
        <v>11.677629509999999</v>
      </c>
      <c r="AU109" s="432">
        <v>17.40752311</v>
      </c>
      <c r="AV109" s="432">
        <v>17.416470610000001</v>
      </c>
      <c r="AW109" s="436">
        <v>26.68121932</v>
      </c>
      <c r="AX109" s="436">
        <v>20.425204000000001</v>
      </c>
      <c r="AY109" s="436">
        <v>26.0479713</v>
      </c>
      <c r="AZ109" s="436">
        <v>28.16887088</v>
      </c>
      <c r="BA109" s="436">
        <v>28.152225999999999</v>
      </c>
      <c r="BB109" s="436">
        <v>23.520713000000001</v>
      </c>
      <c r="BC109" s="436">
        <v>25.044303729999999</v>
      </c>
      <c r="BD109" s="436">
        <v>23.834988980000002</v>
      </c>
      <c r="BE109" s="436">
        <v>26.000541329999997</v>
      </c>
      <c r="BF109" s="436">
        <v>22.890717600000002</v>
      </c>
      <c r="BG109" s="436">
        <v>22.487036979999999</v>
      </c>
      <c r="BH109" s="436">
        <v>25.070526430000001</v>
      </c>
      <c r="BI109" s="436">
        <v>23.788984750000001</v>
      </c>
      <c r="BJ109" s="436">
        <v>17.35900401</v>
      </c>
      <c r="BK109" s="436">
        <v>28.07215489</v>
      </c>
      <c r="BL109" s="436">
        <v>22.056186230000002</v>
      </c>
      <c r="BM109" s="436">
        <v>22.104652999999999</v>
      </c>
      <c r="BN109" s="436">
        <v>32.884591620000002</v>
      </c>
      <c r="BO109" s="436">
        <v>23.542453119999998</v>
      </c>
      <c r="BP109" s="436">
        <v>19.302671509999996</v>
      </c>
      <c r="BQ109" s="436">
        <v>15.77436159</v>
      </c>
      <c r="BR109" s="436">
        <v>23.609853189999999</v>
      </c>
      <c r="BS109" s="436">
        <v>25.716662410000001</v>
      </c>
      <c r="BT109" s="436">
        <v>29.603765509999999</v>
      </c>
      <c r="BU109" s="436">
        <v>26.531213649999998</v>
      </c>
      <c r="BV109" s="436">
        <v>33.183538390279999</v>
      </c>
      <c r="BW109" s="436">
        <v>43.526287574195003</v>
      </c>
      <c r="BX109" s="436">
        <v>45.661362313000005</v>
      </c>
      <c r="BY109" s="436">
        <v>38.596264365699994</v>
      </c>
      <c r="BZ109" s="436">
        <v>39.799999999999997</v>
      </c>
      <c r="CA109" s="436">
        <v>35.331133653400002</v>
      </c>
      <c r="CB109" s="436">
        <v>45.5031258908</v>
      </c>
      <c r="CC109" s="436">
        <v>55.242610352699998</v>
      </c>
      <c r="CD109" s="436">
        <v>57.959092523351991</v>
      </c>
      <c r="CE109" s="436">
        <v>57.291352610758352</v>
      </c>
      <c r="CF109" s="436">
        <v>61.720470467269998</v>
      </c>
      <c r="CG109" s="436">
        <v>56.667438807496652</v>
      </c>
      <c r="CH109" s="436">
        <v>60.005597887442995</v>
      </c>
      <c r="CI109" s="436">
        <v>59.944224292605284</v>
      </c>
      <c r="CJ109" s="436">
        <v>59.054715681393994</v>
      </c>
      <c r="CK109" s="436">
        <v>60.059581362655997</v>
      </c>
      <c r="CL109" s="436">
        <v>50.669229443998837</v>
      </c>
      <c r="CM109" s="436">
        <v>50.952494412469001</v>
      </c>
      <c r="CN109" s="436">
        <v>55.309514801311998</v>
      </c>
      <c r="CO109" s="436">
        <v>58.978096684732009</v>
      </c>
      <c r="CP109" s="468">
        <v>59.073533460999997</v>
      </c>
      <c r="CQ109" s="436">
        <v>59.470399623816995</v>
      </c>
      <c r="CR109" s="436">
        <v>55.403731329305003</v>
      </c>
      <c r="CS109" s="436">
        <v>39.7586456774468</v>
      </c>
      <c r="CT109" s="436">
        <v>49.973931981904087</v>
      </c>
      <c r="CU109" s="436">
        <v>49.764422158119366</v>
      </c>
      <c r="CV109" s="436">
        <v>63.382406027045334</v>
      </c>
      <c r="CW109" s="436">
        <v>70.206544419826372</v>
      </c>
      <c r="CX109" s="436">
        <v>69.59165311163585</v>
      </c>
      <c r="CY109" s="436">
        <v>74.435184614655327</v>
      </c>
      <c r="CZ109" s="436">
        <v>82.637889790461045</v>
      </c>
      <c r="DA109" s="436">
        <v>85.679788891152242</v>
      </c>
      <c r="DB109" s="436">
        <v>92.208453579090971</v>
      </c>
      <c r="DC109" s="436">
        <v>93.824811667668342</v>
      </c>
      <c r="DD109" s="436">
        <v>98.281675756712602</v>
      </c>
      <c r="DE109" s="436">
        <v>97.089121299126404</v>
      </c>
      <c r="DF109" s="436">
        <v>104.34044902823371</v>
      </c>
      <c r="DH109" s="430"/>
    </row>
    <row r="110" spans="1:112" ht="15.95" customHeight="1">
      <c r="A110" s="431" t="s">
        <v>356</v>
      </c>
      <c r="B110" s="432">
        <v>29.916249409999995</v>
      </c>
      <c r="C110" s="433">
        <v>13.868404450000002</v>
      </c>
      <c r="D110" s="433">
        <v>11.16747</v>
      </c>
      <c r="E110" s="434">
        <v>40.664183999999999</v>
      </c>
      <c r="F110" s="433">
        <v>55.99290036</v>
      </c>
      <c r="G110" s="433">
        <v>26.74011617</v>
      </c>
      <c r="H110" s="433">
        <v>60.275657619999997</v>
      </c>
      <c r="I110" s="433">
        <v>25.37442854</v>
      </c>
      <c r="J110" s="433">
        <v>25.906917989999997</v>
      </c>
      <c r="K110" s="434">
        <v>44.361882489999992</v>
      </c>
      <c r="L110" s="433">
        <v>13.727620009999999</v>
      </c>
      <c r="M110" s="433">
        <v>28.545128579999997</v>
      </c>
      <c r="N110" s="433">
        <v>0.43871838000000002</v>
      </c>
      <c r="O110" s="434">
        <v>1.7868999999999999E-2</v>
      </c>
      <c r="P110" s="433">
        <v>1.8152999999999999E-2</v>
      </c>
      <c r="Q110" s="433">
        <v>2.1349E-2</v>
      </c>
      <c r="R110" s="434">
        <v>2.1707000000000001E-2</v>
      </c>
      <c r="S110" s="433">
        <v>2.2145000000000001E-2</v>
      </c>
      <c r="T110" s="433">
        <v>2.2516999999999999E-2</v>
      </c>
      <c r="U110" s="435">
        <v>2.2904000000000001E-2</v>
      </c>
      <c r="V110" s="435">
        <v>2.4581590200000001</v>
      </c>
      <c r="W110" s="435">
        <v>2.43941498</v>
      </c>
      <c r="X110" s="435">
        <v>13.451742380000001</v>
      </c>
      <c r="Y110" s="435">
        <v>2.4659810000000001E-2</v>
      </c>
      <c r="Z110" s="435">
        <v>2.5070290000000002E-2</v>
      </c>
      <c r="AA110" s="435">
        <v>2.536153E-2</v>
      </c>
      <c r="AB110" s="435">
        <v>2.5763999999999999E-2</v>
      </c>
      <c r="AC110" s="435">
        <v>2.6197999999999999E-2</v>
      </c>
      <c r="AD110" s="435">
        <v>2.6654000000000001E-2</v>
      </c>
      <c r="AE110" s="435">
        <v>2.7189000000000001E-2</v>
      </c>
      <c r="AF110" s="435">
        <v>2.7744540000000002E-2</v>
      </c>
      <c r="AG110" s="435">
        <v>-6.1803580000000004E-2</v>
      </c>
      <c r="AH110" s="435">
        <v>2.8865990000000001E-2</v>
      </c>
      <c r="AI110" s="435">
        <v>2.9451540000000002E-2</v>
      </c>
      <c r="AJ110" s="435">
        <v>2.9561E-2</v>
      </c>
      <c r="AK110" s="435">
        <v>3.027024E-2</v>
      </c>
      <c r="AL110" s="435">
        <v>3.0887589999999999E-2</v>
      </c>
      <c r="AM110" s="438">
        <v>3.1533699999999998E-2</v>
      </c>
      <c r="AN110" s="438">
        <v>3.1607999999999997E-2</v>
      </c>
      <c r="AO110" s="438">
        <v>6.172735E-2</v>
      </c>
      <c r="AP110" s="438">
        <v>24.771238</v>
      </c>
      <c r="AQ110" s="438">
        <v>21.010031650000002</v>
      </c>
      <c r="AR110" s="432">
        <v>20.170415849999998</v>
      </c>
      <c r="AS110" s="432">
        <v>17.80718821</v>
      </c>
      <c r="AT110" s="432">
        <v>3.4746470000000002E-2</v>
      </c>
      <c r="AU110" s="432">
        <v>3.5263000000000003E-2</v>
      </c>
      <c r="AV110" s="432">
        <v>3.5751999999999999E-2</v>
      </c>
      <c r="AW110" s="436">
        <v>3.6351000000000001E-2</v>
      </c>
      <c r="AX110" s="436">
        <v>3.6854999999999999E-2</v>
      </c>
      <c r="AY110" s="436">
        <v>3.7383E-2</v>
      </c>
      <c r="AZ110" s="436">
        <v>3.7919000000000001E-2</v>
      </c>
      <c r="BA110" s="436">
        <v>21.525558589999999</v>
      </c>
      <c r="BB110" s="436">
        <v>3.8996000000000003E-2</v>
      </c>
      <c r="BC110" s="436">
        <v>3.9622999999999998E-2</v>
      </c>
      <c r="BD110" s="436">
        <v>4.0343540000000004E-2</v>
      </c>
      <c r="BE110" s="436">
        <v>4.0835769999999993E-2</v>
      </c>
      <c r="BF110" s="436">
        <v>7.1233828499999996</v>
      </c>
      <c r="BG110" s="436">
        <v>4.1887000000000001E-2</v>
      </c>
      <c r="BH110" s="436">
        <v>4.2467999999999999E-2</v>
      </c>
      <c r="BI110" s="436">
        <v>4.3163E-2</v>
      </c>
      <c r="BJ110" s="436">
        <v>0.43112899999999998</v>
      </c>
      <c r="BK110" s="436">
        <v>33.240719640000002</v>
      </c>
      <c r="BL110" s="436">
        <v>10.31700418</v>
      </c>
      <c r="BM110" s="436">
        <v>15.924604240000001</v>
      </c>
      <c r="BN110" s="436">
        <v>8.2077499999999998E-2</v>
      </c>
      <c r="BO110" s="436">
        <v>0.51479399999999997</v>
      </c>
      <c r="BP110" s="436">
        <v>0.53654800000000002</v>
      </c>
      <c r="BQ110" s="436">
        <v>0.31197200000000003</v>
      </c>
      <c r="BR110" s="436">
        <v>1.0670120000000001</v>
      </c>
      <c r="BS110" s="436">
        <v>1.434744</v>
      </c>
      <c r="BT110" s="436">
        <v>0.54786199999999996</v>
      </c>
      <c r="BU110" s="436">
        <v>1.5273110000000001</v>
      </c>
      <c r="BV110" s="436">
        <v>0.64276699999999998</v>
      </c>
      <c r="BW110" s="436">
        <v>0.45477499999999998</v>
      </c>
      <c r="BX110" s="436">
        <v>8.1784999999999997E-2</v>
      </c>
      <c r="BY110" s="436">
        <v>3.1196999999999999E-2</v>
      </c>
      <c r="BZ110" s="436">
        <v>0.2</v>
      </c>
      <c r="CA110" s="436">
        <v>3.139057E-2</v>
      </c>
      <c r="CB110" s="436">
        <v>2.9498E-2</v>
      </c>
      <c r="CC110" s="436">
        <v>0.59469905000000001</v>
      </c>
      <c r="CD110" s="436">
        <v>0.12504047000000001</v>
      </c>
      <c r="CE110" s="436">
        <v>4.0900079599999994</v>
      </c>
      <c r="CF110" s="436">
        <v>4.45019864</v>
      </c>
      <c r="CG110" s="436">
        <v>5.1712630099999997</v>
      </c>
      <c r="CH110" s="436">
        <v>5.6681377500000014</v>
      </c>
      <c r="CI110" s="436">
        <v>5.8521851600000003</v>
      </c>
      <c r="CJ110" s="436">
        <v>7.0132549999999991</v>
      </c>
      <c r="CK110" s="436">
        <v>6.7578200600000002</v>
      </c>
      <c r="CL110" s="436">
        <v>6.4334912700000002</v>
      </c>
      <c r="CM110" s="436">
        <v>6.7079111699999991</v>
      </c>
      <c r="CN110" s="436">
        <v>8.0455208900000006</v>
      </c>
      <c r="CO110" s="436">
        <v>9.6373011599999998</v>
      </c>
      <c r="CP110" s="468">
        <v>7.8520066699999997</v>
      </c>
      <c r="CQ110" s="436">
        <v>11.03027741</v>
      </c>
      <c r="CR110" s="436">
        <v>12.03505354</v>
      </c>
      <c r="CS110" s="436">
        <v>12.277125120000001</v>
      </c>
      <c r="CT110" s="436">
        <v>13.64131373</v>
      </c>
      <c r="CU110" s="436">
        <v>15.645325780000002</v>
      </c>
      <c r="CV110" s="436">
        <v>14.7011734</v>
      </c>
      <c r="CW110" s="436">
        <v>13.769044510000001</v>
      </c>
      <c r="CX110" s="436">
        <v>13.90520793</v>
      </c>
      <c r="CY110" s="436">
        <v>13.02092524</v>
      </c>
      <c r="CZ110" s="436">
        <v>10.32619686</v>
      </c>
      <c r="DA110" s="436">
        <v>14.3598275</v>
      </c>
      <c r="DB110" s="436">
        <v>12.20924525</v>
      </c>
      <c r="DC110" s="436">
        <v>10.72723493</v>
      </c>
      <c r="DD110" s="436">
        <v>4.7879301500000002</v>
      </c>
      <c r="DE110" s="436">
        <v>5.6682780999999993</v>
      </c>
      <c r="DF110" s="436">
        <v>5.58874592</v>
      </c>
      <c r="DH110" s="430"/>
    </row>
    <row r="111" spans="1:112" ht="15.95" customHeight="1">
      <c r="A111" s="431" t="s">
        <v>284</v>
      </c>
      <c r="B111" s="432">
        <v>39.808188000000001</v>
      </c>
      <c r="C111" s="433">
        <v>43.870163820000002</v>
      </c>
      <c r="D111" s="433">
        <v>50.399976229219611</v>
      </c>
      <c r="E111" s="434">
        <v>45.577684269999999</v>
      </c>
      <c r="F111" s="433">
        <v>47.539727130000003</v>
      </c>
      <c r="G111" s="433">
        <v>49.913739730000003</v>
      </c>
      <c r="H111" s="433">
        <v>32.886085919999999</v>
      </c>
      <c r="I111" s="433">
        <v>37.968741959999996</v>
      </c>
      <c r="J111" s="433">
        <v>41.782385519999998</v>
      </c>
      <c r="K111" s="434">
        <v>41.922945420000005</v>
      </c>
      <c r="L111" s="433">
        <v>39.267882790000002</v>
      </c>
      <c r="M111" s="433">
        <v>44.285980510000009</v>
      </c>
      <c r="N111" s="433">
        <v>38.159601090000002</v>
      </c>
      <c r="O111" s="434">
        <v>41.35594133</v>
      </c>
      <c r="P111" s="433">
        <v>46.1698193</v>
      </c>
      <c r="Q111" s="433">
        <v>46.90295622</v>
      </c>
      <c r="R111" s="434">
        <v>44.034826760000009</v>
      </c>
      <c r="S111" s="433">
        <v>39.592320289999996</v>
      </c>
      <c r="T111" s="433">
        <v>44.436436230000005</v>
      </c>
      <c r="U111" s="435">
        <v>49.623876689999996</v>
      </c>
      <c r="V111" s="435">
        <v>43.086922429999994</v>
      </c>
      <c r="W111" s="435">
        <v>42.303923670000003</v>
      </c>
      <c r="X111" s="435">
        <v>43.94534496</v>
      </c>
      <c r="Y111" s="435">
        <v>44.425051400000001</v>
      </c>
      <c r="Z111" s="435">
        <v>45.880252169999999</v>
      </c>
      <c r="AA111" s="435">
        <v>40.066831729999997</v>
      </c>
      <c r="AB111" s="435">
        <v>40.332494179999998</v>
      </c>
      <c r="AC111" s="435">
        <v>40.115637960000001</v>
      </c>
      <c r="AD111" s="435">
        <v>40.548597099999995</v>
      </c>
      <c r="AE111" s="435">
        <v>38.856968740000006</v>
      </c>
      <c r="AF111" s="435">
        <v>59.426712139999999</v>
      </c>
      <c r="AG111" s="435">
        <v>111.51507171000002</v>
      </c>
      <c r="AH111" s="435">
        <v>102.42180258</v>
      </c>
      <c r="AI111" s="435">
        <v>117.04465282</v>
      </c>
      <c r="AJ111" s="435">
        <v>149.21275578999999</v>
      </c>
      <c r="AK111" s="435">
        <v>127.56341133999999</v>
      </c>
      <c r="AL111" s="435">
        <v>86.265994759999984</v>
      </c>
      <c r="AM111" s="438">
        <v>112.6218295</v>
      </c>
      <c r="AN111" s="438">
        <v>88.559360749999996</v>
      </c>
      <c r="AO111" s="438">
        <v>112.46038829999999</v>
      </c>
      <c r="AP111" s="438">
        <v>99.673968483300001</v>
      </c>
      <c r="AQ111" s="438">
        <v>76.594419039800002</v>
      </c>
      <c r="AR111" s="432">
        <v>90.270719468400003</v>
      </c>
      <c r="AS111" s="432">
        <v>100.16186679</v>
      </c>
      <c r="AT111" s="432">
        <v>84.628802092799987</v>
      </c>
      <c r="AU111" s="432">
        <v>95.576948409599993</v>
      </c>
      <c r="AV111" s="432">
        <v>94.98698294099998</v>
      </c>
      <c r="AW111" s="436">
        <v>95.718676541400015</v>
      </c>
      <c r="AX111" s="436">
        <v>75.291948166599994</v>
      </c>
      <c r="AY111" s="436">
        <v>99.821521298699992</v>
      </c>
      <c r="AZ111" s="436">
        <v>86.899578316800003</v>
      </c>
      <c r="BA111" s="436">
        <v>73.482631300600005</v>
      </c>
      <c r="BB111" s="436">
        <v>83.959482385999991</v>
      </c>
      <c r="BC111" s="436">
        <v>121.0825911238</v>
      </c>
      <c r="BD111" s="436">
        <v>80.820333634800008</v>
      </c>
      <c r="BE111" s="436">
        <v>102.26543481509999</v>
      </c>
      <c r="BF111" s="436">
        <v>122.50637852199999</v>
      </c>
      <c r="BG111" s="436">
        <v>107.05668313499999</v>
      </c>
      <c r="BH111" s="436">
        <v>102.77087046060002</v>
      </c>
      <c r="BI111" s="436">
        <v>124.51872675649999</v>
      </c>
      <c r="BJ111" s="436">
        <v>156.8900682293</v>
      </c>
      <c r="BK111" s="436">
        <v>207.040722176</v>
      </c>
      <c r="BL111" s="436">
        <v>231.19286578359998</v>
      </c>
      <c r="BM111" s="436">
        <v>240.24716259959996</v>
      </c>
      <c r="BN111" s="436">
        <v>238.5877942036</v>
      </c>
      <c r="BO111" s="436">
        <v>234.58709090600001</v>
      </c>
      <c r="BP111" s="436">
        <v>288.92889159689997</v>
      </c>
      <c r="BQ111" s="436">
        <v>249.2895681947</v>
      </c>
      <c r="BR111" s="436">
        <v>267.86570842959998</v>
      </c>
      <c r="BS111" s="436">
        <v>254.02701364000001</v>
      </c>
      <c r="BT111" s="436">
        <v>228.91114647355502</v>
      </c>
      <c r="BU111" s="436">
        <v>270.903994729658</v>
      </c>
      <c r="BV111" s="436">
        <v>332.94097498204599</v>
      </c>
      <c r="BW111" s="436">
        <v>335.10717976647504</v>
      </c>
      <c r="BX111" s="436">
        <v>380.39816035900003</v>
      </c>
      <c r="BY111" s="436">
        <v>419.18819772929999</v>
      </c>
      <c r="BZ111" s="436">
        <v>432.1</v>
      </c>
      <c r="CA111" s="436">
        <v>442.84443802250007</v>
      </c>
      <c r="CB111" s="436">
        <v>513.33174246080011</v>
      </c>
      <c r="CC111" s="436">
        <v>460.54465826823792</v>
      </c>
      <c r="CD111" s="436">
        <v>471.65916741738994</v>
      </c>
      <c r="CE111" s="436">
        <v>531.79000100959479</v>
      </c>
      <c r="CF111" s="436">
        <v>500.30622676896968</v>
      </c>
      <c r="CG111" s="436">
        <v>517.79394150450003</v>
      </c>
      <c r="CH111" s="436">
        <v>661.02272867938598</v>
      </c>
      <c r="CI111" s="436">
        <v>449.44614285787361</v>
      </c>
      <c r="CJ111" s="436">
        <v>458.76940723819001</v>
      </c>
      <c r="CK111" s="436">
        <v>466.18309852766799</v>
      </c>
      <c r="CL111" s="436">
        <v>438.73678636075556</v>
      </c>
      <c r="CM111" s="436">
        <v>425.35442872144893</v>
      </c>
      <c r="CN111" s="436">
        <v>429.66788687406142</v>
      </c>
      <c r="CO111" s="436">
        <v>426.86984902302208</v>
      </c>
      <c r="CP111" s="468">
        <v>449.79347087510001</v>
      </c>
      <c r="CQ111" s="436">
        <v>447.4998961628915</v>
      </c>
      <c r="CR111" s="436">
        <v>393.98362678509005</v>
      </c>
      <c r="CS111" s="436">
        <v>380.33863479780547</v>
      </c>
      <c r="CT111" s="436">
        <v>352.48750639498621</v>
      </c>
      <c r="CU111" s="436">
        <v>371.93413715394354</v>
      </c>
      <c r="CV111" s="436">
        <v>324.76228670055059</v>
      </c>
      <c r="CW111" s="436">
        <v>318.56241569796725</v>
      </c>
      <c r="CX111" s="436">
        <v>359.30630490008946</v>
      </c>
      <c r="CY111" s="436">
        <v>358.72204983761117</v>
      </c>
      <c r="CZ111" s="436">
        <v>411.93547839369478</v>
      </c>
      <c r="DA111" s="436">
        <v>361.79850920022511</v>
      </c>
      <c r="DB111" s="436">
        <v>357.84928685471817</v>
      </c>
      <c r="DC111" s="436">
        <v>348.4459210471706</v>
      </c>
      <c r="DD111" s="436">
        <v>399.18711884102163</v>
      </c>
      <c r="DE111" s="436">
        <v>394.85157223334403</v>
      </c>
      <c r="DF111" s="436">
        <v>433.80069203723417</v>
      </c>
      <c r="DH111" s="430"/>
    </row>
    <row r="112" spans="1:112" ht="7.7" customHeight="1">
      <c r="A112" s="419"/>
      <c r="B112" s="420"/>
      <c r="C112" s="422"/>
      <c r="D112" s="422"/>
      <c r="E112" s="423"/>
      <c r="F112" s="422"/>
      <c r="G112" s="422"/>
      <c r="H112" s="433"/>
      <c r="I112" s="433"/>
      <c r="J112" s="433"/>
      <c r="K112" s="434"/>
      <c r="L112" s="433"/>
      <c r="M112" s="433"/>
      <c r="N112" s="433"/>
      <c r="O112" s="434"/>
      <c r="P112" s="433"/>
      <c r="Q112" s="433"/>
      <c r="R112" s="434"/>
      <c r="S112" s="433"/>
      <c r="T112" s="433"/>
      <c r="U112" s="435"/>
      <c r="V112" s="435"/>
      <c r="W112" s="435"/>
      <c r="X112" s="435"/>
      <c r="Y112" s="435"/>
      <c r="Z112" s="435"/>
      <c r="AA112" s="435"/>
      <c r="AB112" s="435"/>
      <c r="AC112" s="435"/>
      <c r="AD112" s="435"/>
      <c r="AE112" s="435"/>
      <c r="AF112" s="435"/>
      <c r="AG112" s="435"/>
      <c r="AH112" s="435"/>
      <c r="AI112" s="435"/>
      <c r="AJ112" s="435"/>
      <c r="AK112" s="435"/>
      <c r="AL112" s="435"/>
      <c r="AM112" s="426"/>
      <c r="AN112" s="426"/>
      <c r="AO112" s="426"/>
      <c r="AP112" s="426"/>
      <c r="AQ112" s="438"/>
      <c r="AR112" s="420"/>
      <c r="AS112" s="420"/>
      <c r="AT112" s="420"/>
      <c r="AU112" s="420"/>
      <c r="AV112" s="420"/>
      <c r="AW112" s="427"/>
      <c r="AX112" s="427"/>
      <c r="AY112" s="427"/>
      <c r="AZ112" s="427"/>
      <c r="BA112" s="427"/>
      <c r="BB112" s="427"/>
      <c r="BC112" s="427"/>
      <c r="BD112" s="427"/>
      <c r="BE112" s="427"/>
      <c r="BF112" s="427"/>
      <c r="BG112" s="427"/>
      <c r="BH112" s="427"/>
      <c r="BI112" s="427"/>
      <c r="BJ112" s="427"/>
      <c r="BK112" s="427"/>
      <c r="BL112" s="427"/>
      <c r="BM112" s="427"/>
      <c r="BN112" s="427"/>
      <c r="BO112" s="427"/>
      <c r="BP112" s="427"/>
      <c r="BQ112" s="427"/>
      <c r="BR112" s="427"/>
      <c r="BS112" s="427"/>
      <c r="BT112" s="427"/>
      <c r="BU112" s="427"/>
      <c r="BV112" s="427"/>
      <c r="BW112" s="427"/>
      <c r="BX112" s="427"/>
      <c r="BY112" s="427"/>
      <c r="BZ112" s="427"/>
      <c r="CA112" s="427"/>
      <c r="CB112" s="427"/>
      <c r="CC112" s="427"/>
      <c r="CD112" s="427"/>
      <c r="CE112" s="427"/>
      <c r="CF112" s="427"/>
      <c r="CG112" s="427"/>
      <c r="CH112" s="427"/>
      <c r="CI112" s="427"/>
      <c r="CJ112" s="427"/>
      <c r="CK112" s="427"/>
      <c r="CL112" s="427"/>
      <c r="CM112" s="427"/>
      <c r="CN112" s="427"/>
      <c r="CO112" s="427"/>
      <c r="CP112" s="467"/>
      <c r="CQ112" s="427"/>
      <c r="CR112" s="436"/>
      <c r="CS112" s="436"/>
      <c r="CT112" s="436"/>
      <c r="CU112" s="436"/>
      <c r="CV112" s="436"/>
      <c r="CW112" s="436"/>
      <c r="CX112" s="436"/>
      <c r="CY112" s="436"/>
      <c r="CZ112" s="436"/>
      <c r="DA112" s="436"/>
      <c r="DB112" s="436"/>
      <c r="DC112" s="436"/>
      <c r="DD112" s="436"/>
      <c r="DE112" s="436"/>
      <c r="DF112" s="436"/>
      <c r="DH112" s="430"/>
    </row>
    <row r="113" spans="1:112" ht="18" customHeight="1">
      <c r="A113" s="419" t="s">
        <v>357</v>
      </c>
      <c r="B113" s="420">
        <v>43.150614399999995</v>
      </c>
      <c r="C113" s="422">
        <v>42.207274249999998</v>
      </c>
      <c r="D113" s="422">
        <v>42.512318749999999</v>
      </c>
      <c r="E113" s="423">
        <v>41.809370599999994</v>
      </c>
      <c r="F113" s="422">
        <v>47.301994409999999</v>
      </c>
      <c r="G113" s="422">
        <v>199.47419263999998</v>
      </c>
      <c r="H113" s="422">
        <v>62.735003629999994</v>
      </c>
      <c r="I113" s="422">
        <v>59.889912649999999</v>
      </c>
      <c r="J113" s="422">
        <v>65.213463569999988</v>
      </c>
      <c r="K113" s="423">
        <v>71.142156270000001</v>
      </c>
      <c r="L113" s="422">
        <v>80.642934280000006</v>
      </c>
      <c r="M113" s="422">
        <v>80.446369410000003</v>
      </c>
      <c r="N113" s="422">
        <v>79.685080139999997</v>
      </c>
      <c r="O113" s="423">
        <v>82.64223527</v>
      </c>
      <c r="P113" s="422">
        <v>94.409450730000003</v>
      </c>
      <c r="Q113" s="422">
        <v>104.50950939000001</v>
      </c>
      <c r="R113" s="423">
        <v>98.667446409999997</v>
      </c>
      <c r="S113" s="422">
        <v>108.93932369999999</v>
      </c>
      <c r="T113" s="422">
        <v>121.25759981</v>
      </c>
      <c r="U113" s="425">
        <v>138.49179686000002</v>
      </c>
      <c r="V113" s="425">
        <v>146.85775838000004</v>
      </c>
      <c r="W113" s="425">
        <v>146.53598158000003</v>
      </c>
      <c r="X113" s="425">
        <v>146.58059299999999</v>
      </c>
      <c r="Y113" s="425">
        <v>146.72446094999998</v>
      </c>
      <c r="Z113" s="425">
        <v>95.140797540000008</v>
      </c>
      <c r="AA113" s="425">
        <v>53.62281668</v>
      </c>
      <c r="AB113" s="425">
        <v>53.616845520000005</v>
      </c>
      <c r="AC113" s="425">
        <v>52.152415769999998</v>
      </c>
      <c r="AD113" s="425">
        <v>52.342236230000005</v>
      </c>
      <c r="AE113" s="425">
        <v>55.405798879999999</v>
      </c>
      <c r="AF113" s="425">
        <v>55.671171610000002</v>
      </c>
      <c r="AG113" s="425">
        <v>48.651752860000002</v>
      </c>
      <c r="AH113" s="425">
        <v>48.309266000000001</v>
      </c>
      <c r="AI113" s="425">
        <v>48.683567750000002</v>
      </c>
      <c r="AJ113" s="425">
        <v>48.213574289999997</v>
      </c>
      <c r="AK113" s="425">
        <v>48.213015290000001</v>
      </c>
      <c r="AL113" s="425">
        <v>47.749111720000002</v>
      </c>
      <c r="AM113" s="426">
        <v>47.243044304499996</v>
      </c>
      <c r="AN113" s="426">
        <v>47.243352719999997</v>
      </c>
      <c r="AO113" s="426">
        <v>46.795961959999993</v>
      </c>
      <c r="AP113" s="426">
        <v>47.020105870000002</v>
      </c>
      <c r="AQ113" s="426">
        <v>45.856592560000003</v>
      </c>
      <c r="AR113" s="420">
        <v>45.206261120000008</v>
      </c>
      <c r="AS113" s="420">
        <v>148.69999999999999</v>
      </c>
      <c r="AT113" s="420">
        <v>48.81600928999999</v>
      </c>
      <c r="AU113" s="420">
        <v>48.946116539999998</v>
      </c>
      <c r="AV113" s="420">
        <v>48.133050670000003</v>
      </c>
      <c r="AW113" s="427">
        <v>44.245487049999994</v>
      </c>
      <c r="AX113" s="427">
        <v>49.020420189999996</v>
      </c>
      <c r="AY113" s="427">
        <v>4.6218399999999997</v>
      </c>
      <c r="AZ113" s="427">
        <v>8.1419823999999998</v>
      </c>
      <c r="BA113" s="427">
        <v>4.9027830000000003</v>
      </c>
      <c r="BB113" s="427">
        <v>8.0384530099999996</v>
      </c>
      <c r="BC113" s="427">
        <v>8.4703702300000003</v>
      </c>
      <c r="BD113" s="427">
        <v>7.9456505399999999</v>
      </c>
      <c r="BE113" s="427">
        <v>4.00258</v>
      </c>
      <c r="BF113" s="427">
        <v>7.3090130100000001</v>
      </c>
      <c r="BG113" s="427">
        <v>7.2887738899999999</v>
      </c>
      <c r="BH113" s="427">
        <v>7.2096222499999998</v>
      </c>
      <c r="BI113" s="427">
        <v>7.14423545</v>
      </c>
      <c r="BJ113" s="427">
        <v>7.1485296399999996</v>
      </c>
      <c r="BK113" s="427">
        <v>6.5151346800000001</v>
      </c>
      <c r="BL113" s="427">
        <v>6.4557929299999994</v>
      </c>
      <c r="BM113" s="427">
        <v>66.207861170000015</v>
      </c>
      <c r="BN113" s="427">
        <v>6.33510039</v>
      </c>
      <c r="BO113" s="427">
        <v>6.2741989500000006</v>
      </c>
      <c r="BP113" s="427">
        <v>6.2117400099999998</v>
      </c>
      <c r="BQ113" s="427">
        <v>5.6498558799999996</v>
      </c>
      <c r="BR113" s="427">
        <v>5.5873898300000002</v>
      </c>
      <c r="BS113" s="427">
        <v>5.5224426399999995</v>
      </c>
      <c r="BT113" s="427">
        <v>5.4587292699999992</v>
      </c>
      <c r="BU113" s="427">
        <v>5.3939733399999996</v>
      </c>
      <c r="BV113" s="427">
        <v>7.5654054200000003</v>
      </c>
      <c r="BW113" s="427">
        <v>5.22774406</v>
      </c>
      <c r="BX113" s="427">
        <v>5.4301870000000001</v>
      </c>
      <c r="BY113" s="427">
        <v>5.8820139999999999</v>
      </c>
      <c r="BZ113" s="427">
        <v>5.4</v>
      </c>
      <c r="CA113" s="427">
        <v>5.3</v>
      </c>
      <c r="CB113" s="427">
        <v>3.6</v>
      </c>
      <c r="CC113" s="427">
        <v>3.0946150000000001</v>
      </c>
      <c r="CD113" s="427">
        <v>3.0779450000000002</v>
      </c>
      <c r="CE113" s="427">
        <v>3.016289</v>
      </c>
      <c r="CF113" s="427">
        <v>2.0226440000000001</v>
      </c>
      <c r="CG113" s="427">
        <v>3.04628649</v>
      </c>
      <c r="CH113" s="427">
        <v>3.0264083199999998</v>
      </c>
      <c r="CI113" s="427">
        <v>2.50541379</v>
      </c>
      <c r="CJ113" s="427">
        <v>2.4662520699999999</v>
      </c>
      <c r="CK113" s="427">
        <v>2.4441150599999997</v>
      </c>
      <c r="CL113" s="427">
        <v>2.4319014010000002</v>
      </c>
      <c r="CM113" s="427">
        <v>2.4139252600000001</v>
      </c>
      <c r="CN113" s="427">
        <v>2.4324319000000001</v>
      </c>
      <c r="CO113" s="427">
        <v>1.8798628399999999</v>
      </c>
      <c r="CP113" s="467">
        <v>1.88009979</v>
      </c>
      <c r="CQ113" s="427">
        <v>1.90022414</v>
      </c>
      <c r="CR113" s="427">
        <v>301.82635457999999</v>
      </c>
      <c r="CS113" s="427">
        <v>1.80462184</v>
      </c>
      <c r="CT113" s="427">
        <v>1.8158073100000001</v>
      </c>
      <c r="CU113" s="427">
        <v>1.7627058899999999</v>
      </c>
      <c r="CV113" s="427">
        <v>0.74193392000000002</v>
      </c>
      <c r="CW113" s="427">
        <v>0.7327681800000001</v>
      </c>
      <c r="CX113" s="427">
        <v>0.71183520999999994</v>
      </c>
      <c r="CY113" s="427">
        <v>0.69220099999999996</v>
      </c>
      <c r="CZ113" s="427">
        <v>0.67395708999999993</v>
      </c>
      <c r="DA113" s="427">
        <v>0.65337118000000005</v>
      </c>
      <c r="DB113" s="427">
        <v>0.63178003999999999</v>
      </c>
      <c r="DC113" s="427">
        <v>0.61001378000000006</v>
      </c>
      <c r="DD113" s="427">
        <v>0.60121451000000004</v>
      </c>
      <c r="DE113" s="427">
        <v>0.57232901999999997</v>
      </c>
      <c r="DF113" s="427">
        <v>0.55168834</v>
      </c>
      <c r="DH113" s="430"/>
    </row>
    <row r="114" spans="1:112" ht="7.7" customHeight="1">
      <c r="A114" s="419"/>
      <c r="B114" s="420"/>
      <c r="C114" s="422"/>
      <c r="D114" s="422"/>
      <c r="E114" s="423"/>
      <c r="F114" s="422"/>
      <c r="G114" s="422"/>
      <c r="H114" s="433"/>
      <c r="I114" s="433"/>
      <c r="J114" s="433"/>
      <c r="K114" s="434"/>
      <c r="L114" s="433"/>
      <c r="M114" s="433"/>
      <c r="N114" s="433"/>
      <c r="O114" s="434"/>
      <c r="P114" s="433"/>
      <c r="Q114" s="433"/>
      <c r="R114" s="434"/>
      <c r="S114" s="433"/>
      <c r="T114" s="433"/>
      <c r="U114" s="435"/>
      <c r="V114" s="435"/>
      <c r="W114" s="435"/>
      <c r="X114" s="435"/>
      <c r="Y114" s="435"/>
      <c r="Z114" s="435"/>
      <c r="AA114" s="435"/>
      <c r="AB114" s="435"/>
      <c r="AC114" s="435"/>
      <c r="AD114" s="435"/>
      <c r="AE114" s="435"/>
      <c r="AF114" s="435"/>
      <c r="AG114" s="435"/>
      <c r="AH114" s="435"/>
      <c r="AI114" s="435"/>
      <c r="AJ114" s="435"/>
      <c r="AK114" s="435"/>
      <c r="AL114" s="435"/>
      <c r="AM114" s="426"/>
      <c r="AN114" s="426"/>
      <c r="AO114" s="426"/>
      <c r="AP114" s="426"/>
      <c r="AQ114" s="426"/>
      <c r="AR114" s="420"/>
      <c r="AS114" s="420"/>
      <c r="AT114" s="420"/>
      <c r="AU114" s="420"/>
      <c r="AV114" s="420"/>
      <c r="AW114" s="427"/>
      <c r="AX114" s="427"/>
      <c r="AY114" s="427"/>
      <c r="AZ114" s="427"/>
      <c r="BA114" s="427"/>
      <c r="BB114" s="427"/>
      <c r="BC114" s="427"/>
      <c r="BD114" s="427"/>
      <c r="BE114" s="427"/>
      <c r="BF114" s="427"/>
      <c r="BG114" s="427"/>
      <c r="BH114" s="427"/>
      <c r="BI114" s="427"/>
      <c r="BJ114" s="427"/>
      <c r="BK114" s="427"/>
      <c r="BL114" s="427"/>
      <c r="BM114" s="427"/>
      <c r="BN114" s="427"/>
      <c r="BO114" s="427"/>
      <c r="BP114" s="427"/>
      <c r="BQ114" s="427"/>
      <c r="BR114" s="427"/>
      <c r="BS114" s="427"/>
      <c r="BT114" s="427"/>
      <c r="BU114" s="427"/>
      <c r="BV114" s="427"/>
      <c r="BW114" s="427"/>
      <c r="BX114" s="427"/>
      <c r="BY114" s="427"/>
      <c r="BZ114" s="427"/>
      <c r="CA114" s="427"/>
      <c r="CB114" s="427"/>
      <c r="CC114" s="427"/>
      <c r="CD114" s="427"/>
      <c r="CE114" s="427"/>
      <c r="CF114" s="427"/>
      <c r="CG114" s="427"/>
      <c r="CH114" s="427"/>
      <c r="CI114" s="427"/>
      <c r="CJ114" s="427"/>
      <c r="CK114" s="427"/>
      <c r="CL114" s="427"/>
      <c r="CM114" s="427"/>
      <c r="CN114" s="427"/>
      <c r="CO114" s="427"/>
      <c r="CP114" s="467"/>
      <c r="CQ114" s="427"/>
      <c r="CR114" s="427"/>
      <c r="CS114" s="427"/>
      <c r="CT114" s="427"/>
      <c r="CU114" s="427"/>
      <c r="CV114" s="427"/>
      <c r="CW114" s="427"/>
      <c r="CX114" s="427"/>
      <c r="CY114" s="427"/>
      <c r="CZ114" s="427"/>
      <c r="DA114" s="427"/>
      <c r="DB114" s="427"/>
      <c r="DC114" s="427"/>
      <c r="DD114" s="427"/>
      <c r="DE114" s="427"/>
      <c r="DF114" s="427"/>
      <c r="DH114" s="430"/>
    </row>
    <row r="115" spans="1:112" ht="18" customHeight="1">
      <c r="A115" s="419" t="s">
        <v>358</v>
      </c>
      <c r="B115" s="420">
        <v>6087.5339999999997</v>
      </c>
      <c r="C115" s="422">
        <v>6282.2809999999999</v>
      </c>
      <c r="D115" s="422">
        <v>6278.3530000000001</v>
      </c>
      <c r="E115" s="423">
        <v>6540.0770000000002</v>
      </c>
      <c r="F115" s="422">
        <v>7791.7597525270503</v>
      </c>
      <c r="G115" s="422">
        <v>8301.3367181460035</v>
      </c>
      <c r="H115" s="422">
        <v>9681.1409026227993</v>
      </c>
      <c r="I115" s="422">
        <v>9148.4428674504306</v>
      </c>
      <c r="J115" s="422">
        <v>8837.0183888883985</v>
      </c>
      <c r="K115" s="423">
        <v>9765.5623922953801</v>
      </c>
      <c r="L115" s="422">
        <v>9904.6604144988996</v>
      </c>
      <c r="M115" s="422">
        <v>9146.6745993924997</v>
      </c>
      <c r="N115" s="422">
        <v>8938.3034120034863</v>
      </c>
      <c r="O115" s="423">
        <v>9012.8890734600009</v>
      </c>
      <c r="P115" s="422">
        <v>9640.0199489482911</v>
      </c>
      <c r="Q115" s="422">
        <v>10191.4248335068</v>
      </c>
      <c r="R115" s="423">
        <v>10434.874630715985</v>
      </c>
      <c r="S115" s="422">
        <v>9915.4804170865864</v>
      </c>
      <c r="T115" s="422">
        <v>9325.0663377259862</v>
      </c>
      <c r="U115" s="425">
        <v>8383.1485167143164</v>
      </c>
      <c r="V115" s="425">
        <v>8354.5385764243238</v>
      </c>
      <c r="W115" s="425">
        <v>7942.615334895987</v>
      </c>
      <c r="X115" s="425">
        <v>7621.1513219999997</v>
      </c>
      <c r="Y115" s="425">
        <v>7247.1779320284859</v>
      </c>
      <c r="Z115" s="425">
        <v>6904.1</v>
      </c>
      <c r="AA115" s="425">
        <v>6596.2549728348622</v>
      </c>
      <c r="AB115" s="425">
        <v>6824.8353906312623</v>
      </c>
      <c r="AC115" s="425">
        <v>6772.2111154775102</v>
      </c>
      <c r="AD115" s="425">
        <v>6484.9072354850105</v>
      </c>
      <c r="AE115" s="425">
        <v>6828.2469018691863</v>
      </c>
      <c r="AF115" s="425">
        <v>6886.4714352862666</v>
      </c>
      <c r="AG115" s="425">
        <v>7455.1138198725166</v>
      </c>
      <c r="AH115" s="425">
        <v>7374.7690133325168</v>
      </c>
      <c r="AI115" s="425">
        <v>7264.4454413325157</v>
      </c>
      <c r="AJ115" s="425">
        <v>7264.2725329717005</v>
      </c>
      <c r="AK115" s="425">
        <v>7109.0688772004696</v>
      </c>
      <c r="AL115" s="425">
        <v>7768.0838362606182</v>
      </c>
      <c r="AM115" s="426">
        <v>6874.5503868074684</v>
      </c>
      <c r="AN115" s="426">
        <v>7139.4956924856006</v>
      </c>
      <c r="AO115" s="426">
        <v>8563.0663027631017</v>
      </c>
      <c r="AP115" s="426">
        <v>7619.511050453787</v>
      </c>
      <c r="AQ115" s="426">
        <v>8425.0455872916864</v>
      </c>
      <c r="AR115" s="420">
        <v>9206.2720706570453</v>
      </c>
      <c r="AS115" s="420">
        <v>10288.1</v>
      </c>
      <c r="AT115" s="420">
        <v>11983.528431303679</v>
      </c>
      <c r="AU115" s="420">
        <v>11905.548058594413</v>
      </c>
      <c r="AV115" s="420">
        <v>11976.820928203735</v>
      </c>
      <c r="AW115" s="427">
        <v>12136.830411973338</v>
      </c>
      <c r="AX115" s="427">
        <v>12136.735695298354</v>
      </c>
      <c r="AY115" s="427">
        <v>12375.565437237236</v>
      </c>
      <c r="AZ115" s="427">
        <v>11946.025530794048</v>
      </c>
      <c r="BA115" s="427">
        <v>11968.77704559256</v>
      </c>
      <c r="BB115" s="427">
        <v>12104.112189095818</v>
      </c>
      <c r="BC115" s="427">
        <v>10317.39016114209</v>
      </c>
      <c r="BD115" s="427">
        <v>10928.459762339055</v>
      </c>
      <c r="BE115" s="427">
        <v>10519.436166373454</v>
      </c>
      <c r="BF115" s="427">
        <v>10005.688965027455</v>
      </c>
      <c r="BG115" s="427">
        <v>10381.779196739439</v>
      </c>
      <c r="BH115" s="427">
        <v>9623.3347607017604</v>
      </c>
      <c r="BI115" s="427">
        <v>10529.082894091322</v>
      </c>
      <c r="BJ115" s="427">
        <v>10248.054642308682</v>
      </c>
      <c r="BK115" s="427">
        <v>9603.0785451887896</v>
      </c>
      <c r="BL115" s="427">
        <v>8441.3102252899371</v>
      </c>
      <c r="BM115" s="427">
        <v>8401.1349433418</v>
      </c>
      <c r="BN115" s="427">
        <v>8361.2331617861255</v>
      </c>
      <c r="BO115" s="427">
        <v>7823.9781826218095</v>
      </c>
      <c r="BP115" s="427">
        <v>8957.2432000743593</v>
      </c>
      <c r="BQ115" s="427">
        <v>7437.6127609682599</v>
      </c>
      <c r="BR115" s="427">
        <v>7405.7139424756606</v>
      </c>
      <c r="BS115" s="427">
        <v>7468.0103895869597</v>
      </c>
      <c r="BT115" s="427">
        <v>6843.9208039492114</v>
      </c>
      <c r="BU115" s="427">
        <v>6897.8749128561594</v>
      </c>
      <c r="BV115" s="427">
        <v>7083.6699501072599</v>
      </c>
      <c r="BW115" s="427">
        <v>6692.5169704858399</v>
      </c>
      <c r="BX115" s="427">
        <v>6892.6479768524996</v>
      </c>
      <c r="BY115" s="427">
        <v>6858.5721894185444</v>
      </c>
      <c r="BZ115" s="427">
        <v>7082.6</v>
      </c>
      <c r="CA115" s="427">
        <v>6534.3329141403501</v>
      </c>
      <c r="CB115" s="427">
        <v>3878.3103971488567</v>
      </c>
      <c r="CC115" s="427">
        <v>4235.4853295428575</v>
      </c>
      <c r="CD115" s="427">
        <v>4568.6010120400206</v>
      </c>
      <c r="CE115" s="427">
        <v>4466.3129372281783</v>
      </c>
      <c r="CF115" s="427">
        <v>4829.0300226617501</v>
      </c>
      <c r="CG115" s="427">
        <v>4887.4298985143396</v>
      </c>
      <c r="CH115" s="427">
        <v>4898.3645975176578</v>
      </c>
      <c r="CI115" s="427">
        <v>5457.1038770263049</v>
      </c>
      <c r="CJ115" s="427">
        <v>5344.7690008277323</v>
      </c>
      <c r="CK115" s="427">
        <v>5636.1930700774219</v>
      </c>
      <c r="CL115" s="427">
        <v>6595.1493897188029</v>
      </c>
      <c r="CM115" s="427">
        <v>5302.0541086554767</v>
      </c>
      <c r="CN115" s="427">
        <v>6478.7426833224245</v>
      </c>
      <c r="CO115" s="427">
        <v>6247.3900088797291</v>
      </c>
      <c r="CP115" s="467">
        <v>7009.0905848993571</v>
      </c>
      <c r="CQ115" s="427">
        <v>5858.7873998827072</v>
      </c>
      <c r="CR115" s="427">
        <v>5828.7412038260081</v>
      </c>
      <c r="CS115" s="427">
        <v>6540.9886476797583</v>
      </c>
      <c r="CT115" s="427">
        <v>5642.9206136366747</v>
      </c>
      <c r="CU115" s="427">
        <v>3992.7850374250811</v>
      </c>
      <c r="CV115" s="427">
        <v>5420.6963934396153</v>
      </c>
      <c r="CW115" s="427">
        <v>5433.4190024353693</v>
      </c>
      <c r="CX115" s="427">
        <v>4972.3342587107581</v>
      </c>
      <c r="CY115" s="427">
        <v>5049.5503351533816</v>
      </c>
      <c r="CZ115" s="427">
        <v>5795.7906707042985</v>
      </c>
      <c r="DA115" s="427">
        <v>3315.5223480265895</v>
      </c>
      <c r="DB115" s="427">
        <v>4561.7163298290943</v>
      </c>
      <c r="DC115" s="427">
        <v>4648.8899293142986</v>
      </c>
      <c r="DD115" s="427">
        <v>3296.1013152392338</v>
      </c>
      <c r="DE115" s="427">
        <v>4367.0836896670053</v>
      </c>
      <c r="DF115" s="427">
        <v>3451.6480580910743</v>
      </c>
      <c r="DH115" s="430"/>
    </row>
    <row r="116" spans="1:112" ht="7.7" customHeight="1">
      <c r="A116" s="419"/>
      <c r="B116" s="420"/>
      <c r="C116" s="422"/>
      <c r="D116" s="422"/>
      <c r="E116" s="423"/>
      <c r="F116" s="422"/>
      <c r="G116" s="422"/>
      <c r="H116" s="433"/>
      <c r="I116" s="433"/>
      <c r="J116" s="433"/>
      <c r="K116" s="434"/>
      <c r="L116" s="433"/>
      <c r="M116" s="433"/>
      <c r="N116" s="433"/>
      <c r="O116" s="434"/>
      <c r="P116" s="433"/>
      <c r="Q116" s="433"/>
      <c r="R116" s="434"/>
      <c r="S116" s="433"/>
      <c r="T116" s="433"/>
      <c r="U116" s="435"/>
      <c r="V116" s="435"/>
      <c r="W116" s="435"/>
      <c r="X116" s="435"/>
      <c r="Y116" s="435"/>
      <c r="Z116" s="435"/>
      <c r="AA116" s="435"/>
      <c r="AB116" s="435"/>
      <c r="AC116" s="435"/>
      <c r="AD116" s="435"/>
      <c r="AE116" s="435"/>
      <c r="AF116" s="435"/>
      <c r="AG116" s="435"/>
      <c r="AH116" s="435"/>
      <c r="AI116" s="435"/>
      <c r="AJ116" s="435"/>
      <c r="AK116" s="435"/>
      <c r="AL116" s="435"/>
      <c r="AM116" s="426"/>
      <c r="AN116" s="426"/>
      <c r="AO116" s="426"/>
      <c r="AP116" s="426"/>
      <c r="AQ116" s="426"/>
      <c r="AR116" s="420"/>
      <c r="AS116" s="420"/>
      <c r="AT116" s="420"/>
      <c r="AU116" s="420"/>
      <c r="AV116" s="420"/>
      <c r="AW116" s="427"/>
      <c r="AX116" s="427"/>
      <c r="AY116" s="427"/>
      <c r="AZ116" s="427"/>
      <c r="BA116" s="427"/>
      <c r="BB116" s="427"/>
      <c r="BC116" s="427"/>
      <c r="BD116" s="427"/>
      <c r="BE116" s="427"/>
      <c r="BF116" s="427"/>
      <c r="BG116" s="427"/>
      <c r="BH116" s="427"/>
      <c r="BI116" s="427"/>
      <c r="BJ116" s="427"/>
      <c r="BK116" s="427"/>
      <c r="BL116" s="427"/>
      <c r="BM116" s="427"/>
      <c r="BN116" s="427"/>
      <c r="BO116" s="427"/>
      <c r="BP116" s="427"/>
      <c r="BQ116" s="427"/>
      <c r="BR116" s="427"/>
      <c r="BS116" s="427"/>
      <c r="BT116" s="427"/>
      <c r="BU116" s="427"/>
      <c r="BV116" s="427"/>
      <c r="BW116" s="427"/>
      <c r="BX116" s="427"/>
      <c r="BY116" s="427"/>
      <c r="BZ116" s="427"/>
      <c r="CA116" s="427"/>
      <c r="CB116" s="427"/>
      <c r="CC116" s="427"/>
      <c r="CD116" s="427"/>
      <c r="CE116" s="427"/>
      <c r="CF116" s="427"/>
      <c r="CG116" s="427"/>
      <c r="CH116" s="427"/>
      <c r="CI116" s="427"/>
      <c r="CJ116" s="427"/>
      <c r="CK116" s="427"/>
      <c r="CL116" s="427"/>
      <c r="CM116" s="427"/>
      <c r="CN116" s="427"/>
      <c r="CO116" s="427"/>
      <c r="CP116" s="467"/>
      <c r="CQ116" s="427"/>
      <c r="CR116" s="427"/>
      <c r="CS116" s="427"/>
      <c r="CT116" s="427"/>
      <c r="CU116" s="427"/>
      <c r="CV116" s="427"/>
      <c r="CW116" s="427"/>
      <c r="CX116" s="427"/>
      <c r="CY116" s="427"/>
      <c r="CZ116" s="427"/>
      <c r="DA116" s="427"/>
      <c r="DB116" s="427"/>
      <c r="DC116" s="427"/>
      <c r="DD116" s="427"/>
      <c r="DE116" s="427"/>
      <c r="DF116" s="427"/>
      <c r="DH116" s="430"/>
    </row>
    <row r="117" spans="1:112" ht="18" customHeight="1">
      <c r="A117" s="419" t="s">
        <v>359</v>
      </c>
      <c r="B117" s="420">
        <v>0</v>
      </c>
      <c r="C117" s="422">
        <v>0</v>
      </c>
      <c r="D117" s="422">
        <v>0</v>
      </c>
      <c r="E117" s="423">
        <v>0</v>
      </c>
      <c r="F117" s="422">
        <v>0</v>
      </c>
      <c r="G117" s="422">
        <v>0</v>
      </c>
      <c r="H117" s="422">
        <v>0</v>
      </c>
      <c r="I117" s="422">
        <v>0</v>
      </c>
      <c r="J117" s="422">
        <v>0</v>
      </c>
      <c r="K117" s="423">
        <v>0</v>
      </c>
      <c r="L117" s="422">
        <v>0</v>
      </c>
      <c r="M117" s="422">
        <v>1.4883000000000002E-4</v>
      </c>
      <c r="N117" s="422">
        <v>0</v>
      </c>
      <c r="O117" s="423">
        <v>0</v>
      </c>
      <c r="P117" s="422">
        <v>2.5469999999999998E-5</v>
      </c>
      <c r="Q117" s="422">
        <v>1.1640999999999999E-4</v>
      </c>
      <c r="R117" s="423">
        <v>2.0886E-4</v>
      </c>
      <c r="S117" s="422">
        <v>0</v>
      </c>
      <c r="T117" s="422">
        <v>0</v>
      </c>
      <c r="U117" s="425">
        <v>8.5140000000000001E-5</v>
      </c>
      <c r="V117" s="425">
        <v>0</v>
      </c>
      <c r="W117" s="425">
        <v>0</v>
      </c>
      <c r="X117" s="425">
        <v>0</v>
      </c>
      <c r="Y117" s="425">
        <v>0</v>
      </c>
      <c r="Z117" s="425">
        <v>0</v>
      </c>
      <c r="AA117" s="425">
        <v>0</v>
      </c>
      <c r="AB117" s="425">
        <v>0</v>
      </c>
      <c r="AC117" s="425">
        <v>2.0101E-4</v>
      </c>
      <c r="AD117" s="425">
        <v>0</v>
      </c>
      <c r="AE117" s="425">
        <v>0</v>
      </c>
      <c r="AF117" s="425">
        <v>0</v>
      </c>
      <c r="AG117" s="425">
        <v>0</v>
      </c>
      <c r="AH117" s="425">
        <v>0</v>
      </c>
      <c r="AI117" s="425">
        <v>0</v>
      </c>
      <c r="AJ117" s="425">
        <v>0</v>
      </c>
      <c r="AK117" s="425">
        <v>0.50244900000000003</v>
      </c>
      <c r="AL117" s="425">
        <v>0.49416765000000001</v>
      </c>
      <c r="AM117" s="426">
        <v>0.48826822999999997</v>
      </c>
      <c r="AN117" s="426">
        <v>0</v>
      </c>
      <c r="AO117" s="426">
        <v>0</v>
      </c>
      <c r="AP117" s="426">
        <v>0</v>
      </c>
      <c r="AQ117" s="426">
        <v>0</v>
      </c>
      <c r="AR117" s="420">
        <v>0</v>
      </c>
      <c r="AS117" s="420">
        <v>0</v>
      </c>
      <c r="AT117" s="420">
        <v>0</v>
      </c>
      <c r="AU117" s="420">
        <v>0</v>
      </c>
      <c r="AV117" s="420">
        <v>0</v>
      </c>
      <c r="AW117" s="427">
        <v>0</v>
      </c>
      <c r="AX117" s="427">
        <v>0</v>
      </c>
      <c r="AY117" s="427">
        <v>0</v>
      </c>
      <c r="AZ117" s="427">
        <v>0</v>
      </c>
      <c r="BA117" s="427">
        <v>0</v>
      </c>
      <c r="BB117" s="427">
        <v>0</v>
      </c>
      <c r="BC117" s="427">
        <v>0</v>
      </c>
      <c r="BD117" s="427">
        <v>0</v>
      </c>
      <c r="BE117" s="427">
        <v>0</v>
      </c>
      <c r="BF117" s="427">
        <v>0</v>
      </c>
      <c r="BG117" s="427">
        <v>0</v>
      </c>
      <c r="BH117" s="427">
        <v>0</v>
      </c>
      <c r="BI117" s="427">
        <v>0</v>
      </c>
      <c r="BJ117" s="427">
        <v>0</v>
      </c>
      <c r="BK117" s="427">
        <v>0</v>
      </c>
      <c r="BL117" s="427">
        <v>0</v>
      </c>
      <c r="BM117" s="427">
        <v>2.4752959999999997E-2</v>
      </c>
      <c r="BN117" s="427">
        <v>2.4512889999999999E-2</v>
      </c>
      <c r="BO117" s="427">
        <v>2.4298400000000001E-2</v>
      </c>
      <c r="BP117" s="427">
        <v>2.4071950000000002E-2</v>
      </c>
      <c r="BQ117" s="427">
        <v>2.3842560000000002E-2</v>
      </c>
      <c r="BR117" s="427">
        <v>2.3582869999999999E-2</v>
      </c>
      <c r="BS117" s="427">
        <v>2.3347360000000001E-2</v>
      </c>
      <c r="BT117" s="427">
        <v>2.309137E-2</v>
      </c>
      <c r="BU117" s="427">
        <v>2.285912E-2</v>
      </c>
      <c r="BV117" s="427">
        <v>2.260653E-2</v>
      </c>
      <c r="BW117" s="427">
        <v>2.234216E-2</v>
      </c>
      <c r="BX117" s="427">
        <v>2.2100999999999999E-2</v>
      </c>
      <c r="BY117" s="427">
        <v>2.1847999999999999E-2</v>
      </c>
      <c r="BZ117" s="427">
        <v>0</v>
      </c>
      <c r="CA117" s="427">
        <v>2.1323330000000001E-2</v>
      </c>
      <c r="CB117" s="427">
        <v>2.105255E-2</v>
      </c>
      <c r="CC117" s="427">
        <v>2.0794630000000001E-2</v>
      </c>
      <c r="CD117" s="427">
        <v>2.0509939999999997E-2</v>
      </c>
      <c r="CE117" s="427">
        <v>2.0229839999999999E-2</v>
      </c>
      <c r="CF117" s="427">
        <v>1.9953950000000002E-2</v>
      </c>
      <c r="CG117" s="427">
        <v>1.9674520000000001E-2</v>
      </c>
      <c r="CH117" s="427">
        <v>1.937695E-2</v>
      </c>
      <c r="CI117" s="427">
        <v>1.9098299999999999E-2</v>
      </c>
      <c r="CJ117" s="427">
        <v>1.8809119999999999E-2</v>
      </c>
      <c r="CK117" s="427">
        <v>1.8494409999999999E-2</v>
      </c>
      <c r="CL117" s="427">
        <v>1.8211950000000001E-2</v>
      </c>
      <c r="CM117" s="427">
        <v>1.7904929999999999E-2</v>
      </c>
      <c r="CN117" s="427">
        <v>1.7600900000000003E-2</v>
      </c>
      <c r="CO117" s="427">
        <v>1.7292990000000001E-2</v>
      </c>
      <c r="CP117" s="467">
        <v>1.69617E-2</v>
      </c>
      <c r="CQ117" s="427">
        <v>1.6633419999999999E-2</v>
      </c>
      <c r="CR117" s="427">
        <v>1.632049E-2</v>
      </c>
      <c r="CS117" s="427">
        <v>0</v>
      </c>
      <c r="CT117" s="427">
        <v>0</v>
      </c>
      <c r="CU117" s="427">
        <v>0</v>
      </c>
      <c r="CV117" s="427">
        <v>0</v>
      </c>
      <c r="CW117" s="427">
        <v>0</v>
      </c>
      <c r="CX117" s="427">
        <v>0</v>
      </c>
      <c r="CY117" s="427">
        <v>0</v>
      </c>
      <c r="CZ117" s="427">
        <v>0</v>
      </c>
      <c r="DA117" s="427">
        <v>0</v>
      </c>
      <c r="DB117" s="427">
        <v>0</v>
      </c>
      <c r="DC117" s="427">
        <v>0</v>
      </c>
      <c r="DD117" s="427">
        <v>0</v>
      </c>
      <c r="DE117" s="427">
        <v>0</v>
      </c>
      <c r="DF117" s="427">
        <v>0.18181270999999999</v>
      </c>
      <c r="DH117" s="430"/>
    </row>
    <row r="118" spans="1:112" ht="7.7" customHeight="1">
      <c r="A118" s="419"/>
      <c r="B118" s="420"/>
      <c r="C118" s="422"/>
      <c r="D118" s="422"/>
      <c r="E118" s="423"/>
      <c r="F118" s="422"/>
      <c r="G118" s="422"/>
      <c r="H118" s="433"/>
      <c r="I118" s="433"/>
      <c r="J118" s="433"/>
      <c r="K118" s="434"/>
      <c r="L118" s="433"/>
      <c r="M118" s="433"/>
      <c r="N118" s="433"/>
      <c r="O118" s="434"/>
      <c r="P118" s="433"/>
      <c r="Q118" s="433"/>
      <c r="R118" s="423"/>
      <c r="S118" s="433"/>
      <c r="T118" s="433"/>
      <c r="U118" s="435"/>
      <c r="V118" s="435"/>
      <c r="W118" s="435"/>
      <c r="X118" s="435"/>
      <c r="Y118" s="435"/>
      <c r="Z118" s="435"/>
      <c r="AA118" s="435"/>
      <c r="AB118" s="435"/>
      <c r="AC118" s="435"/>
      <c r="AD118" s="435"/>
      <c r="AE118" s="435"/>
      <c r="AF118" s="435"/>
      <c r="AG118" s="435"/>
      <c r="AH118" s="435"/>
      <c r="AI118" s="435"/>
      <c r="AJ118" s="435"/>
      <c r="AK118" s="435"/>
      <c r="AL118" s="435"/>
      <c r="AM118" s="426"/>
      <c r="AN118" s="426"/>
      <c r="AO118" s="426"/>
      <c r="AP118" s="426"/>
      <c r="AQ118" s="426"/>
      <c r="AR118" s="420"/>
      <c r="AS118" s="420"/>
      <c r="AT118" s="420"/>
      <c r="AU118" s="420"/>
      <c r="AV118" s="420"/>
      <c r="AW118" s="427"/>
      <c r="AX118" s="427"/>
      <c r="AY118" s="427"/>
      <c r="AZ118" s="427"/>
      <c r="BA118" s="427"/>
      <c r="BB118" s="427"/>
      <c r="BC118" s="427"/>
      <c r="BD118" s="427"/>
      <c r="BE118" s="427"/>
      <c r="BF118" s="427"/>
      <c r="BG118" s="427"/>
      <c r="BH118" s="427"/>
      <c r="BI118" s="427"/>
      <c r="BJ118" s="427"/>
      <c r="BK118" s="427"/>
      <c r="BL118" s="427"/>
      <c r="BM118" s="427"/>
      <c r="BN118" s="427"/>
      <c r="BO118" s="427"/>
      <c r="BP118" s="427"/>
      <c r="BQ118" s="427"/>
      <c r="BR118" s="427"/>
      <c r="BS118" s="427"/>
      <c r="BT118" s="427"/>
      <c r="BU118" s="427"/>
      <c r="BV118" s="427"/>
      <c r="BW118" s="427"/>
      <c r="BX118" s="427"/>
      <c r="BY118" s="427"/>
      <c r="BZ118" s="427"/>
      <c r="CA118" s="427"/>
      <c r="CB118" s="427"/>
      <c r="CC118" s="427"/>
      <c r="CD118" s="427"/>
      <c r="CE118" s="427"/>
      <c r="CF118" s="427"/>
      <c r="CG118" s="427"/>
      <c r="CH118" s="427"/>
      <c r="CI118" s="427"/>
      <c r="CJ118" s="427"/>
      <c r="CK118" s="427"/>
      <c r="CL118" s="427"/>
      <c r="CM118" s="427"/>
      <c r="CN118" s="427"/>
      <c r="CO118" s="427"/>
      <c r="CP118" s="467"/>
      <c r="CQ118" s="427"/>
      <c r="CR118" s="427"/>
      <c r="CS118" s="427"/>
      <c r="CT118" s="427"/>
      <c r="CU118" s="427"/>
      <c r="CV118" s="427"/>
      <c r="CW118" s="427"/>
      <c r="CX118" s="427"/>
      <c r="CY118" s="427"/>
      <c r="CZ118" s="427"/>
      <c r="DA118" s="427"/>
      <c r="DB118" s="427"/>
      <c r="DC118" s="427"/>
      <c r="DD118" s="427"/>
      <c r="DE118" s="427"/>
      <c r="DF118" s="427"/>
      <c r="DH118" s="430"/>
    </row>
    <row r="119" spans="1:112" ht="18" customHeight="1">
      <c r="A119" s="419" t="s">
        <v>360</v>
      </c>
      <c r="B119" s="420">
        <v>0</v>
      </c>
      <c r="C119" s="422">
        <v>0</v>
      </c>
      <c r="D119" s="422">
        <v>0</v>
      </c>
      <c r="E119" s="423">
        <v>0</v>
      </c>
      <c r="F119" s="422">
        <v>0</v>
      </c>
      <c r="G119" s="422">
        <v>0</v>
      </c>
      <c r="H119" s="422">
        <v>0</v>
      </c>
      <c r="I119" s="422">
        <v>0</v>
      </c>
      <c r="J119" s="422">
        <v>0</v>
      </c>
      <c r="K119" s="423">
        <v>0</v>
      </c>
      <c r="L119" s="422">
        <v>0</v>
      </c>
      <c r="M119" s="422">
        <v>0</v>
      </c>
      <c r="N119" s="422">
        <v>0</v>
      </c>
      <c r="O119" s="423">
        <v>0</v>
      </c>
      <c r="P119" s="422">
        <v>0</v>
      </c>
      <c r="Q119" s="422">
        <v>0</v>
      </c>
      <c r="R119" s="423">
        <v>0</v>
      </c>
      <c r="S119" s="422">
        <v>0</v>
      </c>
      <c r="T119" s="422">
        <v>0</v>
      </c>
      <c r="U119" s="425">
        <v>0</v>
      </c>
      <c r="V119" s="425">
        <v>0</v>
      </c>
      <c r="W119" s="425">
        <v>0</v>
      </c>
      <c r="X119" s="425">
        <v>0.5</v>
      </c>
      <c r="Y119" s="425">
        <v>0.5</v>
      </c>
      <c r="Z119" s="425">
        <v>0.5</v>
      </c>
      <c r="AA119" s="425">
        <v>0.49168200000000001</v>
      </c>
      <c r="AB119" s="425">
        <v>0.5</v>
      </c>
      <c r="AC119" s="425">
        <v>0.47814400000000001</v>
      </c>
      <c r="AD119" s="425">
        <v>0.48294900000000002</v>
      </c>
      <c r="AE119" s="425">
        <v>0.48796400000000001</v>
      </c>
      <c r="AF119" s="425">
        <v>0.49321199999999998</v>
      </c>
      <c r="AG119" s="425">
        <v>0.49831999999999999</v>
      </c>
      <c r="AH119" s="425">
        <v>0.50212699999999999</v>
      </c>
      <c r="AI119" s="425">
        <v>0.50164900000000001</v>
      </c>
      <c r="AJ119" s="425">
        <v>0.5</v>
      </c>
      <c r="AK119" s="425">
        <v>0.5</v>
      </c>
      <c r="AL119" s="425">
        <v>0.5</v>
      </c>
      <c r="AM119" s="426">
        <v>21.547833710000003</v>
      </c>
      <c r="AN119" s="426">
        <v>0</v>
      </c>
      <c r="AO119" s="426">
        <v>0</v>
      </c>
      <c r="AP119" s="426">
        <v>0</v>
      </c>
      <c r="AQ119" s="426">
        <v>0</v>
      </c>
      <c r="AR119" s="420">
        <v>0</v>
      </c>
      <c r="AS119" s="420">
        <v>0</v>
      </c>
      <c r="AT119" s="420">
        <v>0</v>
      </c>
      <c r="AU119" s="420">
        <v>0.12320594999999999</v>
      </c>
      <c r="AV119" s="420">
        <v>0</v>
      </c>
      <c r="AW119" s="427">
        <v>0</v>
      </c>
      <c r="AX119" s="427">
        <v>0</v>
      </c>
      <c r="AY119" s="427">
        <v>0</v>
      </c>
      <c r="AZ119" s="427">
        <v>0</v>
      </c>
      <c r="BA119" s="427">
        <v>0</v>
      </c>
      <c r="BB119" s="427">
        <v>0</v>
      </c>
      <c r="BC119" s="427">
        <v>0</v>
      </c>
      <c r="BD119" s="427">
        <v>0</v>
      </c>
      <c r="BE119" s="427">
        <v>0</v>
      </c>
      <c r="BF119" s="427">
        <v>0</v>
      </c>
      <c r="BG119" s="427">
        <v>0</v>
      </c>
      <c r="BH119" s="427">
        <v>0</v>
      </c>
      <c r="BI119" s="427">
        <v>0</v>
      </c>
      <c r="BJ119" s="427">
        <v>0</v>
      </c>
      <c r="BK119" s="427">
        <v>0</v>
      </c>
      <c r="BL119" s="427">
        <v>0</v>
      </c>
      <c r="BM119" s="427">
        <v>0</v>
      </c>
      <c r="BN119" s="427">
        <v>0</v>
      </c>
      <c r="BO119" s="427">
        <v>0</v>
      </c>
      <c r="BP119" s="427">
        <v>0</v>
      </c>
      <c r="BQ119" s="427">
        <v>0</v>
      </c>
      <c r="BR119" s="427">
        <v>0</v>
      </c>
      <c r="BS119" s="427">
        <v>0</v>
      </c>
      <c r="BT119" s="427">
        <v>0</v>
      </c>
      <c r="BU119" s="427">
        <v>0</v>
      </c>
      <c r="BV119" s="427">
        <v>0</v>
      </c>
      <c r="BW119" s="427">
        <v>0</v>
      </c>
      <c r="BX119" s="427">
        <v>0</v>
      </c>
      <c r="BY119" s="427">
        <v>0</v>
      </c>
      <c r="BZ119" s="427">
        <v>0</v>
      </c>
      <c r="CA119" s="427">
        <v>0</v>
      </c>
      <c r="CB119" s="427">
        <v>0</v>
      </c>
      <c r="CC119" s="427">
        <v>0</v>
      </c>
      <c r="CD119" s="427">
        <v>0</v>
      </c>
      <c r="CE119" s="427">
        <v>0</v>
      </c>
      <c r="CF119" s="427">
        <v>0</v>
      </c>
      <c r="CG119" s="427">
        <v>0</v>
      </c>
      <c r="CH119" s="427">
        <v>0</v>
      </c>
      <c r="CI119" s="427">
        <v>0</v>
      </c>
      <c r="CJ119" s="427">
        <v>6.8999999999999997E-5</v>
      </c>
      <c r="CK119" s="427">
        <v>0</v>
      </c>
      <c r="CL119" s="427">
        <v>0</v>
      </c>
      <c r="CM119" s="427">
        <v>0</v>
      </c>
      <c r="CN119" s="427">
        <v>0</v>
      </c>
      <c r="CO119" s="427">
        <v>0</v>
      </c>
      <c r="CP119" s="467">
        <v>0</v>
      </c>
      <c r="CQ119" s="427">
        <v>0</v>
      </c>
      <c r="CR119" s="427">
        <v>0</v>
      </c>
      <c r="CS119" s="427">
        <v>0</v>
      </c>
      <c r="CT119" s="427">
        <v>0</v>
      </c>
      <c r="CU119" s="427">
        <v>0</v>
      </c>
      <c r="CV119" s="427">
        <v>0</v>
      </c>
      <c r="CW119" s="427">
        <v>0</v>
      </c>
      <c r="CX119" s="427">
        <v>0</v>
      </c>
      <c r="CY119" s="427">
        <v>0</v>
      </c>
      <c r="CZ119" s="427">
        <v>0</v>
      </c>
      <c r="DA119" s="427">
        <v>0</v>
      </c>
      <c r="DB119" s="427">
        <v>0</v>
      </c>
      <c r="DC119" s="427">
        <v>0</v>
      </c>
      <c r="DD119" s="427">
        <v>0</v>
      </c>
      <c r="DE119" s="427">
        <v>0</v>
      </c>
      <c r="DF119" s="427">
        <v>0</v>
      </c>
      <c r="DH119" s="430"/>
    </row>
    <row r="120" spans="1:112" ht="7.7" customHeight="1">
      <c r="A120" s="419"/>
      <c r="B120" s="420"/>
      <c r="C120" s="422"/>
      <c r="D120" s="422"/>
      <c r="E120" s="423"/>
      <c r="F120" s="422"/>
      <c r="G120" s="422"/>
      <c r="H120" s="433"/>
      <c r="I120" s="433"/>
      <c r="J120" s="433"/>
      <c r="K120" s="434"/>
      <c r="L120" s="433"/>
      <c r="M120" s="433"/>
      <c r="N120" s="433"/>
      <c r="O120" s="434"/>
      <c r="P120" s="433"/>
      <c r="Q120" s="433"/>
      <c r="R120" s="434"/>
      <c r="S120" s="433"/>
      <c r="T120" s="433"/>
      <c r="U120" s="435"/>
      <c r="V120" s="435"/>
      <c r="W120" s="435"/>
      <c r="X120" s="435"/>
      <c r="Y120" s="435"/>
      <c r="Z120" s="435"/>
      <c r="AA120" s="435"/>
      <c r="AB120" s="435"/>
      <c r="AC120" s="435"/>
      <c r="AD120" s="435"/>
      <c r="AE120" s="435"/>
      <c r="AF120" s="435"/>
      <c r="AG120" s="435"/>
      <c r="AH120" s="435"/>
      <c r="AI120" s="435"/>
      <c r="AJ120" s="435"/>
      <c r="AK120" s="435"/>
      <c r="AL120" s="435"/>
      <c r="AM120" s="426"/>
      <c r="AN120" s="426"/>
      <c r="AO120" s="426"/>
      <c r="AP120" s="426"/>
      <c r="AQ120" s="426"/>
      <c r="AR120" s="420"/>
      <c r="AS120" s="420"/>
      <c r="AT120" s="420"/>
      <c r="AU120" s="420"/>
      <c r="AV120" s="420"/>
      <c r="AW120" s="427"/>
      <c r="AX120" s="427"/>
      <c r="AY120" s="427"/>
      <c r="AZ120" s="427"/>
      <c r="BA120" s="427"/>
      <c r="BB120" s="427"/>
      <c r="BC120" s="427"/>
      <c r="BD120" s="427"/>
      <c r="BE120" s="427"/>
      <c r="BF120" s="427"/>
      <c r="BG120" s="427"/>
      <c r="BH120" s="427"/>
      <c r="BI120" s="427"/>
      <c r="BJ120" s="427"/>
      <c r="BK120" s="427"/>
      <c r="BL120" s="427"/>
      <c r="BM120" s="427"/>
      <c r="BN120" s="427"/>
      <c r="BO120" s="427"/>
      <c r="BP120" s="427"/>
      <c r="BQ120" s="427"/>
      <c r="BR120" s="427"/>
      <c r="BS120" s="427"/>
      <c r="BT120" s="427"/>
      <c r="BU120" s="427"/>
      <c r="BV120" s="427"/>
      <c r="BW120" s="427"/>
      <c r="BX120" s="427"/>
      <c r="BY120" s="427"/>
      <c r="BZ120" s="427"/>
      <c r="CA120" s="427"/>
      <c r="CB120" s="427"/>
      <c r="CC120" s="427"/>
      <c r="CD120" s="427"/>
      <c r="CE120" s="427"/>
      <c r="CF120" s="427"/>
      <c r="CG120" s="427"/>
      <c r="CH120" s="427"/>
      <c r="CI120" s="427"/>
      <c r="CJ120" s="427"/>
      <c r="CK120" s="427"/>
      <c r="CL120" s="427"/>
      <c r="CM120" s="427"/>
      <c r="CN120" s="427"/>
      <c r="CO120" s="427"/>
      <c r="CP120" s="467"/>
      <c r="CQ120" s="427"/>
      <c r="CR120" s="427"/>
      <c r="CS120" s="427"/>
      <c r="CT120" s="427"/>
      <c r="CU120" s="427"/>
      <c r="CV120" s="427"/>
      <c r="CW120" s="427"/>
      <c r="CX120" s="427"/>
      <c r="CY120" s="427"/>
      <c r="CZ120" s="427"/>
      <c r="DA120" s="427"/>
      <c r="DB120" s="427"/>
      <c r="DC120" s="427"/>
      <c r="DD120" s="427"/>
      <c r="DE120" s="427"/>
      <c r="DF120" s="427"/>
      <c r="DH120" s="430"/>
    </row>
    <row r="121" spans="1:112" ht="18" customHeight="1">
      <c r="A121" s="419" t="s">
        <v>361</v>
      </c>
      <c r="B121" s="420">
        <v>192.01951221000002</v>
      </c>
      <c r="C121" s="422">
        <v>235.97923191000001</v>
      </c>
      <c r="D121" s="422">
        <v>222.77310564999999</v>
      </c>
      <c r="E121" s="423">
        <v>328.35369524999999</v>
      </c>
      <c r="F121" s="422">
        <v>298.92589276389003</v>
      </c>
      <c r="G121" s="422">
        <v>315.70135072696672</v>
      </c>
      <c r="H121" s="422">
        <v>308.77856265807998</v>
      </c>
      <c r="I121" s="422">
        <v>338.71059661696006</v>
      </c>
      <c r="J121" s="422">
        <v>288.23941493000001</v>
      </c>
      <c r="K121" s="423">
        <v>244.13335043999999</v>
      </c>
      <c r="L121" s="422">
        <v>254.35291572999998</v>
      </c>
      <c r="M121" s="422">
        <v>316.76744101499997</v>
      </c>
      <c r="N121" s="422">
        <v>355.94994093999998</v>
      </c>
      <c r="O121" s="423">
        <v>326.38525176999997</v>
      </c>
      <c r="P121" s="422">
        <v>299.53073412419997</v>
      </c>
      <c r="Q121" s="422">
        <v>295.95905259000006</v>
      </c>
      <c r="R121" s="423">
        <v>279.10486991999994</v>
      </c>
      <c r="S121" s="422">
        <v>326.57767074000003</v>
      </c>
      <c r="T121" s="422">
        <v>299.72776546999995</v>
      </c>
      <c r="U121" s="425">
        <v>353.15642659000002</v>
      </c>
      <c r="V121" s="425">
        <v>311.63890915999997</v>
      </c>
      <c r="W121" s="425">
        <v>387.74889279000001</v>
      </c>
      <c r="X121" s="425">
        <v>334.29616931999999</v>
      </c>
      <c r="Y121" s="425">
        <v>376.36085786000001</v>
      </c>
      <c r="Z121" s="425">
        <v>320.22612536999998</v>
      </c>
      <c r="AA121" s="425">
        <v>312.08657906999997</v>
      </c>
      <c r="AB121" s="425">
        <v>321.70331481999995</v>
      </c>
      <c r="AC121" s="425">
        <v>320.87883112000003</v>
      </c>
      <c r="AD121" s="425">
        <v>339.37122112000003</v>
      </c>
      <c r="AE121" s="425">
        <v>370.10273545999996</v>
      </c>
      <c r="AF121" s="425">
        <v>388.47943285000002</v>
      </c>
      <c r="AG121" s="425">
        <v>473.94413900000001</v>
      </c>
      <c r="AH121" s="425">
        <v>370.34552758000001</v>
      </c>
      <c r="AI121" s="425">
        <v>448.24496029999995</v>
      </c>
      <c r="AJ121" s="425">
        <v>469.50031194000002</v>
      </c>
      <c r="AK121" s="425">
        <v>531.65268503000004</v>
      </c>
      <c r="AL121" s="425">
        <v>488.35580938999999</v>
      </c>
      <c r="AM121" s="426">
        <v>453.84445075999997</v>
      </c>
      <c r="AN121" s="426">
        <v>461.19285909999996</v>
      </c>
      <c r="AO121" s="426">
        <v>442.76116218000004</v>
      </c>
      <c r="AP121" s="426">
        <v>442.59654288109999</v>
      </c>
      <c r="AQ121" s="426">
        <v>522.8364317214</v>
      </c>
      <c r="AR121" s="420">
        <v>498.09112754999995</v>
      </c>
      <c r="AS121" s="420">
        <v>492.31680511000002</v>
      </c>
      <c r="AT121" s="420">
        <v>417.21709975459999</v>
      </c>
      <c r="AU121" s="420">
        <v>431.57107893541098</v>
      </c>
      <c r="AV121" s="420">
        <v>442.43659571196002</v>
      </c>
      <c r="AW121" s="427">
        <v>465.66307396300806</v>
      </c>
      <c r="AX121" s="427">
        <v>650.52181283149002</v>
      </c>
      <c r="AY121" s="427">
        <v>686.832253480031</v>
      </c>
      <c r="AZ121" s="427">
        <v>713.94402035169787</v>
      </c>
      <c r="BA121" s="427">
        <v>727.84612771812408</v>
      </c>
      <c r="BB121" s="427">
        <v>657.86232802095992</v>
      </c>
      <c r="BC121" s="427">
        <v>710.12737937048507</v>
      </c>
      <c r="BD121" s="427">
        <v>634.37569963012299</v>
      </c>
      <c r="BE121" s="427">
        <v>647.97382662779</v>
      </c>
      <c r="BF121" s="427">
        <v>537.88422335361201</v>
      </c>
      <c r="BG121" s="427">
        <v>627.61083330546705</v>
      </c>
      <c r="BH121" s="427">
        <v>663.40927889077591</v>
      </c>
      <c r="BI121" s="427">
        <v>728.34664285774807</v>
      </c>
      <c r="BJ121" s="427">
        <v>707.78712348586896</v>
      </c>
      <c r="BK121" s="427">
        <v>526.40086285119298</v>
      </c>
      <c r="BL121" s="427">
        <v>485.52887384065707</v>
      </c>
      <c r="BM121" s="427">
        <v>490.471644806722</v>
      </c>
      <c r="BN121" s="427">
        <v>485.75293444996026</v>
      </c>
      <c r="BO121" s="427">
        <v>455.68923262062003</v>
      </c>
      <c r="BP121" s="427">
        <v>513.23423920703692</v>
      </c>
      <c r="BQ121" s="427">
        <v>479.00872848077796</v>
      </c>
      <c r="BR121" s="427">
        <v>518.53530125219891</v>
      </c>
      <c r="BS121" s="427">
        <v>501.36558687436201</v>
      </c>
      <c r="BT121" s="427">
        <v>465.01497381285702</v>
      </c>
      <c r="BU121" s="427">
        <v>513.62045026578505</v>
      </c>
      <c r="BV121" s="427">
        <v>485.15274489162999</v>
      </c>
      <c r="BW121" s="427">
        <v>534.20309589646297</v>
      </c>
      <c r="BX121" s="427">
        <v>565.91842836649994</v>
      </c>
      <c r="BY121" s="427">
        <v>536.36884661930003</v>
      </c>
      <c r="BZ121" s="427">
        <v>456.6</v>
      </c>
      <c r="CA121" s="427">
        <v>508.84501449909203</v>
      </c>
      <c r="CB121" s="427">
        <v>450.13484469470802</v>
      </c>
      <c r="CC121" s="427">
        <v>461.26877017055995</v>
      </c>
      <c r="CD121" s="427">
        <v>477.92985982939206</v>
      </c>
      <c r="CE121" s="427">
        <v>468.70256496830564</v>
      </c>
      <c r="CF121" s="427">
        <v>502.50511292237599</v>
      </c>
      <c r="CG121" s="427">
        <v>546.64038052038325</v>
      </c>
      <c r="CH121" s="427">
        <v>568.53301375424587</v>
      </c>
      <c r="CI121" s="427">
        <v>546.46712202075094</v>
      </c>
      <c r="CJ121" s="427">
        <v>500.03160609152997</v>
      </c>
      <c r="CK121" s="427">
        <v>494.53909139215398</v>
      </c>
      <c r="CL121" s="427">
        <v>535.00024466534353</v>
      </c>
      <c r="CM121" s="427">
        <v>515.52924364255546</v>
      </c>
      <c r="CN121" s="427">
        <v>488.90663818366602</v>
      </c>
      <c r="CO121" s="427">
        <v>483.39833002803698</v>
      </c>
      <c r="CP121" s="467">
        <v>465.55856046745498</v>
      </c>
      <c r="CQ121" s="427">
        <v>499.265924426347</v>
      </c>
      <c r="CR121" s="427">
        <v>509.76004001978998</v>
      </c>
      <c r="CS121" s="427">
        <v>494.02512018802497</v>
      </c>
      <c r="CT121" s="427">
        <v>425.2729932694408</v>
      </c>
      <c r="CU121" s="427">
        <v>405.72348979354598</v>
      </c>
      <c r="CV121" s="427">
        <v>472.94536556023598</v>
      </c>
      <c r="CW121" s="427">
        <v>468.61268423495994</v>
      </c>
      <c r="CX121" s="427">
        <v>455.05219909027795</v>
      </c>
      <c r="CY121" s="427">
        <v>461.18873389208795</v>
      </c>
      <c r="CZ121" s="427">
        <v>437.67376122272003</v>
      </c>
      <c r="DA121" s="427">
        <v>444.08965383719601</v>
      </c>
      <c r="DB121" s="427">
        <v>452.47806701246986</v>
      </c>
      <c r="DC121" s="427">
        <v>428.70039774683397</v>
      </c>
      <c r="DD121" s="427">
        <v>427.12108649212996</v>
      </c>
      <c r="DE121" s="427">
        <v>427.85080719622601</v>
      </c>
      <c r="DF121" s="427">
        <v>431.18448374849498</v>
      </c>
      <c r="DH121" s="430"/>
    </row>
    <row r="122" spans="1:112" ht="7.7" customHeight="1">
      <c r="A122" s="419"/>
      <c r="B122" s="420"/>
      <c r="C122" s="422"/>
      <c r="D122" s="422"/>
      <c r="E122" s="423"/>
      <c r="F122" s="422"/>
      <c r="G122" s="422"/>
      <c r="H122" s="422"/>
      <c r="I122" s="422"/>
      <c r="J122" s="422"/>
      <c r="K122" s="423"/>
      <c r="L122" s="422"/>
      <c r="M122" s="422"/>
      <c r="N122" s="422"/>
      <c r="O122" s="423"/>
      <c r="P122" s="422"/>
      <c r="Q122" s="422"/>
      <c r="R122" s="423"/>
      <c r="S122" s="422"/>
      <c r="T122" s="422"/>
      <c r="U122" s="425"/>
      <c r="V122" s="425"/>
      <c r="W122" s="425"/>
      <c r="X122" s="425"/>
      <c r="Y122" s="425"/>
      <c r="Z122" s="425"/>
      <c r="AA122" s="425"/>
      <c r="AB122" s="425"/>
      <c r="AC122" s="425"/>
      <c r="AD122" s="425"/>
      <c r="AE122" s="425"/>
      <c r="AF122" s="425"/>
      <c r="AG122" s="425"/>
      <c r="AH122" s="425"/>
      <c r="AI122" s="425"/>
      <c r="AJ122" s="425"/>
      <c r="AK122" s="425"/>
      <c r="AL122" s="425"/>
      <c r="AM122" s="426"/>
      <c r="AN122" s="426"/>
      <c r="AO122" s="426"/>
      <c r="AP122" s="426"/>
      <c r="AQ122" s="426"/>
      <c r="AR122" s="420"/>
      <c r="AS122" s="420"/>
      <c r="AT122" s="420"/>
      <c r="AU122" s="420"/>
      <c r="AV122" s="420"/>
      <c r="AW122" s="427"/>
      <c r="AX122" s="427"/>
      <c r="AY122" s="427"/>
      <c r="AZ122" s="427"/>
      <c r="BA122" s="427"/>
      <c r="BB122" s="427"/>
      <c r="BC122" s="427"/>
      <c r="BD122" s="427"/>
      <c r="BE122" s="427"/>
      <c r="BF122" s="427"/>
      <c r="BG122" s="427"/>
      <c r="BH122" s="427"/>
      <c r="BI122" s="427"/>
      <c r="BJ122" s="427"/>
      <c r="BK122" s="427"/>
      <c r="BL122" s="427"/>
      <c r="BM122" s="427"/>
      <c r="BN122" s="427"/>
      <c r="BO122" s="427"/>
      <c r="BP122" s="427"/>
      <c r="BQ122" s="427"/>
      <c r="BR122" s="427"/>
      <c r="BS122" s="427"/>
      <c r="BT122" s="427"/>
      <c r="BU122" s="427"/>
      <c r="BV122" s="427"/>
      <c r="BW122" s="427"/>
      <c r="BX122" s="427"/>
      <c r="BY122" s="427"/>
      <c r="BZ122" s="427"/>
      <c r="CA122" s="427"/>
      <c r="CB122" s="427"/>
      <c r="CC122" s="427"/>
      <c r="CD122" s="427"/>
      <c r="CE122" s="427"/>
      <c r="CF122" s="427"/>
      <c r="CG122" s="427"/>
      <c r="CH122" s="427"/>
      <c r="CI122" s="427"/>
      <c r="CJ122" s="427"/>
      <c r="CK122" s="427"/>
      <c r="CL122" s="427"/>
      <c r="CM122" s="427"/>
      <c r="CN122" s="427"/>
      <c r="CO122" s="427"/>
      <c r="CP122" s="467"/>
      <c r="CQ122" s="427"/>
      <c r="CR122" s="427"/>
      <c r="CS122" s="427"/>
      <c r="CT122" s="427"/>
      <c r="CU122" s="427"/>
      <c r="CV122" s="427"/>
      <c r="CW122" s="427"/>
      <c r="CX122" s="427"/>
      <c r="CY122" s="427"/>
      <c r="CZ122" s="427"/>
      <c r="DA122" s="427"/>
      <c r="DB122" s="427"/>
      <c r="DC122" s="427"/>
      <c r="DD122" s="427"/>
      <c r="DE122" s="427"/>
      <c r="DF122" s="427"/>
      <c r="DH122" s="430"/>
    </row>
    <row r="123" spans="1:112" ht="18" customHeight="1">
      <c r="A123" s="419" t="s">
        <v>362</v>
      </c>
      <c r="B123" s="420">
        <v>22.896724710000001</v>
      </c>
      <c r="C123" s="422">
        <v>23.930499189999999</v>
      </c>
      <c r="D123" s="422">
        <v>21.771200949999997</v>
      </c>
      <c r="E123" s="423">
        <v>21.311337690000002</v>
      </c>
      <c r="F123" s="422">
        <v>22.385842310000001</v>
      </c>
      <c r="G123" s="422">
        <v>23.233362689999996</v>
      </c>
      <c r="H123" s="422">
        <v>23.580355480000001</v>
      </c>
      <c r="I123" s="422">
        <v>23.529080230000002</v>
      </c>
      <c r="J123" s="422">
        <v>23.54986761</v>
      </c>
      <c r="K123" s="423">
        <v>25.251241350000001</v>
      </c>
      <c r="L123" s="422">
        <v>27.155479019999998</v>
      </c>
      <c r="M123" s="422">
        <v>26.195889389999998</v>
      </c>
      <c r="N123" s="422">
        <v>27.685987150000003</v>
      </c>
      <c r="O123" s="423">
        <v>53.465920170000004</v>
      </c>
      <c r="P123" s="422">
        <v>53.160079099999997</v>
      </c>
      <c r="Q123" s="422">
        <v>53.535575270000002</v>
      </c>
      <c r="R123" s="423">
        <v>55.322908229999996</v>
      </c>
      <c r="S123" s="422">
        <v>58.121747859999999</v>
      </c>
      <c r="T123" s="422">
        <v>58.569311729999995</v>
      </c>
      <c r="U123" s="425">
        <v>55.885943249999997</v>
      </c>
      <c r="V123" s="425">
        <v>58.05498369</v>
      </c>
      <c r="W123" s="425">
        <v>66.578060450000009</v>
      </c>
      <c r="X123" s="425">
        <v>65.956417860000002</v>
      </c>
      <c r="Y123" s="425">
        <v>65.611733479999998</v>
      </c>
      <c r="Z123" s="425">
        <v>64.422081540000008</v>
      </c>
      <c r="AA123" s="425">
        <v>57.374158710000003</v>
      </c>
      <c r="AB123" s="425">
        <v>55.552250749999999</v>
      </c>
      <c r="AC123" s="425">
        <v>55.499747559999996</v>
      </c>
      <c r="AD123" s="425">
        <v>61.388863400000005</v>
      </c>
      <c r="AE123" s="425">
        <v>60.400083690000002</v>
      </c>
      <c r="AF123" s="425">
        <v>74.928552969999998</v>
      </c>
      <c r="AG123" s="425">
        <v>76.824820310000007</v>
      </c>
      <c r="AH123" s="425">
        <v>73.240572389999997</v>
      </c>
      <c r="AI123" s="425">
        <v>73.781270960000015</v>
      </c>
      <c r="AJ123" s="425">
        <v>72.424761520000004</v>
      </c>
      <c r="AK123" s="425">
        <v>73.89141223</v>
      </c>
      <c r="AL123" s="425">
        <v>72.014711359999993</v>
      </c>
      <c r="AM123" s="426">
        <v>66.513168229999991</v>
      </c>
      <c r="AN123" s="426">
        <v>70.982842469999994</v>
      </c>
      <c r="AO123" s="426">
        <v>68.225400809999996</v>
      </c>
      <c r="AP123" s="426">
        <v>67.693869339200006</v>
      </c>
      <c r="AQ123" s="426">
        <v>69.855168853799995</v>
      </c>
      <c r="AR123" s="420">
        <v>158.67615725920001</v>
      </c>
      <c r="AS123" s="420">
        <v>236.32443824000001</v>
      </c>
      <c r="AT123" s="420">
        <v>226.02536978800001</v>
      </c>
      <c r="AU123" s="420">
        <v>331.35528857699995</v>
      </c>
      <c r="AV123" s="420">
        <v>351.05741903400002</v>
      </c>
      <c r="AW123" s="427">
        <v>362.7615856164</v>
      </c>
      <c r="AX123" s="427">
        <v>465.88054793000009</v>
      </c>
      <c r="AY123" s="427">
        <v>392.98434266000004</v>
      </c>
      <c r="AZ123" s="427">
        <v>372.78182311999996</v>
      </c>
      <c r="BA123" s="427">
        <v>371.82525555000001</v>
      </c>
      <c r="BB123" s="427">
        <v>369.62381545</v>
      </c>
      <c r="BC123" s="427">
        <v>368.35598655000001</v>
      </c>
      <c r="BD123" s="427">
        <v>430.94066263000002</v>
      </c>
      <c r="BE123" s="427">
        <v>431.92189302999992</v>
      </c>
      <c r="BF123" s="427">
        <v>428.85056360999994</v>
      </c>
      <c r="BG123" s="427">
        <v>423.95907757999993</v>
      </c>
      <c r="BH123" s="427">
        <v>448.53600299999999</v>
      </c>
      <c r="BI123" s="427">
        <v>450.30419853000001</v>
      </c>
      <c r="BJ123" s="427">
        <v>557.21806895999998</v>
      </c>
      <c r="BK123" s="427">
        <v>564.87396211999999</v>
      </c>
      <c r="BL123" s="427">
        <v>562.47330939999995</v>
      </c>
      <c r="BM123" s="427">
        <v>563.27044503999991</v>
      </c>
      <c r="BN123" s="427">
        <v>565.04797779000012</v>
      </c>
      <c r="BO123" s="427">
        <v>561.35771807000003</v>
      </c>
      <c r="BP123" s="427">
        <v>552.14333354000007</v>
      </c>
      <c r="BQ123" s="427">
        <v>554.23283441000001</v>
      </c>
      <c r="BR123" s="427">
        <v>556.17932862999999</v>
      </c>
      <c r="BS123" s="427">
        <v>564.25831009000001</v>
      </c>
      <c r="BT123" s="427">
        <v>563.03809707000016</v>
      </c>
      <c r="BU123" s="427">
        <v>559.93400370999996</v>
      </c>
      <c r="BV123" s="427">
        <v>573.12150758999985</v>
      </c>
      <c r="BW123" s="427">
        <v>574.98574414000007</v>
      </c>
      <c r="BX123" s="427">
        <v>568.19618385000001</v>
      </c>
      <c r="BY123" s="427">
        <v>572.85721200000012</v>
      </c>
      <c r="BZ123" s="427">
        <v>569.4</v>
      </c>
      <c r="CA123" s="427">
        <v>583.75626207999994</v>
      </c>
      <c r="CB123" s="427">
        <v>582.78793920999999</v>
      </c>
      <c r="CC123" s="427">
        <v>592.13248998999995</v>
      </c>
      <c r="CD123" s="427">
        <v>569.98832315999994</v>
      </c>
      <c r="CE123" s="427">
        <v>564.79191700000001</v>
      </c>
      <c r="CF123" s="427">
        <v>561.91405387000009</v>
      </c>
      <c r="CG123" s="427">
        <v>553.35197152000012</v>
      </c>
      <c r="CH123" s="427">
        <v>563.27310087000001</v>
      </c>
      <c r="CI123" s="427">
        <v>562.02645163000011</v>
      </c>
      <c r="CJ123" s="427">
        <v>675.63768110000001</v>
      </c>
      <c r="CK123" s="427">
        <v>673.72784215000001</v>
      </c>
      <c r="CL123" s="427">
        <v>669.50396338999997</v>
      </c>
      <c r="CM123" s="427">
        <v>663.41997140000012</v>
      </c>
      <c r="CN123" s="427">
        <v>640.99952871000005</v>
      </c>
      <c r="CO123" s="427">
        <v>662.20459431999996</v>
      </c>
      <c r="CP123" s="467">
        <v>657.68921922000004</v>
      </c>
      <c r="CQ123" s="427">
        <v>662.05957423999996</v>
      </c>
      <c r="CR123" s="427">
        <v>656.42291297999998</v>
      </c>
      <c r="CS123" s="427">
        <v>669.81928072000005</v>
      </c>
      <c r="CT123" s="427">
        <v>652.96205355999996</v>
      </c>
      <c r="CU123" s="427">
        <v>236.54785200000001</v>
      </c>
      <c r="CV123" s="427">
        <v>227.82573628</v>
      </c>
      <c r="CW123" s="427">
        <v>225.44831076999998</v>
      </c>
      <c r="CX123" s="427">
        <v>222.54340289999999</v>
      </c>
      <c r="CY123" s="427">
        <v>223.28071204000003</v>
      </c>
      <c r="CZ123" s="427">
        <v>237.51249261999999</v>
      </c>
      <c r="DA123" s="427">
        <v>262.17832880000003</v>
      </c>
      <c r="DB123" s="427">
        <v>261.24808803000002</v>
      </c>
      <c r="DC123" s="427">
        <v>267.30956226000001</v>
      </c>
      <c r="DD123" s="427">
        <v>270.88224986999995</v>
      </c>
      <c r="DE123" s="427">
        <v>282.59881746000002</v>
      </c>
      <c r="DF123" s="427">
        <v>308.75538816999995</v>
      </c>
      <c r="DH123" s="430"/>
    </row>
    <row r="124" spans="1:112" ht="7.7" customHeight="1">
      <c r="A124" s="419"/>
      <c r="B124" s="420"/>
      <c r="C124" s="422"/>
      <c r="D124" s="422"/>
      <c r="E124" s="423"/>
      <c r="F124" s="422"/>
      <c r="G124" s="422"/>
      <c r="H124" s="433"/>
      <c r="I124" s="433"/>
      <c r="J124" s="433"/>
      <c r="K124" s="434"/>
      <c r="L124" s="433"/>
      <c r="M124" s="433"/>
      <c r="N124" s="433"/>
      <c r="O124" s="434"/>
      <c r="P124" s="433"/>
      <c r="Q124" s="433"/>
      <c r="R124" s="423"/>
      <c r="S124" s="433"/>
      <c r="T124" s="433"/>
      <c r="U124" s="435"/>
      <c r="V124" s="435"/>
      <c r="W124" s="435"/>
      <c r="X124" s="435"/>
      <c r="Y124" s="435"/>
      <c r="Z124" s="435"/>
      <c r="AA124" s="435"/>
      <c r="AB124" s="435"/>
      <c r="AC124" s="435"/>
      <c r="AD124" s="435"/>
      <c r="AE124" s="435"/>
      <c r="AF124" s="435"/>
      <c r="AG124" s="435"/>
      <c r="AH124" s="435"/>
      <c r="AI124" s="435"/>
      <c r="AJ124" s="435"/>
      <c r="AK124" s="435"/>
      <c r="AL124" s="435"/>
      <c r="AM124" s="426"/>
      <c r="AN124" s="426"/>
      <c r="AO124" s="426"/>
      <c r="AP124" s="426"/>
      <c r="AQ124" s="426"/>
      <c r="AR124" s="420"/>
      <c r="AS124" s="420"/>
      <c r="AT124" s="420"/>
      <c r="AU124" s="420"/>
      <c r="AV124" s="420"/>
      <c r="AW124" s="427"/>
      <c r="AX124" s="427"/>
      <c r="AY124" s="427"/>
      <c r="AZ124" s="427"/>
      <c r="BA124" s="427"/>
      <c r="BB124" s="427"/>
      <c r="BC124" s="427"/>
      <c r="BD124" s="427"/>
      <c r="BE124" s="427"/>
      <c r="BF124" s="427"/>
      <c r="BG124" s="427"/>
      <c r="BH124" s="427"/>
      <c r="BI124" s="427"/>
      <c r="BJ124" s="427"/>
      <c r="BK124" s="427"/>
      <c r="BL124" s="427"/>
      <c r="BM124" s="427"/>
      <c r="BN124" s="427"/>
      <c r="BO124" s="427"/>
      <c r="BP124" s="427"/>
      <c r="BQ124" s="427"/>
      <c r="BR124" s="427"/>
      <c r="BS124" s="427"/>
      <c r="BT124" s="427"/>
      <c r="BU124" s="427"/>
      <c r="BV124" s="427"/>
      <c r="BW124" s="427"/>
      <c r="BX124" s="427"/>
      <c r="BY124" s="427"/>
      <c r="BZ124" s="427"/>
      <c r="CA124" s="427"/>
      <c r="CB124" s="427"/>
      <c r="CC124" s="427"/>
      <c r="CD124" s="427"/>
      <c r="CE124" s="427"/>
      <c r="CF124" s="427"/>
      <c r="CG124" s="427"/>
      <c r="CH124" s="427"/>
      <c r="CI124" s="427"/>
      <c r="CJ124" s="427"/>
      <c r="CK124" s="427"/>
      <c r="CL124" s="427"/>
      <c r="CM124" s="427"/>
      <c r="CN124" s="427"/>
      <c r="CO124" s="427"/>
      <c r="CP124" s="467"/>
      <c r="CQ124" s="427"/>
      <c r="CR124" s="427"/>
      <c r="CS124" s="427"/>
      <c r="CT124" s="427"/>
      <c r="CU124" s="427"/>
      <c r="CV124" s="427"/>
      <c r="CW124" s="427"/>
      <c r="CX124" s="427"/>
      <c r="CY124" s="427"/>
      <c r="CZ124" s="427"/>
      <c r="DA124" s="427"/>
      <c r="DB124" s="427"/>
      <c r="DC124" s="427"/>
      <c r="DD124" s="427"/>
      <c r="DE124" s="427"/>
      <c r="DF124" s="427"/>
      <c r="DH124" s="430"/>
    </row>
    <row r="125" spans="1:112" ht="18" customHeight="1">
      <c r="A125" s="419" t="s">
        <v>394</v>
      </c>
      <c r="B125" s="420">
        <v>0</v>
      </c>
      <c r="C125" s="422">
        <v>0.10020628999999999</v>
      </c>
      <c r="D125" s="422">
        <v>6.761955E-2</v>
      </c>
      <c r="E125" s="423">
        <v>9.1557119999999992E-2</v>
      </c>
      <c r="F125" s="422">
        <v>8.0903940000000008E-2</v>
      </c>
      <c r="G125" s="422">
        <v>9.8683999999999994E-2</v>
      </c>
      <c r="H125" s="422">
        <v>0</v>
      </c>
      <c r="I125" s="422">
        <v>5.6153000000000002E-2</v>
      </c>
      <c r="J125" s="422">
        <v>0</v>
      </c>
      <c r="K125" s="423">
        <v>9.98E-2</v>
      </c>
      <c r="L125" s="422">
        <v>0.1011533</v>
      </c>
      <c r="M125" s="422">
        <v>0.10257558</v>
      </c>
      <c r="N125" s="422">
        <v>3.3465179999999997E-2</v>
      </c>
      <c r="O125" s="423">
        <v>0.1</v>
      </c>
      <c r="P125" s="422">
        <v>3.4433360000000003E-2</v>
      </c>
      <c r="Q125" s="422">
        <v>9.6010520000000002E-2</v>
      </c>
      <c r="R125" s="423">
        <v>3.1390910000000001E-2</v>
      </c>
      <c r="S125" s="422">
        <v>6.2217429999999997E-2</v>
      </c>
      <c r="T125" s="422">
        <v>0.14941817000000002</v>
      </c>
      <c r="U125" s="425">
        <v>0.16524712</v>
      </c>
      <c r="V125" s="425">
        <v>9.5903779999999994E-2</v>
      </c>
      <c r="W125" s="425">
        <v>0.12796542</v>
      </c>
      <c r="X125" s="425">
        <v>9.8810070000000014E-2</v>
      </c>
      <c r="Y125" s="425">
        <v>0.17254763000000001</v>
      </c>
      <c r="Z125" s="425">
        <v>0.10180569</v>
      </c>
      <c r="AA125" s="425">
        <v>0.15710617999999998</v>
      </c>
      <c r="AB125" s="425">
        <v>0.10312319</v>
      </c>
      <c r="AC125" s="425">
        <v>0.10086730000000001</v>
      </c>
      <c r="AD125" s="425">
        <v>0.11887236999999999</v>
      </c>
      <c r="AE125" s="425">
        <v>0.10578132000000001</v>
      </c>
      <c r="AF125" s="425">
        <v>0.10267535000000001</v>
      </c>
      <c r="AG125" s="425">
        <v>0.10157836000000001</v>
      </c>
      <c r="AH125" s="425">
        <v>0.11142025999999999</v>
      </c>
      <c r="AI125" s="425">
        <v>1.9604E-4</v>
      </c>
      <c r="AJ125" s="425">
        <v>1.5587370000000001E-2</v>
      </c>
      <c r="AK125" s="425">
        <v>7.8306880000000009E-2</v>
      </c>
      <c r="AL125" s="425">
        <v>5.3264699999999998E-2</v>
      </c>
      <c r="AM125" s="426">
        <v>7.9935800000000001E-3</v>
      </c>
      <c r="AN125" s="426">
        <v>6.2540600000000005E-3</v>
      </c>
      <c r="AO125" s="426">
        <v>9.5938509999999991E-2</v>
      </c>
      <c r="AP125" s="426">
        <v>2.2045550000000001E-2</v>
      </c>
      <c r="AQ125" s="426">
        <v>8.771669E-2</v>
      </c>
      <c r="AR125" s="420">
        <v>2.2879769999999997E-2</v>
      </c>
      <c r="AS125" s="420">
        <v>2.6735385299999996</v>
      </c>
      <c r="AT125" s="420">
        <v>2.7082639999999998E-2</v>
      </c>
      <c r="AU125" s="420">
        <v>8.5475720000000005E-2</v>
      </c>
      <c r="AV125" s="420">
        <v>0</v>
      </c>
      <c r="AW125" s="427">
        <v>0</v>
      </c>
      <c r="AX125" s="427">
        <v>0</v>
      </c>
      <c r="AY125" s="427">
        <v>2.9583299999999999E-3</v>
      </c>
      <c r="AZ125" s="427">
        <v>0.34326441999999996</v>
      </c>
      <c r="BA125" s="427">
        <v>0.35115745000000004</v>
      </c>
      <c r="BB125" s="427">
        <v>0.39273246999999994</v>
      </c>
      <c r="BC125" s="427">
        <v>0.35254471000000004</v>
      </c>
      <c r="BD125" s="427">
        <v>0.26229183</v>
      </c>
      <c r="BE125" s="427">
        <v>0.23854133999999999</v>
      </c>
      <c r="BF125" s="427">
        <v>0.21045760999999999</v>
      </c>
      <c r="BG125" s="427">
        <v>0.1980634</v>
      </c>
      <c r="BH125" s="427">
        <v>0.27884430999999998</v>
      </c>
      <c r="BI125" s="427">
        <v>0.48020114000000003</v>
      </c>
      <c r="BJ125" s="427">
        <v>0.6479838</v>
      </c>
      <c r="BK125" s="427">
        <v>0.49181095000000002</v>
      </c>
      <c r="BL125" s="427">
        <v>0.51331262</v>
      </c>
      <c r="BM125" s="427">
        <v>0.47312671999999995</v>
      </c>
      <c r="BN125" s="427">
        <v>0.48631702999999998</v>
      </c>
      <c r="BO125" s="427">
        <v>0.44240933999999998</v>
      </c>
      <c r="BP125" s="427">
        <v>0.51672671999999997</v>
      </c>
      <c r="BQ125" s="427">
        <v>0.47716392000000002</v>
      </c>
      <c r="BR125" s="427">
        <v>0.48608786999999998</v>
      </c>
      <c r="BS125" s="427">
        <v>0.36313711999999998</v>
      </c>
      <c r="BT125" s="427">
        <v>9.6190479999999995E-2</v>
      </c>
      <c r="BU125" s="427">
        <v>0.17090801999999999</v>
      </c>
      <c r="BV125" s="427">
        <v>0.16124117999999998</v>
      </c>
      <c r="BW125" s="427">
        <v>0.18289442</v>
      </c>
      <c r="BX125" s="427">
        <v>0.195213</v>
      </c>
      <c r="BY125" s="427">
        <v>0.25817200000000001</v>
      </c>
      <c r="BZ125" s="427">
        <v>0.1</v>
      </c>
      <c r="CA125" s="427">
        <v>0.12053949999999999</v>
      </c>
      <c r="CB125" s="427">
        <v>0.10335031</v>
      </c>
      <c r="CC125" s="427">
        <v>0.23272893</v>
      </c>
      <c r="CD125" s="427">
        <v>0.15786333</v>
      </c>
      <c r="CE125" s="427">
        <v>0.17289642999999999</v>
      </c>
      <c r="CF125" s="427">
        <v>8.004246000000001E-2</v>
      </c>
      <c r="CG125" s="427">
        <v>0.26916702000000003</v>
      </c>
      <c r="CH125" s="427">
        <v>0.14101710000000001</v>
      </c>
      <c r="CI125" s="427">
        <v>0.14179847000000001</v>
      </c>
      <c r="CJ125" s="427">
        <v>7.2719359999999997E-2</v>
      </c>
      <c r="CK125" s="427">
        <v>0.12986126000000001</v>
      </c>
      <c r="CL125" s="427">
        <v>0.24060016000000001</v>
      </c>
      <c r="CM125" s="427">
        <v>8.2547750000000003E-2</v>
      </c>
      <c r="CN125" s="427">
        <v>0.17928139000000001</v>
      </c>
      <c r="CO125" s="427">
        <v>0.11504833</v>
      </c>
      <c r="CP125" s="467">
        <v>0.26650253999999995</v>
      </c>
      <c r="CQ125" s="427">
        <v>0.17321108999999998</v>
      </c>
      <c r="CR125" s="427">
        <v>0.20612103000000001</v>
      </c>
      <c r="CS125" s="427">
        <v>0.13155331000000001</v>
      </c>
      <c r="CT125" s="427">
        <v>0</v>
      </c>
      <c r="CU125" s="427">
        <v>0.19337573000000002</v>
      </c>
      <c r="CV125" s="427">
        <v>3.1000949999999999E-2</v>
      </c>
      <c r="CW125" s="427">
        <v>3.3348849999999999E-2</v>
      </c>
      <c r="CX125" s="427">
        <v>0.13406142999999998</v>
      </c>
      <c r="CY125" s="427">
        <v>0.18827368</v>
      </c>
      <c r="CZ125" s="427">
        <v>0.19678567999999999</v>
      </c>
      <c r="DA125" s="427">
        <v>0.25669026</v>
      </c>
      <c r="DB125" s="427">
        <v>0.11809965</v>
      </c>
      <c r="DC125" s="427">
        <v>0.15546795000000002</v>
      </c>
      <c r="DD125" s="427">
        <v>0.13217195000000001</v>
      </c>
      <c r="DE125" s="427">
        <v>0.15082960000000001</v>
      </c>
      <c r="DF125" s="427">
        <v>0.10627814999999999</v>
      </c>
      <c r="DH125" s="430"/>
    </row>
    <row r="126" spans="1:112" ht="7.7" customHeight="1">
      <c r="A126" s="419"/>
      <c r="B126" s="420"/>
      <c r="C126" s="422"/>
      <c r="D126" s="422"/>
      <c r="E126" s="423"/>
      <c r="F126" s="422"/>
      <c r="G126" s="422"/>
      <c r="H126" s="433"/>
      <c r="I126" s="433"/>
      <c r="J126" s="433"/>
      <c r="K126" s="434"/>
      <c r="L126" s="433"/>
      <c r="M126" s="433"/>
      <c r="N126" s="433"/>
      <c r="O126" s="434"/>
      <c r="P126" s="433"/>
      <c r="Q126" s="433"/>
      <c r="R126" s="423"/>
      <c r="S126" s="433"/>
      <c r="T126" s="433"/>
      <c r="U126" s="435"/>
      <c r="V126" s="435"/>
      <c r="W126" s="435"/>
      <c r="X126" s="435"/>
      <c r="Y126" s="435"/>
      <c r="Z126" s="435"/>
      <c r="AA126" s="435"/>
      <c r="AB126" s="435"/>
      <c r="AC126" s="435"/>
      <c r="AD126" s="435"/>
      <c r="AE126" s="435"/>
      <c r="AF126" s="435"/>
      <c r="AG126" s="435"/>
      <c r="AH126" s="435"/>
      <c r="AI126" s="435"/>
      <c r="AJ126" s="435"/>
      <c r="AK126" s="435"/>
      <c r="AL126" s="435"/>
      <c r="AM126" s="426"/>
      <c r="AN126" s="426"/>
      <c r="AO126" s="426"/>
      <c r="AP126" s="426"/>
      <c r="AQ126" s="426"/>
      <c r="AR126" s="420"/>
      <c r="AS126" s="420"/>
      <c r="AT126" s="420"/>
      <c r="AU126" s="420"/>
      <c r="AV126" s="420"/>
      <c r="AW126" s="427"/>
      <c r="AX126" s="427"/>
      <c r="AY126" s="427"/>
      <c r="AZ126" s="427"/>
      <c r="BA126" s="427"/>
      <c r="BB126" s="427"/>
      <c r="BC126" s="427"/>
      <c r="BD126" s="427"/>
      <c r="BE126" s="427"/>
      <c r="BF126" s="427"/>
      <c r="BG126" s="427"/>
      <c r="BH126" s="427"/>
      <c r="BI126" s="427"/>
      <c r="BJ126" s="427"/>
      <c r="BK126" s="427"/>
      <c r="BL126" s="427"/>
      <c r="BM126" s="427"/>
      <c r="BN126" s="427"/>
      <c r="BO126" s="427"/>
      <c r="BP126" s="427"/>
      <c r="BQ126" s="427"/>
      <c r="BR126" s="427"/>
      <c r="BS126" s="427"/>
      <c r="BT126" s="427"/>
      <c r="BU126" s="427"/>
      <c r="BV126" s="427"/>
      <c r="BW126" s="427"/>
      <c r="BX126" s="427"/>
      <c r="BY126" s="427"/>
      <c r="BZ126" s="427"/>
      <c r="CA126" s="427"/>
      <c r="CB126" s="427"/>
      <c r="CC126" s="427"/>
      <c r="CD126" s="427"/>
      <c r="CE126" s="427"/>
      <c r="CF126" s="427"/>
      <c r="CG126" s="427"/>
      <c r="CH126" s="427"/>
      <c r="CI126" s="427"/>
      <c r="CJ126" s="427"/>
      <c r="CK126" s="427"/>
      <c r="CL126" s="427"/>
      <c r="CM126" s="427"/>
      <c r="CN126" s="427"/>
      <c r="CO126" s="427"/>
      <c r="CP126" s="467"/>
      <c r="CQ126" s="427"/>
      <c r="CR126" s="427"/>
      <c r="CS126" s="427"/>
      <c r="CT126" s="427"/>
      <c r="CU126" s="427"/>
      <c r="CV126" s="427"/>
      <c r="CW126" s="427"/>
      <c r="CX126" s="427"/>
      <c r="CY126" s="427"/>
      <c r="CZ126" s="427"/>
      <c r="DA126" s="427"/>
      <c r="DB126" s="427"/>
      <c r="DC126" s="427"/>
      <c r="DD126" s="427"/>
      <c r="DE126" s="427"/>
      <c r="DF126" s="427"/>
      <c r="DH126" s="430"/>
    </row>
    <row r="127" spans="1:112" ht="18" customHeight="1">
      <c r="A127" s="419" t="s">
        <v>395</v>
      </c>
      <c r="B127" s="420">
        <v>9790.045050772891</v>
      </c>
      <c r="C127" s="422">
        <v>9986.3961003334498</v>
      </c>
      <c r="D127" s="422">
        <v>10209.995867710812</v>
      </c>
      <c r="E127" s="423">
        <v>10432.8348678612</v>
      </c>
      <c r="F127" s="422">
        <v>10514.343421066342</v>
      </c>
      <c r="G127" s="422">
        <v>10558.572846353722</v>
      </c>
      <c r="H127" s="422">
        <v>10650.817464525007</v>
      </c>
      <c r="I127" s="422">
        <v>10865.470252023104</v>
      </c>
      <c r="J127" s="422">
        <v>10808.406246173154</v>
      </c>
      <c r="K127" s="423">
        <v>10889.744637304719</v>
      </c>
      <c r="L127" s="422">
        <v>11062.191939743261</v>
      </c>
      <c r="M127" s="422">
        <v>11169.928581971792</v>
      </c>
      <c r="N127" s="422">
        <v>11342.374480553241</v>
      </c>
      <c r="O127" s="423">
        <v>11513.742697203381</v>
      </c>
      <c r="P127" s="422">
        <v>11774.519083411018</v>
      </c>
      <c r="Q127" s="422">
        <v>11900.311620778139</v>
      </c>
      <c r="R127" s="423">
        <v>12027.583041713906</v>
      </c>
      <c r="S127" s="422">
        <v>12228.994347227699</v>
      </c>
      <c r="T127" s="422">
        <v>12333.674972365743</v>
      </c>
      <c r="U127" s="425">
        <v>12244.001248503282</v>
      </c>
      <c r="V127" s="425">
        <v>12464.2</v>
      </c>
      <c r="W127" s="425">
        <v>12636.652618985401</v>
      </c>
      <c r="X127" s="425">
        <v>12861.332507102421</v>
      </c>
      <c r="Y127" s="425">
        <v>13083.296898922819</v>
      </c>
      <c r="Z127" s="425">
        <v>13683.234964317679</v>
      </c>
      <c r="AA127" s="425">
        <v>13793.725565746914</v>
      </c>
      <c r="AB127" s="425">
        <v>13982.668306506057</v>
      </c>
      <c r="AC127" s="425">
        <v>14416.67917953707</v>
      </c>
      <c r="AD127" s="425">
        <v>14551.626994553373</v>
      </c>
      <c r="AE127" s="425">
        <v>14572.817867088917</v>
      </c>
      <c r="AF127" s="425">
        <v>14603.941787074096</v>
      </c>
      <c r="AG127" s="425">
        <v>14815.562716546658</v>
      </c>
      <c r="AH127" s="425">
        <v>15015.769864481666</v>
      </c>
      <c r="AI127" s="425">
        <v>15022.676045626004</v>
      </c>
      <c r="AJ127" s="425">
        <v>15447.09179016795</v>
      </c>
      <c r="AK127" s="425">
        <v>15630.598440553978</v>
      </c>
      <c r="AL127" s="425">
        <v>15887.422199267327</v>
      </c>
      <c r="AM127" s="426">
        <v>15962.735813987501</v>
      </c>
      <c r="AN127" s="426">
        <v>16371.418397999467</v>
      </c>
      <c r="AO127" s="426">
        <v>16420.080103193748</v>
      </c>
      <c r="AP127" s="426">
        <v>16107.465390099163</v>
      </c>
      <c r="AQ127" s="426">
        <v>16491.299348792898</v>
      </c>
      <c r="AR127" s="420">
        <v>16227.661819672245</v>
      </c>
      <c r="AS127" s="420">
        <v>16059.329087977025</v>
      </c>
      <c r="AT127" s="420">
        <v>16295.837263044999</v>
      </c>
      <c r="AU127" s="420">
        <v>16078.241918447135</v>
      </c>
      <c r="AV127" s="420">
        <v>16358.111570699528</v>
      </c>
      <c r="AW127" s="427">
        <v>16515.208503223741</v>
      </c>
      <c r="AX127" s="427">
        <v>16545.692590268452</v>
      </c>
      <c r="AY127" s="427">
        <v>16687.192837372349</v>
      </c>
      <c r="AZ127" s="427">
        <v>16909.525077160015</v>
      </c>
      <c r="BA127" s="427">
        <v>17166.63407633148</v>
      </c>
      <c r="BB127" s="427">
        <v>17151.264039742859</v>
      </c>
      <c r="BC127" s="427">
        <v>17340.838347319463</v>
      </c>
      <c r="BD127" s="427">
        <v>17497.170825648853</v>
      </c>
      <c r="BE127" s="427">
        <v>17517.162705528153</v>
      </c>
      <c r="BF127" s="427">
        <v>17555.48410475018</v>
      </c>
      <c r="BG127" s="427">
        <v>17700.387852660984</v>
      </c>
      <c r="BH127" s="427">
        <v>18061.029446577362</v>
      </c>
      <c r="BI127" s="427">
        <v>18257.117385018057</v>
      </c>
      <c r="BJ127" s="427">
        <v>18697.693358555691</v>
      </c>
      <c r="BK127" s="427">
        <v>19022.022843857656</v>
      </c>
      <c r="BL127" s="427">
        <v>19330.271049491424</v>
      </c>
      <c r="BM127" s="427">
        <v>19297.925347383687</v>
      </c>
      <c r="BN127" s="427">
        <v>19513.226306280776</v>
      </c>
      <c r="BO127" s="427">
        <v>19514.56770589696</v>
      </c>
      <c r="BP127" s="427">
        <v>19628.551855321362</v>
      </c>
      <c r="BQ127" s="427">
        <v>19656.370448151294</v>
      </c>
      <c r="BR127" s="427">
        <v>19911.448382358667</v>
      </c>
      <c r="BS127" s="427">
        <v>19854.57600142336</v>
      </c>
      <c r="BT127" s="427">
        <v>20139.833453830524</v>
      </c>
      <c r="BU127" s="427">
        <v>20146.787427912044</v>
      </c>
      <c r="BV127" s="427">
        <v>20398.12057305262</v>
      </c>
      <c r="BW127" s="427">
        <v>20635.070604589255</v>
      </c>
      <c r="BX127" s="427">
        <v>20526.429714971</v>
      </c>
      <c r="BY127" s="427">
        <v>20793.933260346261</v>
      </c>
      <c r="BZ127" s="427">
        <v>20877.900000000001</v>
      </c>
      <c r="CA127" s="427">
        <v>21023.808850275538</v>
      </c>
      <c r="CB127" s="427">
        <v>21076.539777110454</v>
      </c>
      <c r="CC127" s="427">
        <v>20965.060474669979</v>
      </c>
      <c r="CD127" s="427">
        <v>21460.59754397806</v>
      </c>
      <c r="CE127" s="427">
        <v>20959.809601039939</v>
      </c>
      <c r="CF127" s="427">
        <v>21211.885401975993</v>
      </c>
      <c r="CG127" s="427">
        <v>21700.471021414629</v>
      </c>
      <c r="CH127" s="427">
        <v>22201.886394609784</v>
      </c>
      <c r="CI127" s="427">
        <v>22269.388728977763</v>
      </c>
      <c r="CJ127" s="427">
        <v>22515.227323714975</v>
      </c>
      <c r="CK127" s="427">
        <v>23044.113819403501</v>
      </c>
      <c r="CL127" s="427">
        <v>23112.787964617382</v>
      </c>
      <c r="CM127" s="427">
        <v>23387.988670274819</v>
      </c>
      <c r="CN127" s="427">
        <v>23605.689522440694</v>
      </c>
      <c r="CO127" s="427">
        <v>23729.654381368855</v>
      </c>
      <c r="CP127" s="467">
        <v>24123.110387106459</v>
      </c>
      <c r="CQ127" s="427">
        <v>24386.924135629735</v>
      </c>
      <c r="CR127" s="427">
        <v>25796.00350412543</v>
      </c>
      <c r="CS127" s="427">
        <v>26721.211402952809</v>
      </c>
      <c r="CT127" s="427">
        <v>27297.862562228893</v>
      </c>
      <c r="CU127" s="427">
        <v>27206.606858269104</v>
      </c>
      <c r="CV127" s="427">
        <v>27405.553873781431</v>
      </c>
      <c r="CW127" s="427">
        <v>27678.932395670807</v>
      </c>
      <c r="CX127" s="427">
        <v>27686.432898514304</v>
      </c>
      <c r="CY127" s="427">
        <v>29381.437846120716</v>
      </c>
      <c r="CZ127" s="427">
        <v>29034.81155981425</v>
      </c>
      <c r="DA127" s="427">
        <v>28969.602672547266</v>
      </c>
      <c r="DB127" s="427">
        <v>29400.162794170024</v>
      </c>
      <c r="DC127" s="427">
        <v>29383.430697671844</v>
      </c>
      <c r="DD127" s="427">
        <v>29532.024694106527</v>
      </c>
      <c r="DE127" s="427">
        <v>29781.64141184013</v>
      </c>
      <c r="DF127" s="427">
        <v>30015.070404671205</v>
      </c>
      <c r="DH127" s="430"/>
    </row>
    <row r="128" spans="1:112" ht="7.7" customHeight="1">
      <c r="A128" s="419"/>
      <c r="B128" s="420"/>
      <c r="C128" s="422"/>
      <c r="D128" s="422"/>
      <c r="E128" s="423"/>
      <c r="F128" s="422"/>
      <c r="G128" s="422"/>
      <c r="H128" s="422"/>
      <c r="I128" s="422"/>
      <c r="J128" s="422"/>
      <c r="K128" s="423"/>
      <c r="L128" s="422"/>
      <c r="M128" s="422"/>
      <c r="N128" s="422"/>
      <c r="O128" s="423"/>
      <c r="P128" s="422"/>
      <c r="Q128" s="422"/>
      <c r="R128" s="423"/>
      <c r="S128" s="422"/>
      <c r="T128" s="422"/>
      <c r="U128" s="425"/>
      <c r="V128" s="425"/>
      <c r="W128" s="425"/>
      <c r="X128" s="425"/>
      <c r="Y128" s="425"/>
      <c r="Z128" s="425"/>
      <c r="AA128" s="425"/>
      <c r="AB128" s="425"/>
      <c r="AC128" s="425"/>
      <c r="AD128" s="425"/>
      <c r="AE128" s="425"/>
      <c r="AF128" s="425"/>
      <c r="AG128" s="425"/>
      <c r="AH128" s="425"/>
      <c r="AI128" s="425"/>
      <c r="AJ128" s="425"/>
      <c r="AK128" s="425"/>
      <c r="AL128" s="425"/>
      <c r="AM128" s="426"/>
      <c r="AN128" s="426"/>
      <c r="AO128" s="426"/>
      <c r="AP128" s="426"/>
      <c r="AQ128" s="426"/>
      <c r="AR128" s="420"/>
      <c r="AS128" s="420"/>
      <c r="AT128" s="420"/>
      <c r="AU128" s="420"/>
      <c r="AV128" s="420"/>
      <c r="AW128" s="427"/>
      <c r="AX128" s="427"/>
      <c r="AY128" s="427"/>
      <c r="AZ128" s="427"/>
      <c r="BA128" s="427"/>
      <c r="BB128" s="427"/>
      <c r="BC128" s="427"/>
      <c r="BD128" s="427"/>
      <c r="BE128" s="427"/>
      <c r="BF128" s="427"/>
      <c r="BG128" s="427"/>
      <c r="BH128" s="427"/>
      <c r="BI128" s="427"/>
      <c r="BJ128" s="427"/>
      <c r="BK128" s="427"/>
      <c r="BL128" s="427"/>
      <c r="BM128" s="427"/>
      <c r="BN128" s="427"/>
      <c r="BO128" s="427"/>
      <c r="BP128" s="427"/>
      <c r="BQ128" s="427"/>
      <c r="BR128" s="427"/>
      <c r="BS128" s="427"/>
      <c r="BT128" s="427"/>
      <c r="BU128" s="427"/>
      <c r="BV128" s="427"/>
      <c r="BW128" s="427"/>
      <c r="BX128" s="427"/>
      <c r="BY128" s="427"/>
      <c r="BZ128" s="427"/>
      <c r="CA128" s="427"/>
      <c r="CB128" s="427"/>
      <c r="CC128" s="427"/>
      <c r="CD128" s="427"/>
      <c r="CE128" s="427"/>
      <c r="CF128" s="427"/>
      <c r="CG128" s="427"/>
      <c r="CH128" s="427"/>
      <c r="CI128" s="427"/>
      <c r="CJ128" s="427"/>
      <c r="CK128" s="427"/>
      <c r="CL128" s="427"/>
      <c r="CM128" s="427"/>
      <c r="CN128" s="427"/>
      <c r="CO128" s="427"/>
      <c r="CP128" s="467"/>
      <c r="CQ128" s="427"/>
      <c r="CR128" s="427"/>
      <c r="CS128" s="427"/>
      <c r="CT128" s="427"/>
      <c r="CU128" s="427"/>
      <c r="CV128" s="427"/>
      <c r="CW128" s="427"/>
      <c r="CX128" s="427"/>
      <c r="CY128" s="427"/>
      <c r="CZ128" s="427"/>
      <c r="DA128" s="427"/>
      <c r="DB128" s="427"/>
      <c r="DC128" s="427"/>
      <c r="DD128" s="427"/>
      <c r="DE128" s="427"/>
      <c r="DF128" s="427"/>
      <c r="DH128" s="430"/>
    </row>
    <row r="129" spans="1:112" ht="18" customHeight="1">
      <c r="A129" s="419" t="s">
        <v>396</v>
      </c>
      <c r="B129" s="420">
        <v>912.91156464100015</v>
      </c>
      <c r="C129" s="422">
        <v>858.02914912959989</v>
      </c>
      <c r="D129" s="422">
        <v>835.47886478579721</v>
      </c>
      <c r="E129" s="423">
        <v>832.01588761540006</v>
      </c>
      <c r="F129" s="422">
        <v>901.81610340600002</v>
      </c>
      <c r="G129" s="422">
        <v>888.76451449264357</v>
      </c>
      <c r="H129" s="422">
        <v>833.58597364359991</v>
      </c>
      <c r="I129" s="422">
        <v>543.64790147990016</v>
      </c>
      <c r="J129" s="422">
        <v>593.66346007869993</v>
      </c>
      <c r="K129" s="423">
        <v>619.07801239879984</v>
      </c>
      <c r="L129" s="422">
        <v>631.81408800310828</v>
      </c>
      <c r="M129" s="422">
        <v>598.36736978520503</v>
      </c>
      <c r="N129" s="422">
        <v>600.48597685376956</v>
      </c>
      <c r="O129" s="423">
        <v>597.47430760564907</v>
      </c>
      <c r="P129" s="422">
        <v>554.91005578771433</v>
      </c>
      <c r="Q129" s="422">
        <v>540.66411722859993</v>
      </c>
      <c r="R129" s="423">
        <v>577.69079041029988</v>
      </c>
      <c r="S129" s="422">
        <v>580.84468701339995</v>
      </c>
      <c r="T129" s="422">
        <v>574.40200295499994</v>
      </c>
      <c r="U129" s="425">
        <v>599.63241908378689</v>
      </c>
      <c r="V129" s="425">
        <v>688</v>
      </c>
      <c r="W129" s="425">
        <v>621.16093315720013</v>
      </c>
      <c r="X129" s="425">
        <v>649.10251401168216</v>
      </c>
      <c r="Y129" s="425">
        <v>652.28850199914746</v>
      </c>
      <c r="Z129" s="425">
        <v>628.10836872099992</v>
      </c>
      <c r="AA129" s="425">
        <v>658.92311999178821</v>
      </c>
      <c r="AB129" s="425">
        <v>746.89077627295069</v>
      </c>
      <c r="AC129" s="425">
        <v>633.2124955132</v>
      </c>
      <c r="AD129" s="425">
        <v>587.3209362005</v>
      </c>
      <c r="AE129" s="425">
        <v>600.56279515166671</v>
      </c>
      <c r="AF129" s="425">
        <v>628.15293203124997</v>
      </c>
      <c r="AG129" s="425">
        <v>687.56889687600005</v>
      </c>
      <c r="AH129" s="425">
        <v>589.03119065600004</v>
      </c>
      <c r="AI129" s="425">
        <v>659.82843347760002</v>
      </c>
      <c r="AJ129" s="425">
        <v>658.24947077360002</v>
      </c>
      <c r="AK129" s="425">
        <v>767.25957665480007</v>
      </c>
      <c r="AL129" s="425">
        <v>805.25311067819996</v>
      </c>
      <c r="AM129" s="426">
        <v>694.90716569050005</v>
      </c>
      <c r="AN129" s="426">
        <v>690.4710326846</v>
      </c>
      <c r="AO129" s="426">
        <v>696.07028465594999</v>
      </c>
      <c r="AP129" s="426">
        <v>711.73778179559997</v>
      </c>
      <c r="AQ129" s="426">
        <v>686.64684909995992</v>
      </c>
      <c r="AR129" s="420">
        <v>840.51029365880004</v>
      </c>
      <c r="AS129" s="420">
        <v>788.80625844999997</v>
      </c>
      <c r="AT129" s="420">
        <v>718.34460550879999</v>
      </c>
      <c r="AU129" s="420">
        <v>742.36900684199998</v>
      </c>
      <c r="AV129" s="420">
        <v>734.2667839500001</v>
      </c>
      <c r="AW129" s="427">
        <v>750.81807837999997</v>
      </c>
      <c r="AX129" s="427">
        <v>755.843785723</v>
      </c>
      <c r="AY129" s="427">
        <v>768.17419093629996</v>
      </c>
      <c r="AZ129" s="427">
        <v>747.607448374</v>
      </c>
      <c r="BA129" s="427">
        <v>678.55194184959998</v>
      </c>
      <c r="BB129" s="427">
        <v>648.2424623009</v>
      </c>
      <c r="BC129" s="427">
        <v>750.7384607322</v>
      </c>
      <c r="BD129" s="427">
        <v>662.97466185840005</v>
      </c>
      <c r="BE129" s="427">
        <v>643.71501702579997</v>
      </c>
      <c r="BF129" s="427">
        <v>632.15434574599988</v>
      </c>
      <c r="BG129" s="427">
        <v>654.35852916899989</v>
      </c>
      <c r="BH129" s="427">
        <v>680.45328931359995</v>
      </c>
      <c r="BI129" s="427">
        <v>666.63816514680047</v>
      </c>
      <c r="BJ129" s="427">
        <v>836.48565125389996</v>
      </c>
      <c r="BK129" s="427">
        <v>742.4565244700002</v>
      </c>
      <c r="BL129" s="427">
        <v>693.03701535719745</v>
      </c>
      <c r="BM129" s="427">
        <v>717.04803844100115</v>
      </c>
      <c r="BN129" s="427">
        <v>677.63960194266792</v>
      </c>
      <c r="BO129" s="427">
        <v>693.77349805719996</v>
      </c>
      <c r="BP129" s="427">
        <v>727.43059189790074</v>
      </c>
      <c r="BQ129" s="427">
        <v>801.70350740029994</v>
      </c>
      <c r="BR129" s="427">
        <v>700.48942487170007</v>
      </c>
      <c r="BS129" s="427">
        <v>861.05334692399992</v>
      </c>
      <c r="BT129" s="427">
        <v>670.07253059156494</v>
      </c>
      <c r="BU129" s="427">
        <v>740.99160060224608</v>
      </c>
      <c r="BV129" s="427">
        <v>746.37360501299588</v>
      </c>
      <c r="BW129" s="427">
        <v>753.56223608414018</v>
      </c>
      <c r="BX129" s="427">
        <v>763.31914179699993</v>
      </c>
      <c r="BY129" s="427">
        <v>814.0253472638999</v>
      </c>
      <c r="BZ129" s="427">
        <v>841.9</v>
      </c>
      <c r="CA129" s="427">
        <v>857.7121836857001</v>
      </c>
      <c r="CB129" s="427">
        <v>832.98429684200005</v>
      </c>
      <c r="CC129" s="427">
        <v>831.19036345785003</v>
      </c>
      <c r="CD129" s="427">
        <v>833.53082311455216</v>
      </c>
      <c r="CE129" s="427">
        <v>1004.8134084108306</v>
      </c>
      <c r="CF129" s="427">
        <v>1059.1479246732576</v>
      </c>
      <c r="CG129" s="427">
        <v>1143.1815193269565</v>
      </c>
      <c r="CH129" s="427">
        <v>1184.5878360448382</v>
      </c>
      <c r="CI129" s="427">
        <v>1182.6782492037455</v>
      </c>
      <c r="CJ129" s="427">
        <v>1175.6355657950678</v>
      </c>
      <c r="CK129" s="427">
        <v>1296.7354863664912</v>
      </c>
      <c r="CL129" s="427">
        <v>1343.3719536913623</v>
      </c>
      <c r="CM129" s="427">
        <v>1333.0661792074238</v>
      </c>
      <c r="CN129" s="427">
        <v>1385.1083399816494</v>
      </c>
      <c r="CO129" s="427">
        <v>1353.37802701598</v>
      </c>
      <c r="CP129" s="467">
        <v>1357.2162448253</v>
      </c>
      <c r="CQ129" s="427">
        <v>1349.8871222458529</v>
      </c>
      <c r="CR129" s="427">
        <v>1333.8783044637999</v>
      </c>
      <c r="CS129" s="427">
        <v>1364.6881903572043</v>
      </c>
      <c r="CT129" s="427">
        <v>1277.7141084120242</v>
      </c>
      <c r="CU129" s="427">
        <v>1301.0824504051443</v>
      </c>
      <c r="CV129" s="427">
        <v>1275.3636118489335</v>
      </c>
      <c r="CW129" s="427">
        <v>1296.5984219153559</v>
      </c>
      <c r="CX129" s="427">
        <v>1275.1137791899184</v>
      </c>
      <c r="CY129" s="427">
        <v>1305.0585763842246</v>
      </c>
      <c r="CZ129" s="427">
        <v>1288.5601832087093</v>
      </c>
      <c r="DA129" s="427">
        <v>1282.7059405505081</v>
      </c>
      <c r="DB129" s="427">
        <v>1315.9481826000181</v>
      </c>
      <c r="DC129" s="427">
        <v>1314.8901094145065</v>
      </c>
      <c r="DD129" s="427">
        <v>1299.2646442834168</v>
      </c>
      <c r="DE129" s="427">
        <v>1307.5441508215526</v>
      </c>
      <c r="DF129" s="427">
        <v>1305.2183114658285</v>
      </c>
      <c r="DH129" s="430"/>
    </row>
    <row r="130" spans="1:112" ht="7.7" customHeight="1">
      <c r="A130" s="419"/>
      <c r="B130" s="420"/>
      <c r="C130" s="422"/>
      <c r="D130" s="422"/>
      <c r="E130" s="423"/>
      <c r="F130" s="422"/>
      <c r="G130" s="422"/>
      <c r="H130" s="422"/>
      <c r="I130" s="422"/>
      <c r="J130" s="422"/>
      <c r="K130" s="423"/>
      <c r="L130" s="422"/>
      <c r="M130" s="422"/>
      <c r="N130" s="422"/>
      <c r="O130" s="423"/>
      <c r="P130" s="422"/>
      <c r="Q130" s="422"/>
      <c r="R130" s="423"/>
      <c r="S130" s="422"/>
      <c r="T130" s="422"/>
      <c r="U130" s="425"/>
      <c r="V130" s="425"/>
      <c r="W130" s="425"/>
      <c r="X130" s="425"/>
      <c r="Y130" s="425"/>
      <c r="Z130" s="425"/>
      <c r="AA130" s="425"/>
      <c r="AB130" s="425"/>
      <c r="AC130" s="425"/>
      <c r="AD130" s="425"/>
      <c r="AE130" s="425"/>
      <c r="AF130" s="425"/>
      <c r="AG130" s="425"/>
      <c r="AH130" s="425"/>
      <c r="AI130" s="425"/>
      <c r="AJ130" s="425"/>
      <c r="AK130" s="425"/>
      <c r="AL130" s="425"/>
      <c r="AM130" s="426"/>
      <c r="AN130" s="426"/>
      <c r="AO130" s="426"/>
      <c r="AP130" s="426"/>
      <c r="AQ130" s="426"/>
      <c r="AR130" s="420"/>
      <c r="AS130" s="420"/>
      <c r="AT130" s="420"/>
      <c r="AU130" s="420"/>
      <c r="AV130" s="420"/>
      <c r="AW130" s="427"/>
      <c r="AX130" s="427"/>
      <c r="AY130" s="427"/>
      <c r="AZ130" s="427"/>
      <c r="BA130" s="427"/>
      <c r="BB130" s="427"/>
      <c r="BC130" s="427"/>
      <c r="BD130" s="427"/>
      <c r="BE130" s="427"/>
      <c r="BF130" s="427"/>
      <c r="BG130" s="427"/>
      <c r="BH130" s="427"/>
      <c r="BI130" s="427"/>
      <c r="BJ130" s="427"/>
      <c r="BK130" s="427"/>
      <c r="BL130" s="427"/>
      <c r="BM130" s="427"/>
      <c r="BN130" s="427"/>
      <c r="BO130" s="427"/>
      <c r="BP130" s="427"/>
      <c r="BQ130" s="427"/>
      <c r="BR130" s="427"/>
      <c r="BS130" s="427"/>
      <c r="BT130" s="427"/>
      <c r="BU130" s="427"/>
      <c r="BV130" s="427"/>
      <c r="BW130" s="427"/>
      <c r="BX130" s="427"/>
      <c r="BY130" s="427"/>
      <c r="BZ130" s="427"/>
      <c r="CA130" s="427"/>
      <c r="CB130" s="427"/>
      <c r="CC130" s="427"/>
      <c r="CD130" s="427"/>
      <c r="CE130" s="427"/>
      <c r="CF130" s="427"/>
      <c r="CG130" s="427"/>
      <c r="CH130" s="427"/>
      <c r="CI130" s="427"/>
      <c r="CJ130" s="427"/>
      <c r="CK130" s="427"/>
      <c r="CL130" s="427"/>
      <c r="CM130" s="427"/>
      <c r="CN130" s="427"/>
      <c r="CO130" s="427"/>
      <c r="CP130" s="467"/>
      <c r="CQ130" s="427"/>
      <c r="CR130" s="427"/>
      <c r="CS130" s="427"/>
      <c r="CT130" s="427"/>
      <c r="CU130" s="427"/>
      <c r="CV130" s="427"/>
      <c r="CW130" s="427"/>
      <c r="CX130" s="427"/>
      <c r="CY130" s="427"/>
      <c r="CZ130" s="427"/>
      <c r="DA130" s="427"/>
      <c r="DB130" s="427"/>
      <c r="DC130" s="427"/>
      <c r="DD130" s="427"/>
      <c r="DE130" s="427"/>
      <c r="DF130" s="427"/>
      <c r="DH130" s="430"/>
    </row>
    <row r="131" spans="1:112" ht="18" customHeight="1">
      <c r="A131" s="419" t="s">
        <v>366</v>
      </c>
      <c r="B131" s="420">
        <v>304.36347623</v>
      </c>
      <c r="C131" s="422">
        <v>314.96145514</v>
      </c>
      <c r="D131" s="422">
        <v>326.13509745000005</v>
      </c>
      <c r="E131" s="423">
        <v>337.68083187000002</v>
      </c>
      <c r="F131" s="422">
        <v>346.92900789999999</v>
      </c>
      <c r="G131" s="422">
        <v>362.92917839</v>
      </c>
      <c r="H131" s="422">
        <v>382.30194532000002</v>
      </c>
      <c r="I131" s="422">
        <v>382.97806269</v>
      </c>
      <c r="J131" s="422">
        <v>386.06934164999996</v>
      </c>
      <c r="K131" s="423">
        <v>383.56153938</v>
      </c>
      <c r="L131" s="422">
        <v>385.85855573000003</v>
      </c>
      <c r="M131" s="422">
        <v>382.08209017000001</v>
      </c>
      <c r="N131" s="422">
        <v>393.24178702</v>
      </c>
      <c r="O131" s="423">
        <v>416.36670764999997</v>
      </c>
      <c r="P131" s="422">
        <v>423.25744320000001</v>
      </c>
      <c r="Q131" s="422">
        <v>435.40900687999999</v>
      </c>
      <c r="R131" s="423">
        <v>454.49319216999993</v>
      </c>
      <c r="S131" s="422">
        <v>465.69068589999995</v>
      </c>
      <c r="T131" s="422">
        <v>475.6515790499999</v>
      </c>
      <c r="U131" s="425">
        <v>464.14658149000002</v>
      </c>
      <c r="V131" s="425">
        <v>459.63675174000002</v>
      </c>
      <c r="W131" s="425">
        <v>456.83237245000004</v>
      </c>
      <c r="X131" s="425">
        <v>456.8735628</v>
      </c>
      <c r="Y131" s="425">
        <v>454.63978777</v>
      </c>
      <c r="Z131" s="425">
        <v>466.42195318999995</v>
      </c>
      <c r="AA131" s="425">
        <v>470.07178521999998</v>
      </c>
      <c r="AB131" s="425">
        <v>472.19411570000005</v>
      </c>
      <c r="AC131" s="425">
        <v>471.89908602999998</v>
      </c>
      <c r="AD131" s="425">
        <v>474.48604018999998</v>
      </c>
      <c r="AE131" s="425">
        <v>477.47318732999997</v>
      </c>
      <c r="AF131" s="425">
        <v>486.20314439999999</v>
      </c>
      <c r="AG131" s="425">
        <v>478.58200696</v>
      </c>
      <c r="AH131" s="425">
        <v>487</v>
      </c>
      <c r="AI131" s="425">
        <v>499.83343634999994</v>
      </c>
      <c r="AJ131" s="425">
        <v>497.09910931999997</v>
      </c>
      <c r="AK131" s="425">
        <v>498.64532009999999</v>
      </c>
      <c r="AL131" s="425">
        <v>499.29630337999998</v>
      </c>
      <c r="AM131" s="426">
        <v>502.75928594000004</v>
      </c>
      <c r="AN131" s="426">
        <v>494.52795729000002</v>
      </c>
      <c r="AO131" s="426">
        <v>504.22063879000007</v>
      </c>
      <c r="AP131" s="426">
        <v>512.98139380769999</v>
      </c>
      <c r="AQ131" s="426">
        <v>529.11186431840008</v>
      </c>
      <c r="AR131" s="420">
        <v>536.97237490400005</v>
      </c>
      <c r="AS131" s="420">
        <v>527.89159414999995</v>
      </c>
      <c r="AT131" s="420">
        <v>526.44875625960003</v>
      </c>
      <c r="AU131" s="420">
        <v>536.28765548720003</v>
      </c>
      <c r="AV131" s="420">
        <v>546.6275412839999</v>
      </c>
      <c r="AW131" s="427">
        <v>548.04175296519998</v>
      </c>
      <c r="AX131" s="427">
        <v>590.97455289879997</v>
      </c>
      <c r="AY131" s="427">
        <v>599.42666034580009</v>
      </c>
      <c r="AZ131" s="427">
        <v>609.37487650550008</v>
      </c>
      <c r="BA131" s="427">
        <v>624.97790164560001</v>
      </c>
      <c r="BB131" s="427">
        <v>662.04897005160012</v>
      </c>
      <c r="BC131" s="427">
        <v>666.80158721919997</v>
      </c>
      <c r="BD131" s="427">
        <v>704.22667159939988</v>
      </c>
      <c r="BE131" s="427">
        <v>1019.0821344881998</v>
      </c>
      <c r="BF131" s="427">
        <v>1028.5938823699998</v>
      </c>
      <c r="BG131" s="427">
        <v>1076.4897914419998</v>
      </c>
      <c r="BH131" s="427">
        <v>1110.64080355647</v>
      </c>
      <c r="BI131" s="427">
        <v>1103.5038416586001</v>
      </c>
      <c r="BJ131" s="427">
        <v>1154.4182329623</v>
      </c>
      <c r="BK131" s="427">
        <v>864.34829495809993</v>
      </c>
      <c r="BL131" s="427">
        <v>1033.0580009147002</v>
      </c>
      <c r="BM131" s="427">
        <v>1040.4267757096</v>
      </c>
      <c r="BN131" s="427">
        <v>1059.3984358232001</v>
      </c>
      <c r="BO131" s="427">
        <v>1062.3156250695999</v>
      </c>
      <c r="BP131" s="427">
        <v>1107.3469645217997</v>
      </c>
      <c r="BQ131" s="427">
        <v>1104.0479586801</v>
      </c>
      <c r="BR131" s="427">
        <v>1112.0439739963999</v>
      </c>
      <c r="BS131" s="427">
        <v>1084.6852148664</v>
      </c>
      <c r="BT131" s="427">
        <v>1080.1513221408702</v>
      </c>
      <c r="BU131" s="427">
        <v>1071.7691171030162</v>
      </c>
      <c r="BV131" s="427">
        <v>1083.7863959399219</v>
      </c>
      <c r="BW131" s="427">
        <v>1088.6046281558151</v>
      </c>
      <c r="BX131" s="427">
        <v>1079.423092406</v>
      </c>
      <c r="BY131" s="427">
        <v>1099.4585695211001</v>
      </c>
      <c r="BZ131" s="427">
        <v>1087.3</v>
      </c>
      <c r="CA131" s="427">
        <v>1115.2883358414997</v>
      </c>
      <c r="CB131" s="427">
        <v>1144.9953883807998</v>
      </c>
      <c r="CC131" s="427">
        <v>1187.8044081367798</v>
      </c>
      <c r="CD131" s="427">
        <v>1274.7880631758478</v>
      </c>
      <c r="CE131" s="440">
        <v>1188.5999999999999</v>
      </c>
      <c r="CF131" s="440">
        <v>1229.7512019121282</v>
      </c>
      <c r="CG131" s="440">
        <v>1225.6581429908902</v>
      </c>
      <c r="CH131" s="440">
        <v>1239.369685146017</v>
      </c>
      <c r="CI131" s="440">
        <v>1232.8816483718724</v>
      </c>
      <c r="CJ131" s="440">
        <v>1232.5152536053861</v>
      </c>
      <c r="CK131" s="440">
        <v>1239.116302612877</v>
      </c>
      <c r="CL131" s="440">
        <v>1258.3494018586159</v>
      </c>
      <c r="CM131" s="440">
        <v>1256.9757655295275</v>
      </c>
      <c r="CN131" s="440">
        <v>1309.2419396538839</v>
      </c>
      <c r="CO131" s="440">
        <v>1299.9861182861703</v>
      </c>
      <c r="CP131" s="469">
        <v>1311.6203361937501</v>
      </c>
      <c r="CQ131" s="427">
        <v>1301.1982632057752</v>
      </c>
      <c r="CR131" s="427">
        <v>1302.7291931038797</v>
      </c>
      <c r="CS131" s="427">
        <v>1295.7808582814487</v>
      </c>
      <c r="CT131" s="427">
        <v>1298.4891242139674</v>
      </c>
      <c r="CU131" s="427">
        <v>1303.800770604907</v>
      </c>
      <c r="CV131" s="427">
        <v>1285.2193067627848</v>
      </c>
      <c r="CW131" s="427">
        <v>1294.4576212947709</v>
      </c>
      <c r="CX131" s="427">
        <v>1302.1307770589631</v>
      </c>
      <c r="CY131" s="427">
        <v>1316.6552250368675</v>
      </c>
      <c r="CZ131" s="427">
        <v>1348.2347901376411</v>
      </c>
      <c r="DA131" s="427">
        <v>1333.784351780406</v>
      </c>
      <c r="DB131" s="427">
        <v>1342.9654907019644</v>
      </c>
      <c r="DC131" s="427">
        <v>1365.1395913368067</v>
      </c>
      <c r="DD131" s="427">
        <v>1408.6511784548093</v>
      </c>
      <c r="DE131" s="427">
        <v>1398.4500986701059</v>
      </c>
      <c r="DF131" s="427">
        <v>1409.6167713826762</v>
      </c>
      <c r="DH131" s="430"/>
    </row>
    <row r="132" spans="1:112" ht="7.7" customHeight="1">
      <c r="A132" s="419"/>
      <c r="B132" s="420"/>
      <c r="C132" s="422"/>
      <c r="D132" s="422"/>
      <c r="E132" s="423"/>
      <c r="F132" s="422"/>
      <c r="G132" s="422"/>
      <c r="H132" s="422"/>
      <c r="I132" s="422"/>
      <c r="J132" s="422"/>
      <c r="K132" s="423"/>
      <c r="L132" s="422"/>
      <c r="M132" s="422"/>
      <c r="N132" s="422"/>
      <c r="O132" s="423"/>
      <c r="P132" s="422"/>
      <c r="Q132" s="422"/>
      <c r="R132" s="423"/>
      <c r="S132" s="422"/>
      <c r="T132" s="422"/>
      <c r="U132" s="425"/>
      <c r="V132" s="425"/>
      <c r="W132" s="425"/>
      <c r="X132" s="425"/>
      <c r="Y132" s="425"/>
      <c r="Z132" s="425"/>
      <c r="AA132" s="425"/>
      <c r="AB132" s="425"/>
      <c r="AC132" s="425"/>
      <c r="AD132" s="425"/>
      <c r="AE132" s="425"/>
      <c r="AF132" s="425"/>
      <c r="AG132" s="425"/>
      <c r="AH132" s="425"/>
      <c r="AI132" s="425"/>
      <c r="AJ132" s="425"/>
      <c r="AK132" s="425"/>
      <c r="AL132" s="425"/>
      <c r="AM132" s="426"/>
      <c r="AN132" s="426"/>
      <c r="AO132" s="426"/>
      <c r="AP132" s="426"/>
      <c r="AQ132" s="426"/>
      <c r="AR132" s="420"/>
      <c r="AS132" s="420"/>
      <c r="AT132" s="420"/>
      <c r="AU132" s="420"/>
      <c r="AV132" s="420"/>
      <c r="AW132" s="427"/>
      <c r="AX132" s="427"/>
      <c r="AY132" s="427"/>
      <c r="AZ132" s="427"/>
      <c r="BA132" s="427"/>
      <c r="BB132" s="427"/>
      <c r="BC132" s="427"/>
      <c r="BD132" s="427"/>
      <c r="BE132" s="427"/>
      <c r="BF132" s="427"/>
      <c r="BG132" s="427"/>
      <c r="BH132" s="427"/>
      <c r="BI132" s="427"/>
      <c r="BJ132" s="427"/>
      <c r="BK132" s="427"/>
      <c r="BL132" s="427"/>
      <c r="BM132" s="427"/>
      <c r="BN132" s="427"/>
      <c r="BO132" s="427"/>
      <c r="BP132" s="427"/>
      <c r="BQ132" s="427"/>
      <c r="BR132" s="427"/>
      <c r="BS132" s="427"/>
      <c r="BT132" s="427"/>
      <c r="BU132" s="427"/>
      <c r="BV132" s="427"/>
      <c r="BW132" s="427"/>
      <c r="BX132" s="427"/>
      <c r="BY132" s="427"/>
      <c r="BZ132" s="427"/>
      <c r="CA132" s="427"/>
      <c r="CB132" s="427"/>
      <c r="CC132" s="427"/>
      <c r="CD132" s="427"/>
      <c r="CE132" s="427"/>
      <c r="CF132" s="427"/>
      <c r="CG132" s="427"/>
      <c r="CH132" s="427"/>
      <c r="CI132" s="427"/>
      <c r="CJ132" s="427"/>
      <c r="CK132" s="427"/>
      <c r="CL132" s="427"/>
      <c r="CM132" s="427"/>
      <c r="CN132" s="427"/>
      <c r="CO132" s="427"/>
      <c r="CP132" s="467"/>
      <c r="CQ132" s="427"/>
      <c r="CR132" s="427"/>
      <c r="CS132" s="427"/>
      <c r="CT132" s="427"/>
      <c r="CU132" s="427"/>
      <c r="CV132" s="427"/>
      <c r="CW132" s="427"/>
      <c r="CX132" s="427"/>
      <c r="CY132" s="427"/>
      <c r="CZ132" s="427"/>
      <c r="DA132" s="427"/>
      <c r="DB132" s="427"/>
      <c r="DC132" s="427"/>
      <c r="DD132" s="427"/>
      <c r="DE132" s="427"/>
      <c r="DF132" s="427"/>
      <c r="DH132" s="430"/>
    </row>
    <row r="133" spans="1:112" ht="18" customHeight="1">
      <c r="A133" s="419" t="s">
        <v>367</v>
      </c>
      <c r="B133" s="420">
        <v>0</v>
      </c>
      <c r="C133" s="422">
        <v>0</v>
      </c>
      <c r="D133" s="422">
        <v>0</v>
      </c>
      <c r="E133" s="423">
        <v>0</v>
      </c>
      <c r="F133" s="422">
        <v>0</v>
      </c>
      <c r="G133" s="422">
        <v>0</v>
      </c>
      <c r="H133" s="422">
        <v>0</v>
      </c>
      <c r="I133" s="422">
        <v>0</v>
      </c>
      <c r="J133" s="422">
        <v>0</v>
      </c>
      <c r="K133" s="423">
        <v>0</v>
      </c>
      <c r="L133" s="422">
        <v>0</v>
      </c>
      <c r="M133" s="422">
        <v>0</v>
      </c>
      <c r="N133" s="422">
        <v>0</v>
      </c>
      <c r="O133" s="423">
        <v>0</v>
      </c>
      <c r="P133" s="422">
        <v>0</v>
      </c>
      <c r="Q133" s="422">
        <v>0</v>
      </c>
      <c r="R133" s="423">
        <v>0.10087672</v>
      </c>
      <c r="S133" s="422">
        <v>9.3033859999999996E-2</v>
      </c>
      <c r="T133" s="422">
        <v>8.5084060000000003E-2</v>
      </c>
      <c r="U133" s="425">
        <v>8.6348800000000003E-2</v>
      </c>
      <c r="V133" s="425">
        <v>8.7475210000000012E-2</v>
      </c>
      <c r="W133" s="425">
        <v>8.1019270000000004E-2</v>
      </c>
      <c r="X133" s="425">
        <v>8.0608159999999998E-2</v>
      </c>
      <c r="Y133" s="425">
        <v>7.5373609999999994E-2</v>
      </c>
      <c r="Z133" s="425">
        <v>6.4261949999999998E-2</v>
      </c>
      <c r="AA133" s="425">
        <v>6.4527399999999999E-2</v>
      </c>
      <c r="AB133" s="425">
        <v>5.9065160000000005E-2</v>
      </c>
      <c r="AC133" s="425">
        <v>4.712595E-2</v>
      </c>
      <c r="AD133" s="425">
        <v>5.4468410000000002E-2</v>
      </c>
      <c r="AE133" s="425">
        <v>5.5329330000000003E-2</v>
      </c>
      <c r="AF133" s="425">
        <v>5.6124629999999995E-2</v>
      </c>
      <c r="AG133" s="425">
        <v>5.690539E-2</v>
      </c>
      <c r="AH133" s="425">
        <v>5.690539E-2</v>
      </c>
      <c r="AI133" s="425">
        <v>5.850934E-2</v>
      </c>
      <c r="AJ133" s="425">
        <v>2.697577E-2</v>
      </c>
      <c r="AK133" s="425">
        <v>2.7261859999999999E-2</v>
      </c>
      <c r="AL133" s="425">
        <v>2.1912669999999999E-2</v>
      </c>
      <c r="AM133" s="426">
        <v>2.2206689999999998E-2</v>
      </c>
      <c r="AN133" s="426">
        <v>0.50482453999999999</v>
      </c>
      <c r="AO133" s="426">
        <v>0.49515736999999999</v>
      </c>
      <c r="AP133" s="426">
        <v>0.48937787999999999</v>
      </c>
      <c r="AQ133" s="426">
        <v>0.47841082000000001</v>
      </c>
      <c r="AR133" s="420">
        <v>1.2447743500000001</v>
      </c>
      <c r="AS133" s="420">
        <v>1.26986339</v>
      </c>
      <c r="AT133" s="420">
        <v>1.407357</v>
      </c>
      <c r="AU133" s="420">
        <v>1.35975286</v>
      </c>
      <c r="AV133" s="420">
        <v>1.41136353</v>
      </c>
      <c r="AW133" s="427">
        <v>1.4193197500000001</v>
      </c>
      <c r="AX133" s="427">
        <v>1.4985454299999998</v>
      </c>
      <c r="AY133" s="427">
        <v>1.52212258</v>
      </c>
      <c r="AZ133" s="427">
        <v>1.5623691499999999</v>
      </c>
      <c r="BA133" s="427">
        <v>1.4861826699999998</v>
      </c>
      <c r="BB133" s="427">
        <v>1.4688475999999999</v>
      </c>
      <c r="BC133" s="427">
        <v>1.6668795900000002</v>
      </c>
      <c r="BD133" s="427">
        <v>4.2797597500000002</v>
      </c>
      <c r="BE133" s="427">
        <v>4.2309027700000001</v>
      </c>
      <c r="BF133" s="427">
        <v>4.1587023299999997</v>
      </c>
      <c r="BG133" s="427">
        <v>4.0860712999999995</v>
      </c>
      <c r="BH133" s="427">
        <v>4.4041465400000002</v>
      </c>
      <c r="BI133" s="427">
        <v>4.3032301200000003</v>
      </c>
      <c r="BJ133" s="427">
        <v>4.2721442500000002</v>
      </c>
      <c r="BK133" s="427">
        <v>4.2994641999999992</v>
      </c>
      <c r="BL133" s="427">
        <v>4.2201177100000002</v>
      </c>
      <c r="BM133" s="427">
        <v>4.1759818200000005</v>
      </c>
      <c r="BN133" s="427">
        <v>5.66691813</v>
      </c>
      <c r="BO133" s="427">
        <v>5.6341868699999997</v>
      </c>
      <c r="BP133" s="427">
        <v>4.1425310899999994</v>
      </c>
      <c r="BQ133" s="427">
        <v>4.0465567599999996</v>
      </c>
      <c r="BR133" s="427">
        <v>3.9127315700000005</v>
      </c>
      <c r="BS133" s="427">
        <v>3.9312320900000004</v>
      </c>
      <c r="BT133" s="427">
        <v>3.86538921</v>
      </c>
      <c r="BU133" s="427">
        <v>3.76318895</v>
      </c>
      <c r="BV133" s="427">
        <v>3.7179904000000006</v>
      </c>
      <c r="BW133" s="427">
        <v>3.7351206800000005</v>
      </c>
      <c r="BX133" s="427">
        <v>6.23620485</v>
      </c>
      <c r="BY133" s="427">
        <v>4.7085188799999997</v>
      </c>
      <c r="BZ133" s="427">
        <v>3.4</v>
      </c>
      <c r="CA133" s="427">
        <v>3.4210703699999998</v>
      </c>
      <c r="CB133" s="427">
        <v>2.4444298500000001</v>
      </c>
      <c r="CC133" s="427">
        <v>0.90229826000000002</v>
      </c>
      <c r="CD133" s="427">
        <v>3.3509531199999998</v>
      </c>
      <c r="CE133" s="427">
        <v>3.3274249600000001</v>
      </c>
      <c r="CF133" s="427">
        <v>1.7847882999999998</v>
      </c>
      <c r="CG133" s="427">
        <v>1.7609860799999997</v>
      </c>
      <c r="CH133" s="427">
        <v>1.75812875</v>
      </c>
      <c r="CI133" s="427">
        <v>1.74559453</v>
      </c>
      <c r="CJ133" s="427">
        <v>1.7236261900000001</v>
      </c>
      <c r="CK133" s="427">
        <v>1.72698434</v>
      </c>
      <c r="CL133" s="427">
        <v>1.70347311</v>
      </c>
      <c r="CM133" s="427">
        <v>1.6894532600000001</v>
      </c>
      <c r="CN133" s="427">
        <v>1.6849875400000001</v>
      </c>
      <c r="CO133" s="427">
        <v>1.6601772299999999</v>
      </c>
      <c r="CP133" s="467">
        <v>1.6535258799999999</v>
      </c>
      <c r="CQ133" s="427">
        <v>1.61877743</v>
      </c>
      <c r="CR133" s="427">
        <v>1.6041352099999999</v>
      </c>
      <c r="CS133" s="427">
        <v>1.5931632900000001</v>
      </c>
      <c r="CT133" s="427">
        <v>1.11301249</v>
      </c>
      <c r="CU133" s="427">
        <v>2.6472495400000002</v>
      </c>
      <c r="CV133" s="427">
        <v>2.6417987699999999</v>
      </c>
      <c r="CW133" s="427">
        <v>2.6359863300000002</v>
      </c>
      <c r="CX133" s="427">
        <v>2.6302913000000001</v>
      </c>
      <c r="CY133" s="427">
        <v>2.62455354</v>
      </c>
      <c r="CZ133" s="427">
        <v>2.61421423</v>
      </c>
      <c r="DA133" s="427">
        <v>2.60846673</v>
      </c>
      <c r="DB133" s="427">
        <v>2.4627651699999999</v>
      </c>
      <c r="DC133" s="427">
        <v>2.4622479500000001</v>
      </c>
      <c r="DD133" s="427">
        <v>2.4618804300000003</v>
      </c>
      <c r="DE133" s="427">
        <v>2.4617918400000005</v>
      </c>
      <c r="DF133" s="427">
        <v>2.4615379500000003</v>
      </c>
      <c r="DH133" s="430"/>
    </row>
    <row r="134" spans="1:112" ht="7.7" customHeight="1">
      <c r="A134" s="419"/>
      <c r="B134" s="420"/>
      <c r="C134" s="422"/>
      <c r="D134" s="422"/>
      <c r="E134" s="423"/>
      <c r="F134" s="422"/>
      <c r="G134" s="422"/>
      <c r="H134" s="422"/>
      <c r="I134" s="422"/>
      <c r="J134" s="422"/>
      <c r="K134" s="423"/>
      <c r="L134" s="422"/>
      <c r="M134" s="422"/>
      <c r="N134" s="422"/>
      <c r="O134" s="423"/>
      <c r="P134" s="422"/>
      <c r="Q134" s="422"/>
      <c r="R134" s="423"/>
      <c r="S134" s="422"/>
      <c r="T134" s="422"/>
      <c r="U134" s="425"/>
      <c r="V134" s="425"/>
      <c r="W134" s="425"/>
      <c r="X134" s="425"/>
      <c r="Y134" s="425"/>
      <c r="Z134" s="425"/>
      <c r="AA134" s="425"/>
      <c r="AB134" s="425"/>
      <c r="AC134" s="425"/>
      <c r="AD134" s="425"/>
      <c r="AE134" s="425"/>
      <c r="AF134" s="425"/>
      <c r="AG134" s="425"/>
      <c r="AH134" s="425"/>
      <c r="AI134" s="425"/>
      <c r="AJ134" s="425"/>
      <c r="AK134" s="425"/>
      <c r="AL134" s="425"/>
      <c r="AM134" s="426"/>
      <c r="AN134" s="426"/>
      <c r="AO134" s="426"/>
      <c r="AP134" s="426"/>
      <c r="AQ134" s="426"/>
      <c r="AR134" s="420"/>
      <c r="AS134" s="420"/>
      <c r="AT134" s="420"/>
      <c r="AU134" s="420"/>
      <c r="AV134" s="420"/>
      <c r="AW134" s="427"/>
      <c r="AX134" s="427"/>
      <c r="AY134" s="427"/>
      <c r="AZ134" s="427"/>
      <c r="BA134" s="427"/>
      <c r="BB134" s="427"/>
      <c r="BC134" s="427"/>
      <c r="BD134" s="427"/>
      <c r="BE134" s="427"/>
      <c r="BF134" s="427"/>
      <c r="BG134" s="427"/>
      <c r="BH134" s="427"/>
      <c r="BI134" s="427"/>
      <c r="BJ134" s="427"/>
      <c r="BK134" s="427"/>
      <c r="BL134" s="427"/>
      <c r="BM134" s="427"/>
      <c r="BN134" s="427"/>
      <c r="BO134" s="427"/>
      <c r="BP134" s="427"/>
      <c r="BQ134" s="427"/>
      <c r="BR134" s="427"/>
      <c r="BS134" s="427"/>
      <c r="BT134" s="427"/>
      <c r="BU134" s="427"/>
      <c r="BV134" s="427"/>
      <c r="BW134" s="427"/>
      <c r="BX134" s="427"/>
      <c r="BY134" s="427"/>
      <c r="BZ134" s="427"/>
      <c r="CA134" s="427"/>
      <c r="CB134" s="427"/>
      <c r="CC134" s="427"/>
      <c r="CD134" s="427"/>
      <c r="CE134" s="427"/>
      <c r="CF134" s="427"/>
      <c r="CG134" s="427"/>
      <c r="CH134" s="427"/>
      <c r="CI134" s="427"/>
      <c r="CJ134" s="427"/>
      <c r="CK134" s="427"/>
      <c r="CL134" s="427"/>
      <c r="CM134" s="427"/>
      <c r="CN134" s="427"/>
      <c r="CO134" s="427"/>
      <c r="CP134" s="467"/>
      <c r="CQ134" s="427"/>
      <c r="CR134" s="427"/>
      <c r="CS134" s="427"/>
      <c r="CT134" s="427"/>
      <c r="CU134" s="427"/>
      <c r="CV134" s="427"/>
      <c r="CW134" s="427"/>
      <c r="CX134" s="427"/>
      <c r="CY134" s="427"/>
      <c r="CZ134" s="427"/>
      <c r="DA134" s="427"/>
      <c r="DB134" s="427"/>
      <c r="DC134" s="427"/>
      <c r="DD134" s="427"/>
      <c r="DE134" s="427"/>
      <c r="DF134" s="427"/>
      <c r="DH134" s="430"/>
    </row>
    <row r="135" spans="1:112" ht="18" customHeight="1">
      <c r="A135" s="419" t="s">
        <v>368</v>
      </c>
      <c r="B135" s="420">
        <v>287.22859534000003</v>
      </c>
      <c r="C135" s="422">
        <v>268.57461703999996</v>
      </c>
      <c r="D135" s="422">
        <v>271.80349010999998</v>
      </c>
      <c r="E135" s="423">
        <v>278.44013769999998</v>
      </c>
      <c r="F135" s="422">
        <v>286.90412488999999</v>
      </c>
      <c r="G135" s="422">
        <v>288.87144493</v>
      </c>
      <c r="H135" s="422">
        <v>304.88393629999996</v>
      </c>
      <c r="I135" s="422">
        <v>302.04580614999998</v>
      </c>
      <c r="J135" s="422">
        <v>287.17521111000002</v>
      </c>
      <c r="K135" s="423">
        <v>266.01630877999997</v>
      </c>
      <c r="L135" s="422">
        <v>260.37415947</v>
      </c>
      <c r="M135" s="422">
        <v>254.00115382999999</v>
      </c>
      <c r="N135" s="422">
        <v>255.75935575999998</v>
      </c>
      <c r="O135" s="423">
        <v>265.67784211999998</v>
      </c>
      <c r="P135" s="422">
        <v>253.07559228</v>
      </c>
      <c r="Q135" s="422">
        <v>275.52187121999998</v>
      </c>
      <c r="R135" s="423">
        <v>264.80898824000002</v>
      </c>
      <c r="S135" s="422">
        <v>259.68262701999998</v>
      </c>
      <c r="T135" s="422">
        <v>260.29933140999998</v>
      </c>
      <c r="U135" s="425">
        <v>255.57459994000004</v>
      </c>
      <c r="V135" s="425">
        <v>257.82740379999996</v>
      </c>
      <c r="W135" s="425">
        <v>266.17066385000004</v>
      </c>
      <c r="X135" s="425">
        <v>263.3591194</v>
      </c>
      <c r="Y135" s="425">
        <v>261.91781927</v>
      </c>
      <c r="Z135" s="425">
        <v>376.70388485000001</v>
      </c>
      <c r="AA135" s="425">
        <v>373.41571051</v>
      </c>
      <c r="AB135" s="425">
        <v>373.60009302999998</v>
      </c>
      <c r="AC135" s="425">
        <v>310.98088115999997</v>
      </c>
      <c r="AD135" s="425">
        <v>290.2583755</v>
      </c>
      <c r="AE135" s="425">
        <v>304.09377171</v>
      </c>
      <c r="AF135" s="425">
        <v>328.52009240999996</v>
      </c>
      <c r="AG135" s="425">
        <v>308.09669937000001</v>
      </c>
      <c r="AH135" s="425">
        <v>368.9</v>
      </c>
      <c r="AI135" s="425">
        <v>523.92891439999994</v>
      </c>
      <c r="AJ135" s="425">
        <v>960.62879655559993</v>
      </c>
      <c r="AK135" s="425">
        <v>992.86634496319994</v>
      </c>
      <c r="AL135" s="425">
        <v>1013.8833783937943</v>
      </c>
      <c r="AM135" s="426">
        <v>565.47108052999999</v>
      </c>
      <c r="AN135" s="426">
        <v>543.84651354999994</v>
      </c>
      <c r="AO135" s="426">
        <v>539.95432477999998</v>
      </c>
      <c r="AP135" s="426">
        <v>536.61775257159991</v>
      </c>
      <c r="AQ135" s="426">
        <v>524.84483341319992</v>
      </c>
      <c r="AR135" s="420">
        <v>540.47310786119999</v>
      </c>
      <c r="AS135" s="420">
        <v>558.36207001999981</v>
      </c>
      <c r="AT135" s="420">
        <v>540.76934286680012</v>
      </c>
      <c r="AU135" s="420">
        <v>588.80363264519985</v>
      </c>
      <c r="AV135" s="420">
        <v>582.07076023253592</v>
      </c>
      <c r="AW135" s="427">
        <v>552.3987414515359</v>
      </c>
      <c r="AX135" s="427">
        <v>534.69526793</v>
      </c>
      <c r="AY135" s="427">
        <v>664.00430821229997</v>
      </c>
      <c r="AZ135" s="427">
        <v>680.07968300240009</v>
      </c>
      <c r="BA135" s="427">
        <v>692.8799637692</v>
      </c>
      <c r="BB135" s="427">
        <v>686.9660406859</v>
      </c>
      <c r="BC135" s="427">
        <v>678.24094486519994</v>
      </c>
      <c r="BD135" s="427">
        <v>720.8361377494</v>
      </c>
      <c r="BE135" s="427">
        <v>717.95302152829993</v>
      </c>
      <c r="BF135" s="427">
        <v>751.933831295</v>
      </c>
      <c r="BG135" s="427">
        <v>853.79386115799991</v>
      </c>
      <c r="BH135" s="427">
        <v>801.10988066959987</v>
      </c>
      <c r="BI135" s="427">
        <v>721.80350617299996</v>
      </c>
      <c r="BJ135" s="427">
        <v>725.91047188439984</v>
      </c>
      <c r="BK135" s="427">
        <v>717.14237654440001</v>
      </c>
      <c r="BL135" s="427">
        <v>720.14964042409997</v>
      </c>
      <c r="BM135" s="427">
        <v>747.15079339259989</v>
      </c>
      <c r="BN135" s="427">
        <v>750.4841369984</v>
      </c>
      <c r="BO135" s="427">
        <v>740.01755033759991</v>
      </c>
      <c r="BP135" s="427">
        <v>748.76030110579995</v>
      </c>
      <c r="BQ135" s="427">
        <v>777.59325813099997</v>
      </c>
      <c r="BR135" s="427">
        <v>782.57548280519995</v>
      </c>
      <c r="BS135" s="427">
        <v>856.2739621472</v>
      </c>
      <c r="BT135" s="427">
        <v>831.50493774565996</v>
      </c>
      <c r="BU135" s="427">
        <v>775.87189530757985</v>
      </c>
      <c r="BV135" s="427">
        <v>834.00912094664784</v>
      </c>
      <c r="BW135" s="427">
        <v>848.81595775108985</v>
      </c>
      <c r="BX135" s="427">
        <v>860.85738501499986</v>
      </c>
      <c r="BY135" s="427">
        <v>822.34834222079996</v>
      </c>
      <c r="BZ135" s="427">
        <v>817.9</v>
      </c>
      <c r="CA135" s="427">
        <v>855.84220932099993</v>
      </c>
      <c r="CB135" s="427">
        <v>844.1303506595998</v>
      </c>
      <c r="CC135" s="427">
        <v>845.40651498400007</v>
      </c>
      <c r="CD135" s="427">
        <v>851.8241941721559</v>
      </c>
      <c r="CE135" s="427">
        <v>879.45149189775145</v>
      </c>
      <c r="CF135" s="427">
        <v>847.42423840325171</v>
      </c>
      <c r="CG135" s="427">
        <v>930.98119326842675</v>
      </c>
      <c r="CH135" s="427">
        <v>907.2158339312831</v>
      </c>
      <c r="CI135" s="427">
        <v>900.6764657024205</v>
      </c>
      <c r="CJ135" s="427">
        <v>904.56211778885222</v>
      </c>
      <c r="CK135" s="427">
        <v>906.93730028648292</v>
      </c>
      <c r="CL135" s="427">
        <v>891.49755444556877</v>
      </c>
      <c r="CM135" s="427">
        <v>879.31322582952362</v>
      </c>
      <c r="CN135" s="427">
        <v>891.03589320329581</v>
      </c>
      <c r="CO135" s="427">
        <v>901.59371009464996</v>
      </c>
      <c r="CP135" s="467">
        <v>898.47083334900003</v>
      </c>
      <c r="CQ135" s="427">
        <v>860.62865851580045</v>
      </c>
      <c r="CR135" s="427">
        <v>818.63846881380005</v>
      </c>
      <c r="CS135" s="427">
        <v>797.71078354716428</v>
      </c>
      <c r="CT135" s="427">
        <v>774.64583047026292</v>
      </c>
      <c r="CU135" s="427">
        <v>786.34225321999986</v>
      </c>
      <c r="CV135" s="427">
        <v>767.36605586999997</v>
      </c>
      <c r="CW135" s="427">
        <v>765.64428003</v>
      </c>
      <c r="CX135" s="427">
        <v>746.00475429999995</v>
      </c>
      <c r="CY135" s="427">
        <v>749.9742449306566</v>
      </c>
      <c r="CZ135" s="427">
        <v>754.41266814492781</v>
      </c>
      <c r="DA135" s="427">
        <v>771.5635490162382</v>
      </c>
      <c r="DB135" s="427">
        <v>773.95310087568714</v>
      </c>
      <c r="DC135" s="427">
        <v>821.95893290021331</v>
      </c>
      <c r="DD135" s="427">
        <v>782.86765844573677</v>
      </c>
      <c r="DE135" s="427">
        <v>767.90108917109694</v>
      </c>
      <c r="DF135" s="427">
        <v>756.27169115575009</v>
      </c>
      <c r="DH135" s="430"/>
    </row>
    <row r="136" spans="1:112" ht="7.7" customHeight="1">
      <c r="A136" s="419"/>
      <c r="B136" s="420"/>
      <c r="C136" s="422"/>
      <c r="D136" s="422"/>
      <c r="E136" s="423"/>
      <c r="F136" s="422"/>
      <c r="G136" s="422"/>
      <c r="H136" s="422"/>
      <c r="I136" s="422"/>
      <c r="J136" s="422"/>
      <c r="K136" s="423"/>
      <c r="L136" s="422"/>
      <c r="M136" s="422"/>
      <c r="N136" s="422"/>
      <c r="O136" s="423"/>
      <c r="P136" s="422"/>
      <c r="Q136" s="422"/>
      <c r="R136" s="423"/>
      <c r="S136" s="422"/>
      <c r="T136" s="422"/>
      <c r="U136" s="425"/>
      <c r="V136" s="425"/>
      <c r="W136" s="425"/>
      <c r="X136" s="425"/>
      <c r="Y136" s="425"/>
      <c r="Z136" s="425"/>
      <c r="AA136" s="425"/>
      <c r="AB136" s="425"/>
      <c r="AC136" s="425"/>
      <c r="AD136" s="425"/>
      <c r="AE136" s="425"/>
      <c r="AF136" s="425"/>
      <c r="AG136" s="425"/>
      <c r="AH136" s="425"/>
      <c r="AI136" s="425"/>
      <c r="AJ136" s="425"/>
      <c r="AK136" s="425"/>
      <c r="AL136" s="425"/>
      <c r="AM136" s="426"/>
      <c r="AN136" s="426"/>
      <c r="AO136" s="426"/>
      <c r="AP136" s="426"/>
      <c r="AQ136" s="426"/>
      <c r="AR136" s="420"/>
      <c r="AS136" s="420"/>
      <c r="AT136" s="420"/>
      <c r="AU136" s="420"/>
      <c r="AV136" s="420"/>
      <c r="AW136" s="427"/>
      <c r="AX136" s="427"/>
      <c r="AY136" s="427"/>
      <c r="AZ136" s="427"/>
      <c r="BA136" s="427"/>
      <c r="BB136" s="427"/>
      <c r="BC136" s="427"/>
      <c r="BD136" s="427"/>
      <c r="BE136" s="427"/>
      <c r="BF136" s="427"/>
      <c r="BG136" s="427"/>
      <c r="BH136" s="427"/>
      <c r="BI136" s="427"/>
      <c r="BJ136" s="427"/>
      <c r="BK136" s="427"/>
      <c r="BL136" s="427"/>
      <c r="BM136" s="427"/>
      <c r="BN136" s="427"/>
      <c r="BO136" s="427"/>
      <c r="BP136" s="427"/>
      <c r="BQ136" s="427"/>
      <c r="BR136" s="427"/>
      <c r="BS136" s="427"/>
      <c r="BT136" s="427"/>
      <c r="BU136" s="427"/>
      <c r="BV136" s="427"/>
      <c r="BW136" s="427"/>
      <c r="BX136" s="427"/>
      <c r="BY136" s="427"/>
      <c r="BZ136" s="427"/>
      <c r="CA136" s="427"/>
      <c r="CB136" s="427"/>
      <c r="CC136" s="427"/>
      <c r="CD136" s="427"/>
      <c r="CE136" s="427"/>
      <c r="CF136" s="427"/>
      <c r="CG136" s="427"/>
      <c r="CH136" s="427"/>
      <c r="CI136" s="427"/>
      <c r="CJ136" s="427"/>
      <c r="CK136" s="427"/>
      <c r="CL136" s="427"/>
      <c r="CM136" s="427"/>
      <c r="CN136" s="427"/>
      <c r="CO136" s="427"/>
      <c r="CP136" s="467"/>
      <c r="CQ136" s="427"/>
      <c r="CR136" s="427"/>
      <c r="CS136" s="427"/>
      <c r="CT136" s="427"/>
      <c r="CU136" s="427"/>
      <c r="CV136" s="427"/>
      <c r="CW136" s="427"/>
      <c r="CX136" s="427"/>
      <c r="CY136" s="427"/>
      <c r="CZ136" s="427"/>
      <c r="DA136" s="427"/>
      <c r="DB136" s="427"/>
      <c r="DC136" s="427"/>
      <c r="DD136" s="427"/>
      <c r="DE136" s="427"/>
      <c r="DF136" s="427"/>
      <c r="DH136" s="430"/>
    </row>
    <row r="137" spans="1:112" ht="18" customHeight="1">
      <c r="A137" s="419" t="s">
        <v>191</v>
      </c>
      <c r="B137" s="420">
        <v>3495.4060436655004</v>
      </c>
      <c r="C137" s="422">
        <v>3463.0868282900005</v>
      </c>
      <c r="D137" s="422">
        <v>3503.1578714400007</v>
      </c>
      <c r="E137" s="423">
        <v>3483.4067525400001</v>
      </c>
      <c r="F137" s="422">
        <v>3602.61958383</v>
      </c>
      <c r="G137" s="422">
        <v>3670.8665471857644</v>
      </c>
      <c r="H137" s="422">
        <v>3689.0085963916008</v>
      </c>
      <c r="I137" s="422">
        <v>3705.8467303952002</v>
      </c>
      <c r="J137" s="422">
        <v>3732.1354258000001</v>
      </c>
      <c r="K137" s="423">
        <v>3734.0565967800003</v>
      </c>
      <c r="L137" s="422">
        <v>3759.0404508899996</v>
      </c>
      <c r="M137" s="422">
        <v>3730.4103821800009</v>
      </c>
      <c r="N137" s="422">
        <v>3779.6788263600001</v>
      </c>
      <c r="O137" s="423">
        <v>3745.8267996322002</v>
      </c>
      <c r="P137" s="422">
        <v>3775.3151233425074</v>
      </c>
      <c r="Q137" s="422">
        <v>3774.4853250792703</v>
      </c>
      <c r="R137" s="423">
        <v>3814.1635492099999</v>
      </c>
      <c r="S137" s="422">
        <v>3771.2450374700002</v>
      </c>
      <c r="T137" s="422">
        <v>3932.4980923250005</v>
      </c>
      <c r="U137" s="425">
        <v>3944.4684254852641</v>
      </c>
      <c r="V137" s="425">
        <v>3921.2089620711199</v>
      </c>
      <c r="W137" s="425">
        <v>4119.4561187726003</v>
      </c>
      <c r="X137" s="425">
        <v>4186.4620973402816</v>
      </c>
      <c r="Y137" s="425">
        <v>4160.0414260899906</v>
      </c>
      <c r="Z137" s="425">
        <v>4188.7184778990477</v>
      </c>
      <c r="AA137" s="425">
        <v>4122.2671755176079</v>
      </c>
      <c r="AB137" s="425">
        <v>4141.6132560283495</v>
      </c>
      <c r="AC137" s="425">
        <v>3898.0161843115002</v>
      </c>
      <c r="AD137" s="425">
        <v>4029.7373025354223</v>
      </c>
      <c r="AE137" s="425">
        <v>3973.9226638123228</v>
      </c>
      <c r="AF137" s="425">
        <v>4004.3397574744381</v>
      </c>
      <c r="AG137" s="425">
        <v>4079.3047442599245</v>
      </c>
      <c r="AH137" s="425">
        <v>4215.7</v>
      </c>
      <c r="AI137" s="425">
        <v>2462.7319088359995</v>
      </c>
      <c r="AJ137" s="425">
        <v>2775.2731997699998</v>
      </c>
      <c r="AK137" s="425">
        <v>2845.9925425557999</v>
      </c>
      <c r="AL137" s="425">
        <v>2837.6308934987046</v>
      </c>
      <c r="AM137" s="426">
        <v>2994.6119232731303</v>
      </c>
      <c r="AN137" s="426">
        <v>3144.7994182091443</v>
      </c>
      <c r="AO137" s="426">
        <v>2889.6156511134482</v>
      </c>
      <c r="AP137" s="426">
        <v>2777.1144497336099</v>
      </c>
      <c r="AQ137" s="426">
        <v>3018.215215511972</v>
      </c>
      <c r="AR137" s="420">
        <v>3201.9728741976014</v>
      </c>
      <c r="AS137" s="420">
        <v>3121.5566809412148</v>
      </c>
      <c r="AT137" s="420">
        <v>2620.4928808828722</v>
      </c>
      <c r="AU137" s="420">
        <v>2559.6456402468311</v>
      </c>
      <c r="AV137" s="420">
        <v>2610.9228676949997</v>
      </c>
      <c r="AW137" s="427">
        <v>2703.7054057018004</v>
      </c>
      <c r="AX137" s="427">
        <v>2739.8482486984003</v>
      </c>
      <c r="AY137" s="427">
        <v>2622.4679033689022</v>
      </c>
      <c r="AZ137" s="427">
        <v>2678.5375096307034</v>
      </c>
      <c r="BA137" s="427">
        <v>2617.8935571328011</v>
      </c>
      <c r="BB137" s="427">
        <v>2801.1162319305026</v>
      </c>
      <c r="BC137" s="427">
        <v>2941.0691630948991</v>
      </c>
      <c r="BD137" s="427">
        <v>2997.8981908490996</v>
      </c>
      <c r="BE137" s="427">
        <v>3017.73419649775</v>
      </c>
      <c r="BF137" s="427">
        <v>3151.9361739134597</v>
      </c>
      <c r="BG137" s="427">
        <v>3372.6850810739998</v>
      </c>
      <c r="BH137" s="427">
        <v>2955.6650639512973</v>
      </c>
      <c r="BI137" s="427">
        <v>2969.1681793196899</v>
      </c>
      <c r="BJ137" s="427">
        <v>3110.1530933591939</v>
      </c>
      <c r="BK137" s="427">
        <v>3030.9645218530968</v>
      </c>
      <c r="BL137" s="427">
        <v>3110.4851732094876</v>
      </c>
      <c r="BM137" s="427">
        <v>2991.4671679805929</v>
      </c>
      <c r="BN137" s="427">
        <v>3189.4581636220132</v>
      </c>
      <c r="BO137" s="427">
        <v>3144.4655955957974</v>
      </c>
      <c r="BP137" s="427">
        <v>3194.3426015998025</v>
      </c>
      <c r="BQ137" s="427">
        <v>3222.8904434173969</v>
      </c>
      <c r="BR137" s="427">
        <v>3336.5052414087991</v>
      </c>
      <c r="BS137" s="427">
        <v>3286.1066347392289</v>
      </c>
      <c r="BT137" s="427">
        <v>3392.8866640527458</v>
      </c>
      <c r="BU137" s="427">
        <v>3543.9502632694848</v>
      </c>
      <c r="BV137" s="427">
        <v>3655.0392261147399</v>
      </c>
      <c r="BW137" s="427">
        <v>3469.0694648409908</v>
      </c>
      <c r="BX137" s="427">
        <v>3580.6173286935004</v>
      </c>
      <c r="BY137" s="427">
        <v>3482.9893226881004</v>
      </c>
      <c r="BZ137" s="427">
        <v>3501.2</v>
      </c>
      <c r="CA137" s="427">
        <v>3575.6429674932019</v>
      </c>
      <c r="CB137" s="427">
        <v>3732.5913901994022</v>
      </c>
      <c r="CC137" s="427">
        <v>3778.12939158071</v>
      </c>
      <c r="CD137" s="427">
        <v>3773.33948217446</v>
      </c>
      <c r="CE137" s="427">
        <v>3880.0944014819638</v>
      </c>
      <c r="CF137" s="427">
        <v>3825.3364619346812</v>
      </c>
      <c r="CG137" s="427">
        <v>3910.7728696278741</v>
      </c>
      <c r="CH137" s="427">
        <v>4064.676398511127</v>
      </c>
      <c r="CI137" s="427">
        <v>3926.5127865058316</v>
      </c>
      <c r="CJ137" s="427">
        <v>3880.4472806399667</v>
      </c>
      <c r="CK137" s="427">
        <v>3914.3336355180759</v>
      </c>
      <c r="CL137" s="427">
        <v>4177.935634621821</v>
      </c>
      <c r="CM137" s="427">
        <v>4388.3289618207818</v>
      </c>
      <c r="CN137" s="427">
        <v>4418.2484915072973</v>
      </c>
      <c r="CO137" s="427">
        <v>4287.9070101081552</v>
      </c>
      <c r="CP137" s="467">
        <v>4450.0745939365497</v>
      </c>
      <c r="CQ137" s="427">
        <v>4414.5542276500246</v>
      </c>
      <c r="CR137" s="427">
        <v>4228.1866369521595</v>
      </c>
      <c r="CS137" s="427">
        <v>3643.8162029642785</v>
      </c>
      <c r="CT137" s="427">
        <v>3517.3942258972816</v>
      </c>
      <c r="CU137" s="427">
        <v>3682.8323869530741</v>
      </c>
      <c r="CV137" s="427">
        <v>3112.1734134348353</v>
      </c>
      <c r="CW137" s="427">
        <v>3164.107898412597</v>
      </c>
      <c r="CX137" s="427">
        <v>3283.8196822750156</v>
      </c>
      <c r="CY137" s="427">
        <v>3442.8228660888581</v>
      </c>
      <c r="CZ137" s="427">
        <v>3726.2780157122579</v>
      </c>
      <c r="DA137" s="427">
        <v>3839.3185973463405</v>
      </c>
      <c r="DB137" s="427">
        <v>3827.2469729321028</v>
      </c>
      <c r="DC137" s="427">
        <v>3426.731309662508</v>
      </c>
      <c r="DD137" s="427">
        <v>3816.7446234835515</v>
      </c>
      <c r="DE137" s="427">
        <v>3805.1943355516441</v>
      </c>
      <c r="DF137" s="427">
        <v>3808.1759664241167</v>
      </c>
      <c r="DH137" s="430"/>
    </row>
    <row r="138" spans="1:112">
      <c r="A138" s="419"/>
      <c r="B138" s="420"/>
      <c r="C138" s="422"/>
      <c r="D138" s="422"/>
      <c r="E138" s="423"/>
      <c r="F138" s="422"/>
      <c r="G138" s="422"/>
      <c r="H138" s="422"/>
      <c r="I138" s="422"/>
      <c r="J138" s="422"/>
      <c r="K138" s="423"/>
      <c r="L138" s="422"/>
      <c r="M138" s="422"/>
      <c r="N138" s="422"/>
      <c r="O138" s="423"/>
      <c r="P138" s="422"/>
      <c r="Q138" s="422"/>
      <c r="R138" s="423"/>
      <c r="S138" s="422"/>
      <c r="T138" s="422"/>
      <c r="U138" s="425"/>
      <c r="V138" s="425"/>
      <c r="W138" s="425"/>
      <c r="X138" s="425"/>
      <c r="Y138" s="425"/>
      <c r="Z138" s="425"/>
      <c r="AA138" s="425"/>
      <c r="AB138" s="425"/>
      <c r="AC138" s="425"/>
      <c r="AD138" s="425"/>
      <c r="AE138" s="425"/>
      <c r="AF138" s="425"/>
      <c r="AG138" s="425"/>
      <c r="AH138" s="425"/>
      <c r="AI138" s="425"/>
      <c r="AJ138" s="425"/>
      <c r="AK138" s="425"/>
      <c r="AL138" s="425"/>
      <c r="AM138" s="426"/>
      <c r="AN138" s="426"/>
      <c r="AO138" s="426"/>
      <c r="AP138" s="426"/>
      <c r="AQ138" s="438"/>
      <c r="AR138" s="420"/>
      <c r="AS138" s="420"/>
      <c r="AT138" s="420"/>
      <c r="AU138" s="420"/>
      <c r="AV138" s="420"/>
      <c r="AW138" s="427"/>
      <c r="AX138" s="427"/>
      <c r="AY138" s="427"/>
      <c r="AZ138" s="427"/>
      <c r="BA138" s="427"/>
      <c r="BB138" s="427"/>
      <c r="BC138" s="427"/>
      <c r="BD138" s="427"/>
      <c r="BE138" s="427"/>
      <c r="BF138" s="427"/>
      <c r="BG138" s="427"/>
      <c r="BH138" s="427"/>
      <c r="BI138" s="427"/>
      <c r="BJ138" s="427"/>
      <c r="BK138" s="427"/>
      <c r="BL138" s="427"/>
      <c r="BM138" s="427"/>
      <c r="BN138" s="427"/>
      <c r="BO138" s="427"/>
      <c r="BP138" s="427"/>
      <c r="BQ138" s="427"/>
      <c r="BR138" s="427"/>
      <c r="BS138" s="427"/>
      <c r="BT138" s="427"/>
      <c r="BU138" s="427"/>
      <c r="BV138" s="427"/>
      <c r="BW138" s="427"/>
      <c r="BX138" s="427"/>
      <c r="BY138" s="427"/>
      <c r="BZ138" s="427"/>
      <c r="CA138" s="427"/>
      <c r="CB138" s="427"/>
      <c r="CC138" s="427"/>
      <c r="CD138" s="427"/>
      <c r="CE138" s="427"/>
      <c r="CF138" s="427"/>
      <c r="CG138" s="427"/>
      <c r="CH138" s="427"/>
      <c r="CI138" s="427"/>
      <c r="CJ138" s="427"/>
      <c r="CK138" s="427"/>
      <c r="CL138" s="427"/>
      <c r="CM138" s="427"/>
      <c r="CN138" s="427"/>
      <c r="CO138" s="427"/>
      <c r="CP138" s="467"/>
      <c r="CQ138" s="427"/>
      <c r="CR138" s="427"/>
      <c r="CS138" s="427"/>
      <c r="CT138" s="427"/>
      <c r="CU138" s="427"/>
      <c r="CV138" s="427"/>
      <c r="CW138" s="427"/>
      <c r="CX138" s="427"/>
      <c r="CY138" s="427"/>
      <c r="CZ138" s="427"/>
      <c r="DA138" s="427"/>
      <c r="DB138" s="427"/>
      <c r="DC138" s="427"/>
      <c r="DD138" s="427"/>
      <c r="DE138" s="427"/>
      <c r="DF138" s="427"/>
      <c r="DH138" s="430"/>
    </row>
    <row r="139" spans="1:112" ht="28.5" customHeight="1" thickBot="1">
      <c r="A139" s="470" t="s">
        <v>247</v>
      </c>
      <c r="B139" s="471">
        <f>B4+B16+B36+B46+B53+B69+B83+B93+B104+B113+B115+B117+B119+B121+B123+B125+B127+B129+B131+B133+B135+B137</f>
        <v>105066.44738915763</v>
      </c>
      <c r="C139" s="472">
        <f>C4+C16+C36+C46+C53+C69+C83+C93+C104+C113+C115+C117+C119+C121+C123+C125+C127+C129+C131+C133+C135+C137</f>
        <v>106387.98206130305</v>
      </c>
      <c r="D139" s="472">
        <f>D4+D16+D36+D46+D53+D69+D83+D93+D104+D113+D115+D117+D119+D121+D123+D125+D127+D129+D131+D133+D135+D137</f>
        <v>105751.44392507621</v>
      </c>
      <c r="E139" s="473">
        <f>E4+E16+E36+E46+E53+E69+E83+E93+E104+E113+E115+E117+E119+E121+E123+E125+E127+E129+E131+E133+E135+E137</f>
        <v>109143.81420217246</v>
      </c>
      <c r="F139" s="472">
        <v>111006.9700187656</v>
      </c>
      <c r="G139" s="472">
        <v>112633.48531363475</v>
      </c>
      <c r="H139" s="472">
        <f>116014.177660686+0.1</f>
        <v>116014.277660686</v>
      </c>
      <c r="I139" s="472">
        <v>115365.01556880238</v>
      </c>
      <c r="J139" s="472">
        <v>115374.80138122493</v>
      </c>
      <c r="K139" s="473">
        <v>115187.43252135989</v>
      </c>
      <c r="L139" s="472">
        <v>117809.48173978864</v>
      </c>
      <c r="M139" s="472">
        <v>118389.64262317181</v>
      </c>
      <c r="N139" s="472">
        <v>119471.44921010851</v>
      </c>
      <c r="O139" s="473">
        <v>122489.69981252497</v>
      </c>
      <c r="P139" s="472">
        <v>124473.72340609964</v>
      </c>
      <c r="Q139" s="472">
        <v>125528.91399626393</v>
      </c>
      <c r="R139" s="473">
        <v>127522.71225632911</v>
      </c>
      <c r="S139" s="472">
        <v>129013.04939609711</v>
      </c>
      <c r="T139" s="472">
        <v>131332.53047524224</v>
      </c>
      <c r="U139" s="474">
        <v>131417.67363209874</v>
      </c>
      <c r="V139" s="474">
        <v>130153.87655828777</v>
      </c>
      <c r="W139" s="474">
        <v>130240.43106546746</v>
      </c>
      <c r="X139" s="474">
        <v>130167.708</v>
      </c>
      <c r="Y139" s="474">
        <v>129289.92308643575</v>
      </c>
      <c r="Z139" s="474">
        <v>131381</v>
      </c>
      <c r="AA139" s="474">
        <v>131346.90959974233</v>
      </c>
      <c r="AB139" s="474">
        <v>134752.59892060608</v>
      </c>
      <c r="AC139" s="474">
        <v>135521.74101220103</v>
      </c>
      <c r="AD139" s="474">
        <v>138251.29535184326</v>
      </c>
      <c r="AE139" s="474">
        <v>140161.11722737836</v>
      </c>
      <c r="AF139" s="474">
        <v>145312.16251779645</v>
      </c>
      <c r="AG139" s="474">
        <v>147312.52759034661</v>
      </c>
      <c r="AH139" s="474">
        <v>147155.9</v>
      </c>
      <c r="AI139" s="474">
        <v>148058.6219404086</v>
      </c>
      <c r="AJ139" s="474">
        <v>150285.86448609616</v>
      </c>
      <c r="AK139" s="474">
        <v>152894.7702483997</v>
      </c>
      <c r="AL139" s="474">
        <v>155847.04161019632</v>
      </c>
      <c r="AM139" s="475">
        <v>159158.03487041316</v>
      </c>
      <c r="AN139" s="475">
        <v>159961.94220362703</v>
      </c>
      <c r="AO139" s="475">
        <v>166659.06347528775</v>
      </c>
      <c r="AP139" s="475">
        <v>169990.72098901286</v>
      </c>
      <c r="AQ139" s="426">
        <v>174227.13479766902</v>
      </c>
      <c r="AR139" s="471">
        <v>178924.55683905896</v>
      </c>
      <c r="AS139" s="471">
        <v>178413.0052715787</v>
      </c>
      <c r="AT139" s="471">
        <v>179015.02899586226</v>
      </c>
      <c r="AU139" s="471">
        <v>180230.98627791257</v>
      </c>
      <c r="AV139" s="471">
        <v>180559.19136943814</v>
      </c>
      <c r="AW139" s="476">
        <v>180922.88182509568</v>
      </c>
      <c r="AX139" s="476">
        <v>182681.42841028146</v>
      </c>
      <c r="AY139" s="476">
        <v>183340.94624707245</v>
      </c>
      <c r="AZ139" s="476">
        <v>183257.24700655282</v>
      </c>
      <c r="BA139" s="476">
        <v>181828.06830667562</v>
      </c>
      <c r="BB139" s="476">
        <v>181937.46630088161</v>
      </c>
      <c r="BC139" s="476">
        <v>182475.39384223995</v>
      </c>
      <c r="BD139" s="476">
        <v>184649.7119032123</v>
      </c>
      <c r="BE139" s="476">
        <v>184838.64385492675</v>
      </c>
      <c r="BF139" s="476">
        <v>185718.54753487738</v>
      </c>
      <c r="BG139" s="476">
        <v>188527.22214210039</v>
      </c>
      <c r="BH139" s="476">
        <v>188747.35259042089</v>
      </c>
      <c r="BI139" s="476">
        <v>192682.31333726743</v>
      </c>
      <c r="BJ139" s="476">
        <v>197816.45518417677</v>
      </c>
      <c r="BK139" s="476">
        <v>197245.32228771379</v>
      </c>
      <c r="BL139" s="427">
        <v>199695.79664051268</v>
      </c>
      <c r="BM139" s="427">
        <v>201328.75788357155</v>
      </c>
      <c r="BN139" s="427">
        <v>203273.25358399548</v>
      </c>
      <c r="BO139" s="427">
        <v>205107.19099190805</v>
      </c>
      <c r="BP139" s="427">
        <v>209569.52233308143</v>
      </c>
      <c r="BQ139" s="427">
        <v>207568.98456094388</v>
      </c>
      <c r="BR139" s="427">
        <v>209549.09140138922</v>
      </c>
      <c r="BS139" s="427">
        <v>209888.60986707319</v>
      </c>
      <c r="BT139" s="427">
        <v>211800.46138989946</v>
      </c>
      <c r="BU139" s="427">
        <v>212768.37474378379</v>
      </c>
      <c r="BV139" s="427">
        <v>216575.1715983022</v>
      </c>
      <c r="BW139" s="427">
        <v>218523.59266863906</v>
      </c>
      <c r="BX139" s="427">
        <v>220548.85725317549</v>
      </c>
      <c r="BY139" s="427">
        <v>222972.4538581646</v>
      </c>
      <c r="BZ139" s="427">
        <v>224812.79999999999</v>
      </c>
      <c r="CA139" s="427">
        <v>227091.29748322355</v>
      </c>
      <c r="CB139" s="427">
        <v>227043.85779236624</v>
      </c>
      <c r="CC139" s="427">
        <v>226985.83246727078</v>
      </c>
      <c r="CD139" s="427">
        <v>227198.93230258458</v>
      </c>
      <c r="CE139" s="427">
        <v>227801.3222094317</v>
      </c>
      <c r="CF139" s="427">
        <v>229270.21018310881</v>
      </c>
      <c r="CG139" s="427">
        <v>233658.74336860396</v>
      </c>
      <c r="CH139" s="427">
        <v>239760.28391368265</v>
      </c>
      <c r="CI139" s="427">
        <v>241238.13508193026</v>
      </c>
      <c r="CJ139" s="427">
        <v>243746.9147957883</v>
      </c>
      <c r="CK139" s="427">
        <v>245348.93434200805</v>
      </c>
      <c r="CL139" s="427">
        <v>248597.05051805204</v>
      </c>
      <c r="CM139" s="427">
        <v>251397.12366484999</v>
      </c>
      <c r="CN139" s="427">
        <v>256025.13014473565</v>
      </c>
      <c r="CO139" s="427">
        <v>255001.6336831318</v>
      </c>
      <c r="CP139" s="467">
        <v>257387.32143570355</v>
      </c>
      <c r="CQ139" s="427">
        <v>257643.67660763819</v>
      </c>
      <c r="CR139" s="427">
        <v>257670.66242184059</v>
      </c>
      <c r="CS139" s="427">
        <v>256179.44728160565</v>
      </c>
      <c r="CT139" s="427">
        <v>258852.45213714559</v>
      </c>
      <c r="CU139" s="427">
        <v>260128.75094780556</v>
      </c>
      <c r="CV139" s="427">
        <v>263783.04143004393</v>
      </c>
      <c r="CW139" s="427">
        <v>267359.17556932016</v>
      </c>
      <c r="CX139" s="427">
        <v>266006.03698277473</v>
      </c>
      <c r="CY139" s="427">
        <v>269219.67555346497</v>
      </c>
      <c r="CZ139" s="427">
        <v>271247.48784599046</v>
      </c>
      <c r="DA139" s="427">
        <v>269591.54167981009</v>
      </c>
      <c r="DB139" s="427">
        <v>270590.40538475133</v>
      </c>
      <c r="DC139" s="427">
        <v>271015.3508820681</v>
      </c>
      <c r="DD139" s="427">
        <v>270098.43101347232</v>
      </c>
      <c r="DE139" s="427">
        <v>267723.53365661314</v>
      </c>
      <c r="DF139" s="427">
        <v>268044.96930909943</v>
      </c>
      <c r="DH139" s="430"/>
    </row>
    <row r="140" spans="1:112" ht="18" customHeight="1" thickTop="1" thickBot="1">
      <c r="A140" s="477" t="s">
        <v>397</v>
      </c>
      <c r="B140" s="471">
        <v>7498</v>
      </c>
      <c r="C140" s="472">
        <v>7801.2</v>
      </c>
      <c r="D140" s="472">
        <v>7108.8</v>
      </c>
      <c r="E140" s="473">
        <v>6593</v>
      </c>
      <c r="F140" s="472">
        <v>6877.6435424908495</v>
      </c>
      <c r="G140" s="472">
        <v>7023.7998040963384</v>
      </c>
      <c r="H140" s="472">
        <v>6878.8</v>
      </c>
      <c r="I140" s="472">
        <v>6423.5</v>
      </c>
      <c r="J140" s="472">
        <v>7200.5</v>
      </c>
      <c r="K140" s="473">
        <v>6846</v>
      </c>
      <c r="L140" s="472">
        <v>7935.1</v>
      </c>
      <c r="M140" s="472">
        <v>8482.2999999999993</v>
      </c>
      <c r="N140" s="472">
        <v>8907.1</v>
      </c>
      <c r="O140" s="473">
        <v>7674.4</v>
      </c>
      <c r="P140" s="472">
        <v>7668.3</v>
      </c>
      <c r="Q140" s="472">
        <v>8508.2000000000007</v>
      </c>
      <c r="R140" s="473">
        <v>8648</v>
      </c>
      <c r="S140" s="472">
        <v>7537.1</v>
      </c>
      <c r="T140" s="472">
        <v>6819.8</v>
      </c>
      <c r="U140" s="474">
        <v>7363.5</v>
      </c>
      <c r="V140" s="474">
        <v>7094.1</v>
      </c>
      <c r="W140" s="474">
        <v>8165</v>
      </c>
      <c r="X140" s="474">
        <v>8660.9</v>
      </c>
      <c r="Y140" s="474">
        <v>10905.9</v>
      </c>
      <c r="Z140" s="474">
        <v>10158.200000000001</v>
      </c>
      <c r="AA140" s="474">
        <v>9810.4</v>
      </c>
      <c r="AB140" s="474">
        <v>9212.4</v>
      </c>
      <c r="AC140" s="474">
        <v>9457.2000000000007</v>
      </c>
      <c r="AD140" s="474">
        <v>10963.168</v>
      </c>
      <c r="AE140" s="474">
        <v>11087.178157012506</v>
      </c>
      <c r="AF140" s="474">
        <v>11746.8</v>
      </c>
      <c r="AG140" s="474">
        <v>12332.9</v>
      </c>
      <c r="AH140" s="474">
        <v>11070.7</v>
      </c>
      <c r="AI140" s="474">
        <v>10935.915015071438</v>
      </c>
      <c r="AJ140" s="474">
        <v>10116.96743827206</v>
      </c>
      <c r="AK140" s="474">
        <v>11784.059728036329</v>
      </c>
      <c r="AL140" s="474">
        <v>11264.009010570229</v>
      </c>
      <c r="AM140" s="474">
        <v>11573</v>
      </c>
      <c r="AN140" s="474">
        <v>12792.744410392674</v>
      </c>
      <c r="AO140" s="474">
        <v>14425.787912189246</v>
      </c>
      <c r="AP140" s="474">
        <v>12741</v>
      </c>
      <c r="AQ140" s="478">
        <v>16099.8</v>
      </c>
      <c r="AR140" s="471">
        <v>16653.7</v>
      </c>
      <c r="AS140" s="471">
        <v>17631.3</v>
      </c>
      <c r="AT140" s="471">
        <v>20040.5</v>
      </c>
      <c r="AU140" s="471">
        <v>19553.944</v>
      </c>
      <c r="AV140" s="471">
        <v>19389.5</v>
      </c>
      <c r="AW140" s="476">
        <v>19944.599999999999</v>
      </c>
      <c r="AX140" s="476">
        <v>18644.900000000001</v>
      </c>
      <c r="AY140" s="476">
        <v>17930.5</v>
      </c>
      <c r="AZ140" s="476">
        <v>17577.400000000001</v>
      </c>
      <c r="BA140" s="476">
        <v>17626.8</v>
      </c>
      <c r="BB140" s="476">
        <v>16983.099999999999</v>
      </c>
      <c r="BC140" s="476">
        <v>17191.099999999999</v>
      </c>
      <c r="BD140" s="476">
        <v>16984.090662227558</v>
      </c>
      <c r="BE140" s="476">
        <v>15314.8</v>
      </c>
      <c r="BF140" s="476">
        <v>16513.5</v>
      </c>
      <c r="BG140" s="476">
        <v>16240.2</v>
      </c>
      <c r="BH140" s="476">
        <v>15217.2</v>
      </c>
      <c r="BI140" s="476">
        <v>18727.099999999999</v>
      </c>
      <c r="BJ140" s="476">
        <v>19242.2</v>
      </c>
      <c r="BK140" s="476">
        <v>19176.599999999999</v>
      </c>
      <c r="BL140" s="478">
        <v>20414.599999999999</v>
      </c>
      <c r="BM140" s="478">
        <v>19903.400000000001</v>
      </c>
      <c r="BN140" s="478">
        <v>19536</v>
      </c>
      <c r="BO140" s="478">
        <v>19692.2</v>
      </c>
      <c r="BP140" s="478">
        <v>20427.7</v>
      </c>
      <c r="BQ140" s="478">
        <v>20451.3</v>
      </c>
      <c r="BR140" s="478">
        <v>20691.099999999999</v>
      </c>
      <c r="BS140" s="478">
        <v>21549.599999999999</v>
      </c>
      <c r="BT140" s="478">
        <v>20818.2</v>
      </c>
      <c r="BU140" s="478">
        <v>21804.3</v>
      </c>
      <c r="BV140" s="478">
        <v>21697.200000000001</v>
      </c>
      <c r="BW140" s="478">
        <v>22126</v>
      </c>
      <c r="BX140" s="478">
        <v>21644.799999999999</v>
      </c>
      <c r="BY140" s="478">
        <v>22114.799999999999</v>
      </c>
      <c r="BZ140" s="478">
        <v>23066</v>
      </c>
      <c r="CA140" s="478">
        <v>21712.1542625732</v>
      </c>
      <c r="CB140" s="478">
        <f>21696255110.8371/1000000</f>
        <v>21696.255110837101</v>
      </c>
      <c r="CC140" s="478">
        <v>21860.7</v>
      </c>
      <c r="CD140" s="478">
        <v>21590.5</v>
      </c>
      <c r="CE140" s="478">
        <v>24633.3</v>
      </c>
      <c r="CF140" s="478">
        <v>25617.1</v>
      </c>
      <c r="CG140" s="478">
        <v>25871.3</v>
      </c>
      <c r="CH140" s="478">
        <v>27463.1</v>
      </c>
      <c r="CI140" s="478">
        <v>25789.9</v>
      </c>
      <c r="CJ140" s="478">
        <v>26319.8</v>
      </c>
      <c r="CK140" s="478">
        <v>24825.5</v>
      </c>
      <c r="CL140" s="478">
        <v>24639.4</v>
      </c>
      <c r="CM140" s="478">
        <v>25261.9</v>
      </c>
      <c r="CN140" s="478">
        <v>24522.991999999998</v>
      </c>
      <c r="CO140" s="478">
        <v>24587.882000000001</v>
      </c>
      <c r="CP140" s="479">
        <v>24577.1</v>
      </c>
      <c r="CQ140" s="478">
        <v>25392</v>
      </c>
      <c r="CR140" s="478">
        <v>26377.200000000001</v>
      </c>
      <c r="CS140" s="478">
        <v>25009.374336639696</v>
      </c>
      <c r="CT140" s="478">
        <v>25578</v>
      </c>
      <c r="CU140" s="478">
        <v>28453.399479701216</v>
      </c>
      <c r="CV140" s="478">
        <v>29189.758735680382</v>
      </c>
      <c r="CW140" s="478">
        <v>29573.916580027872</v>
      </c>
      <c r="CX140" s="478">
        <v>30639.468371773848</v>
      </c>
      <c r="CY140" s="478">
        <v>30624.318209656696</v>
      </c>
      <c r="CZ140" s="478">
        <v>33709.939182923496</v>
      </c>
      <c r="DA140" s="478">
        <v>34534.598701656847</v>
      </c>
      <c r="DB140" s="478">
        <v>33295.519640815255</v>
      </c>
      <c r="DC140" s="478">
        <v>31751.160609195871</v>
      </c>
      <c r="DD140" s="478">
        <v>31689.688584023108</v>
      </c>
      <c r="DE140" s="478">
        <v>35159.629754696769</v>
      </c>
      <c r="DF140" s="478">
        <v>34493.732392353086</v>
      </c>
      <c r="DH140" s="430"/>
    </row>
    <row r="141" spans="1:112" ht="18.75" thickTop="1">
      <c r="A141" s="480" t="s">
        <v>398</v>
      </c>
      <c r="B141" s="406" t="s">
        <v>240</v>
      </c>
      <c r="F141" s="481"/>
      <c r="G141" s="481"/>
      <c r="N141" s="482" t="s">
        <v>240</v>
      </c>
      <c r="R141" s="483"/>
      <c r="AR141" s="406"/>
      <c r="AS141" s="406"/>
      <c r="AT141" s="406"/>
      <c r="BG141" s="483"/>
      <c r="BX141" s="406"/>
      <c r="BY141" s="406" t="s">
        <v>240</v>
      </c>
      <c r="DH141" s="430"/>
    </row>
    <row r="142" spans="1:112" ht="18">
      <c r="A142" s="480" t="s">
        <v>399</v>
      </c>
      <c r="H142" s="483"/>
      <c r="R142" s="483"/>
      <c r="AH142" s="483">
        <f>AH139-AH115</f>
        <v>139781.13098666747</v>
      </c>
      <c r="AI142" s="423">
        <v>167031.5</v>
      </c>
      <c r="AM142" s="403">
        <f>AL142/AH142*100</f>
        <v>0</v>
      </c>
      <c r="BG142" s="483"/>
      <c r="DH142" s="430"/>
    </row>
    <row r="143" spans="1:112" s="406" customFormat="1">
      <c r="A143" s="406" t="s">
        <v>180</v>
      </c>
      <c r="R143" s="484"/>
      <c r="AA143" s="484"/>
      <c r="AN143" s="484"/>
      <c r="AO143" s="484"/>
      <c r="BG143" s="483"/>
      <c r="DH143" s="430"/>
    </row>
    <row r="144" spans="1:112" s="406" customFormat="1">
      <c r="R144" s="484"/>
      <c r="AA144" s="484"/>
      <c r="AN144" s="484"/>
      <c r="AO144" s="484"/>
      <c r="DH144" s="430"/>
    </row>
    <row r="145" spans="18:112">
      <c r="R145" s="483"/>
      <c r="CG145" s="485"/>
      <c r="CH145" s="485"/>
      <c r="CI145" s="485"/>
      <c r="CJ145" s="485"/>
      <c r="CK145" s="485"/>
      <c r="CL145" s="485"/>
      <c r="CM145" s="485"/>
      <c r="CN145" s="485"/>
      <c r="CO145" s="485"/>
      <c r="CP145" s="485"/>
      <c r="CQ145" s="485"/>
      <c r="CR145" s="485"/>
      <c r="CS145" s="485"/>
      <c r="CT145" s="485"/>
      <c r="CU145" s="485"/>
      <c r="CV145" s="485"/>
      <c r="CW145" s="485"/>
      <c r="CX145" s="485"/>
      <c r="CY145" s="485"/>
      <c r="CZ145" s="485"/>
      <c r="DA145" s="485"/>
      <c r="DH145" s="430"/>
    </row>
    <row r="146" spans="18:112">
      <c r="R146" s="483"/>
      <c r="DH146" s="430"/>
    </row>
    <row r="147" spans="18:112">
      <c r="R147" s="483"/>
      <c r="DH147" s="430"/>
    </row>
    <row r="148" spans="18:112">
      <c r="R148" s="483"/>
      <c r="DH148" s="430"/>
    </row>
    <row r="149" spans="18:112">
      <c r="R149" s="483"/>
      <c r="DH149" s="430"/>
    </row>
    <row r="150" spans="18:112">
      <c r="R150" s="483"/>
      <c r="DH150" s="430"/>
    </row>
    <row r="151" spans="18:112">
      <c r="R151" s="483"/>
      <c r="DH151" s="430"/>
    </row>
    <row r="152" spans="18:112">
      <c r="R152" s="483"/>
      <c r="DH152" s="430"/>
    </row>
    <row r="153" spans="18:112">
      <c r="R153" s="483"/>
      <c r="DH153" s="430"/>
    </row>
    <row r="154" spans="18:112">
      <c r="R154" s="483"/>
      <c r="DH154" s="430"/>
    </row>
    <row r="155" spans="18:112">
      <c r="R155" s="483"/>
      <c r="DH155" s="430"/>
    </row>
    <row r="156" spans="18:112">
      <c r="R156" s="483"/>
      <c r="DH156" s="430"/>
    </row>
    <row r="157" spans="18:112">
      <c r="R157" s="483"/>
      <c r="DH157" s="430"/>
    </row>
    <row r="158" spans="18:112">
      <c r="R158" s="483"/>
      <c r="DH158" s="430"/>
    </row>
    <row r="159" spans="18:112">
      <c r="R159" s="483"/>
      <c r="DH159" s="430"/>
    </row>
    <row r="160" spans="18:112">
      <c r="R160" s="483"/>
      <c r="DH160" s="430"/>
    </row>
    <row r="161" spans="18:112">
      <c r="R161" s="483"/>
      <c r="DH161" s="430"/>
    </row>
    <row r="162" spans="18:112">
      <c r="R162" s="483"/>
      <c r="DH162" s="430"/>
    </row>
    <row r="163" spans="18:112">
      <c r="R163" s="483"/>
      <c r="DH163" s="430"/>
    </row>
    <row r="164" spans="18:112">
      <c r="R164" s="483"/>
      <c r="DH164" s="430"/>
    </row>
    <row r="165" spans="18:112">
      <c r="R165" s="483"/>
      <c r="DH165" s="430"/>
    </row>
    <row r="166" spans="18:112">
      <c r="R166" s="483"/>
      <c r="DH166" s="430"/>
    </row>
    <row r="167" spans="18:112">
      <c r="R167" s="483"/>
      <c r="DH167" s="430"/>
    </row>
    <row r="168" spans="18:112">
      <c r="R168" s="483"/>
      <c r="DH168" s="430"/>
    </row>
    <row r="169" spans="18:112">
      <c r="R169" s="483"/>
      <c r="DH169" s="430"/>
    </row>
    <row r="170" spans="18:112">
      <c r="R170" s="483"/>
      <c r="DH170" s="430"/>
    </row>
    <row r="171" spans="18:112">
      <c r="R171" s="483"/>
      <c r="DH171" s="430"/>
    </row>
    <row r="172" spans="18:112">
      <c r="R172" s="483"/>
      <c r="DH172" s="430"/>
    </row>
    <row r="173" spans="18:112">
      <c r="R173" s="483"/>
      <c r="DH173" s="430"/>
    </row>
    <row r="174" spans="18:112">
      <c r="R174" s="483"/>
      <c r="DH174" s="430"/>
    </row>
    <row r="175" spans="18:112">
      <c r="R175" s="483"/>
      <c r="DH175" s="430"/>
    </row>
    <row r="176" spans="18:112">
      <c r="R176" s="483"/>
      <c r="DH176" s="430"/>
    </row>
    <row r="177" spans="18:112">
      <c r="R177" s="483"/>
      <c r="DH177" s="430"/>
    </row>
    <row r="178" spans="18:112">
      <c r="R178" s="483"/>
      <c r="DH178" s="430"/>
    </row>
    <row r="179" spans="18:112">
      <c r="R179" s="483"/>
      <c r="DH179" s="430"/>
    </row>
    <row r="180" spans="18:112">
      <c r="R180" s="483"/>
      <c r="DH180" s="430"/>
    </row>
    <row r="181" spans="18:112">
      <c r="R181" s="483"/>
      <c r="DH181" s="430"/>
    </row>
    <row r="182" spans="18:112">
      <c r="R182" s="483"/>
      <c r="DH182" s="430"/>
    </row>
    <row r="183" spans="18:112">
      <c r="R183" s="483"/>
      <c r="DH183" s="430"/>
    </row>
    <row r="184" spans="18:112">
      <c r="R184" s="483"/>
      <c r="DH184" s="430"/>
    </row>
    <row r="185" spans="18:112">
      <c r="R185" s="483"/>
      <c r="DH185" s="430"/>
    </row>
    <row r="186" spans="18:112">
      <c r="R186" s="483"/>
      <c r="DH186" s="430"/>
    </row>
    <row r="187" spans="18:112">
      <c r="R187" s="483"/>
      <c r="DH187" s="430"/>
    </row>
    <row r="188" spans="18:112">
      <c r="R188" s="483"/>
      <c r="DH188" s="430"/>
    </row>
    <row r="189" spans="18:112">
      <c r="R189" s="483"/>
      <c r="DH189" s="430"/>
    </row>
    <row r="190" spans="18:112">
      <c r="R190" s="483"/>
      <c r="DH190" s="430"/>
    </row>
    <row r="191" spans="18:112">
      <c r="R191" s="483"/>
      <c r="DH191" s="430"/>
    </row>
    <row r="192" spans="18:112">
      <c r="R192" s="483"/>
      <c r="DH192" s="430"/>
    </row>
    <row r="193" spans="18:112">
      <c r="R193" s="483"/>
      <c r="DH193" s="430"/>
    </row>
    <row r="194" spans="18:112">
      <c r="R194" s="483"/>
      <c r="DH194" s="430"/>
    </row>
    <row r="195" spans="18:112">
      <c r="R195" s="483"/>
      <c r="DH195" s="430"/>
    </row>
    <row r="196" spans="18:112">
      <c r="R196" s="483"/>
      <c r="DH196" s="430"/>
    </row>
    <row r="197" spans="18:112">
      <c r="R197" s="483"/>
      <c r="DH197" s="430"/>
    </row>
    <row r="198" spans="18:112">
      <c r="R198" s="483"/>
      <c r="DH198" s="430"/>
    </row>
    <row r="199" spans="18:112">
      <c r="R199" s="483"/>
      <c r="DH199" s="430"/>
    </row>
    <row r="200" spans="18:112">
      <c r="R200" s="483"/>
      <c r="DH200" s="430"/>
    </row>
    <row r="201" spans="18:112">
      <c r="R201" s="483"/>
      <c r="DH201" s="430"/>
    </row>
    <row r="202" spans="18:112">
      <c r="R202" s="483"/>
      <c r="DH202" s="430"/>
    </row>
    <row r="203" spans="18:112">
      <c r="R203" s="483"/>
      <c r="DH203" s="430"/>
    </row>
    <row r="204" spans="18:112">
      <c r="R204" s="483"/>
      <c r="DH204" s="430"/>
    </row>
    <row r="205" spans="18:112">
      <c r="R205" s="483"/>
      <c r="DH205" s="430"/>
    </row>
    <row r="206" spans="18:112">
      <c r="R206" s="483"/>
      <c r="DH206" s="430"/>
    </row>
    <row r="207" spans="18:112">
      <c r="R207" s="483"/>
      <c r="DH207" s="430"/>
    </row>
    <row r="208" spans="18:112">
      <c r="R208" s="483"/>
      <c r="DH208" s="430"/>
    </row>
    <row r="209" spans="18:112">
      <c r="R209" s="483"/>
      <c r="DH209" s="430"/>
    </row>
    <row r="210" spans="18:112">
      <c r="R210" s="483"/>
      <c r="DH210" s="430"/>
    </row>
    <row r="211" spans="18:112">
      <c r="R211" s="483"/>
      <c r="DH211" s="430"/>
    </row>
    <row r="212" spans="18:112">
      <c r="R212" s="483"/>
      <c r="DH212" s="430"/>
    </row>
    <row r="213" spans="18:112">
      <c r="R213" s="483"/>
      <c r="DH213" s="430"/>
    </row>
    <row r="214" spans="18:112">
      <c r="R214" s="483"/>
      <c r="DH214" s="430"/>
    </row>
    <row r="215" spans="18:112">
      <c r="R215" s="483"/>
      <c r="DH215" s="430"/>
    </row>
    <row r="216" spans="18:112">
      <c r="R216" s="483"/>
      <c r="DH216" s="430"/>
    </row>
    <row r="217" spans="18:112">
      <c r="R217" s="483"/>
      <c r="DH217" s="430"/>
    </row>
    <row r="218" spans="18:112">
      <c r="R218" s="483"/>
      <c r="DH218" s="430"/>
    </row>
    <row r="219" spans="18:112">
      <c r="R219" s="483"/>
      <c r="DH219" s="430"/>
    </row>
    <row r="220" spans="18:112">
      <c r="R220" s="483"/>
      <c r="DH220" s="430"/>
    </row>
    <row r="221" spans="18:112">
      <c r="R221" s="483"/>
      <c r="DH221" s="430"/>
    </row>
    <row r="222" spans="18:112">
      <c r="R222" s="483"/>
      <c r="DH222" s="430"/>
    </row>
    <row r="223" spans="18:112">
      <c r="R223" s="483"/>
      <c r="DH223" s="430"/>
    </row>
    <row r="224" spans="18:112">
      <c r="R224" s="483"/>
      <c r="DH224" s="430"/>
    </row>
    <row r="225" spans="18:112">
      <c r="R225" s="483"/>
      <c r="DH225" s="430"/>
    </row>
    <row r="226" spans="18:112">
      <c r="R226" s="483"/>
      <c r="DH226" s="430"/>
    </row>
    <row r="227" spans="18:112">
      <c r="R227" s="483"/>
      <c r="DH227" s="430"/>
    </row>
    <row r="228" spans="18:112">
      <c r="R228" s="483"/>
      <c r="DH228" s="430"/>
    </row>
    <row r="229" spans="18:112">
      <c r="R229" s="483"/>
      <c r="DH229" s="430"/>
    </row>
    <row r="230" spans="18:112">
      <c r="R230" s="483"/>
      <c r="DH230" s="430"/>
    </row>
    <row r="231" spans="18:112">
      <c r="R231" s="483"/>
      <c r="DH231" s="430"/>
    </row>
    <row r="232" spans="18:112">
      <c r="R232" s="483"/>
      <c r="DH232" s="430"/>
    </row>
    <row r="233" spans="18:112">
      <c r="R233" s="483"/>
      <c r="DH233" s="430"/>
    </row>
    <row r="234" spans="18:112">
      <c r="R234" s="483"/>
      <c r="DH234" s="430"/>
    </row>
    <row r="235" spans="18:112">
      <c r="R235" s="483"/>
      <c r="DH235" s="430"/>
    </row>
    <row r="236" spans="18:112">
      <c r="R236" s="483"/>
      <c r="DH236" s="430"/>
    </row>
    <row r="237" spans="18:112">
      <c r="R237" s="483"/>
      <c r="DH237" s="430"/>
    </row>
    <row r="238" spans="18:112">
      <c r="R238" s="483"/>
      <c r="DH238" s="430"/>
    </row>
    <row r="239" spans="18:112">
      <c r="R239" s="483"/>
      <c r="DH239" s="430"/>
    </row>
    <row r="240" spans="18:112">
      <c r="R240" s="483"/>
      <c r="DH240" s="430"/>
    </row>
    <row r="241" spans="18:112">
      <c r="R241" s="483"/>
      <c r="DH241" s="430"/>
    </row>
    <row r="242" spans="18:112">
      <c r="R242" s="483"/>
      <c r="DH242" s="430"/>
    </row>
    <row r="243" spans="18:112">
      <c r="R243" s="483"/>
      <c r="DH243" s="430"/>
    </row>
    <row r="244" spans="18:112">
      <c r="R244" s="483"/>
      <c r="DH244" s="430"/>
    </row>
    <row r="245" spans="18:112">
      <c r="R245" s="483"/>
      <c r="DH245" s="430"/>
    </row>
    <row r="246" spans="18:112">
      <c r="R246" s="483"/>
      <c r="DH246" s="430"/>
    </row>
    <row r="247" spans="18:112">
      <c r="R247" s="483"/>
      <c r="DH247" s="430"/>
    </row>
    <row r="248" spans="18:112">
      <c r="R248" s="483"/>
      <c r="DH248" s="430"/>
    </row>
    <row r="249" spans="18:112">
      <c r="R249" s="483"/>
      <c r="DH249" s="430"/>
    </row>
    <row r="250" spans="18:112">
      <c r="R250" s="483"/>
      <c r="DH250" s="430"/>
    </row>
    <row r="251" spans="18:112">
      <c r="R251" s="483"/>
    </row>
    <row r="252" spans="18:112">
      <c r="R252" s="483"/>
    </row>
    <row r="253" spans="18:112">
      <c r="R253" s="483"/>
    </row>
    <row r="254" spans="18:112">
      <c r="R254" s="483"/>
    </row>
    <row r="255" spans="18:112">
      <c r="R255" s="483"/>
    </row>
    <row r="256" spans="18:112">
      <c r="R256" s="483"/>
    </row>
    <row r="257" spans="18:18">
      <c r="R257" s="483"/>
    </row>
    <row r="258" spans="18:18">
      <c r="R258" s="483"/>
    </row>
    <row r="259" spans="18:18">
      <c r="R259" s="483"/>
    </row>
    <row r="260" spans="18:18">
      <c r="R260" s="483"/>
    </row>
    <row r="261" spans="18:18">
      <c r="R261" s="483"/>
    </row>
    <row r="262" spans="18:18">
      <c r="R262" s="483"/>
    </row>
    <row r="263" spans="18:18">
      <c r="R263" s="483"/>
    </row>
    <row r="264" spans="18:18">
      <c r="R264" s="483"/>
    </row>
    <row r="265" spans="18:18">
      <c r="R265" s="483"/>
    </row>
    <row r="266" spans="18:18">
      <c r="R266" s="483"/>
    </row>
    <row r="267" spans="18:18">
      <c r="R267" s="483"/>
    </row>
    <row r="268" spans="18:18">
      <c r="R268" s="483"/>
    </row>
    <row r="269" spans="18:18">
      <c r="R269" s="483"/>
    </row>
    <row r="270" spans="18:18">
      <c r="R270" s="483"/>
    </row>
    <row r="271" spans="18:18">
      <c r="R271" s="483"/>
    </row>
    <row r="272" spans="18:18">
      <c r="R272" s="483"/>
    </row>
    <row r="273" spans="18:18">
      <c r="R273" s="483"/>
    </row>
    <row r="274" spans="18:18">
      <c r="R274" s="483"/>
    </row>
    <row r="275" spans="18:18">
      <c r="R275" s="483"/>
    </row>
    <row r="276" spans="18:18">
      <c r="R276" s="483"/>
    </row>
    <row r="277" spans="18:18">
      <c r="R277" s="483"/>
    </row>
    <row r="278" spans="18:18">
      <c r="R278" s="483"/>
    </row>
    <row r="279" spans="18:18">
      <c r="R279" s="483"/>
    </row>
    <row r="280" spans="18:18">
      <c r="R280" s="483"/>
    </row>
    <row r="281" spans="18:18">
      <c r="R281" s="483"/>
    </row>
    <row r="282" spans="18:18">
      <c r="R282" s="483"/>
    </row>
    <row r="283" spans="18:18">
      <c r="R283" s="483"/>
    </row>
    <row r="284" spans="18:18">
      <c r="R284" s="483"/>
    </row>
    <row r="285" spans="18:18">
      <c r="R285" s="483"/>
    </row>
    <row r="286" spans="18:18">
      <c r="R286" s="483"/>
    </row>
    <row r="287" spans="18:18">
      <c r="R287" s="483"/>
    </row>
    <row r="288" spans="18:18">
      <c r="R288" s="483"/>
    </row>
    <row r="289" spans="18:18">
      <c r="R289" s="483"/>
    </row>
    <row r="290" spans="18:18">
      <c r="R290" s="483"/>
    </row>
    <row r="291" spans="18:18">
      <c r="R291" s="483"/>
    </row>
    <row r="292" spans="18:18">
      <c r="R292" s="483"/>
    </row>
    <row r="293" spans="18:18">
      <c r="R293" s="483"/>
    </row>
    <row r="294" spans="18:18">
      <c r="R294" s="483"/>
    </row>
    <row r="295" spans="18:18">
      <c r="R295" s="483"/>
    </row>
    <row r="296" spans="18:18">
      <c r="R296" s="483"/>
    </row>
    <row r="297" spans="18:18">
      <c r="R297" s="483"/>
    </row>
    <row r="298" spans="18:18">
      <c r="R298" s="483"/>
    </row>
    <row r="299" spans="18:18">
      <c r="R299" s="483"/>
    </row>
    <row r="300" spans="18:18">
      <c r="R300" s="483"/>
    </row>
    <row r="301" spans="18:18">
      <c r="R301" s="483"/>
    </row>
    <row r="302" spans="18:18">
      <c r="R302" s="483"/>
    </row>
    <row r="303" spans="18:18">
      <c r="R303" s="483"/>
    </row>
    <row r="304" spans="18:18">
      <c r="R304" s="483"/>
    </row>
    <row r="305" spans="18:18">
      <c r="R305" s="483"/>
    </row>
    <row r="306" spans="18:18">
      <c r="R306" s="483"/>
    </row>
    <row r="307" spans="18:18">
      <c r="R307" s="483"/>
    </row>
    <row r="308" spans="18:18">
      <c r="R308" s="483"/>
    </row>
    <row r="309" spans="18:18">
      <c r="R309" s="483"/>
    </row>
    <row r="310" spans="18:18">
      <c r="R310" s="483"/>
    </row>
    <row r="311" spans="18:18">
      <c r="R311" s="483"/>
    </row>
    <row r="312" spans="18:18">
      <c r="R312" s="483"/>
    </row>
    <row r="313" spans="18:18">
      <c r="R313" s="483"/>
    </row>
    <row r="314" spans="18:18">
      <c r="R314" s="483"/>
    </row>
    <row r="315" spans="18:18">
      <c r="R315" s="483"/>
    </row>
    <row r="316" spans="18:18">
      <c r="R316" s="483"/>
    </row>
    <row r="317" spans="18:18">
      <c r="R317" s="483"/>
    </row>
    <row r="318" spans="18:18">
      <c r="R318" s="483"/>
    </row>
    <row r="319" spans="18:18">
      <c r="R319" s="483"/>
    </row>
    <row r="320" spans="18:18">
      <c r="R320" s="483"/>
    </row>
    <row r="321" spans="18:18">
      <c r="R321" s="483"/>
    </row>
    <row r="322" spans="18:18">
      <c r="R322" s="483"/>
    </row>
    <row r="323" spans="18:18">
      <c r="R323" s="483"/>
    </row>
    <row r="324" spans="18:18">
      <c r="R324" s="483"/>
    </row>
    <row r="325" spans="18:18">
      <c r="R325" s="483"/>
    </row>
    <row r="326" spans="18:18">
      <c r="R326" s="483"/>
    </row>
    <row r="327" spans="18:18">
      <c r="R327" s="483"/>
    </row>
    <row r="328" spans="18:18">
      <c r="R328" s="483"/>
    </row>
    <row r="329" spans="18:18">
      <c r="R329" s="483"/>
    </row>
    <row r="330" spans="18:18">
      <c r="R330" s="483"/>
    </row>
    <row r="331" spans="18:18">
      <c r="R331" s="483"/>
    </row>
    <row r="332" spans="18:18">
      <c r="R332" s="483"/>
    </row>
    <row r="333" spans="18:18">
      <c r="R333" s="483"/>
    </row>
    <row r="334" spans="18:18">
      <c r="R334" s="483"/>
    </row>
    <row r="335" spans="18:18">
      <c r="R335" s="483"/>
    </row>
    <row r="336" spans="18:18">
      <c r="R336" s="483"/>
    </row>
    <row r="337" spans="18:18">
      <c r="R337" s="483"/>
    </row>
    <row r="338" spans="18:18">
      <c r="R338" s="483"/>
    </row>
    <row r="339" spans="18:18">
      <c r="R339" s="483"/>
    </row>
    <row r="340" spans="18:18">
      <c r="R340" s="483"/>
    </row>
    <row r="341" spans="18:18">
      <c r="R341" s="483"/>
    </row>
    <row r="342" spans="18:18">
      <c r="R342" s="483"/>
    </row>
    <row r="343" spans="18:18">
      <c r="R343" s="483"/>
    </row>
    <row r="344" spans="18:18">
      <c r="R344" s="483"/>
    </row>
    <row r="345" spans="18:18">
      <c r="R345" s="483"/>
    </row>
    <row r="346" spans="18:18">
      <c r="R346" s="483"/>
    </row>
    <row r="347" spans="18:18">
      <c r="R347" s="483"/>
    </row>
    <row r="348" spans="18:18">
      <c r="R348" s="483"/>
    </row>
    <row r="349" spans="18:18">
      <c r="R349" s="483"/>
    </row>
    <row r="350" spans="18:18">
      <c r="R350" s="483"/>
    </row>
    <row r="351" spans="18:18">
      <c r="R351" s="483"/>
    </row>
    <row r="352" spans="18:18">
      <c r="R352" s="483"/>
    </row>
    <row r="353" spans="18:18">
      <c r="R353" s="483"/>
    </row>
    <row r="354" spans="18:18">
      <c r="R354" s="483"/>
    </row>
    <row r="355" spans="18:18">
      <c r="R355" s="483"/>
    </row>
    <row r="356" spans="18:18">
      <c r="R356" s="483"/>
    </row>
    <row r="357" spans="18:18">
      <c r="R357" s="483"/>
    </row>
    <row r="358" spans="18:18">
      <c r="R358" s="483"/>
    </row>
    <row r="359" spans="18:18">
      <c r="R359" s="483"/>
    </row>
    <row r="360" spans="18:18">
      <c r="R360" s="483"/>
    </row>
    <row r="361" spans="18:18">
      <c r="R361" s="483"/>
    </row>
    <row r="362" spans="18:18">
      <c r="R362" s="483"/>
    </row>
    <row r="363" spans="18:18">
      <c r="R363" s="483"/>
    </row>
    <row r="364" spans="18:18">
      <c r="R364" s="483"/>
    </row>
    <row r="365" spans="18:18">
      <c r="R365" s="483"/>
    </row>
    <row r="366" spans="18:18">
      <c r="R366" s="483"/>
    </row>
    <row r="367" spans="18:18">
      <c r="R367" s="483"/>
    </row>
    <row r="368" spans="18:18">
      <c r="R368" s="483"/>
    </row>
    <row r="369" spans="18:18">
      <c r="R369" s="483"/>
    </row>
    <row r="370" spans="18:18">
      <c r="R370" s="483"/>
    </row>
    <row r="371" spans="18:18">
      <c r="R371" s="483"/>
    </row>
    <row r="372" spans="18:18">
      <c r="R372" s="483"/>
    </row>
    <row r="373" spans="18:18">
      <c r="R373" s="483"/>
    </row>
    <row r="374" spans="18:18">
      <c r="R374" s="483"/>
    </row>
    <row r="375" spans="18:18">
      <c r="R375" s="483"/>
    </row>
    <row r="376" spans="18:18">
      <c r="R376" s="483"/>
    </row>
    <row r="377" spans="18:18">
      <c r="R377" s="483"/>
    </row>
    <row r="378" spans="18:18">
      <c r="R378" s="483"/>
    </row>
    <row r="379" spans="18:18">
      <c r="R379" s="483"/>
    </row>
    <row r="380" spans="18:18">
      <c r="R380" s="483"/>
    </row>
    <row r="381" spans="18:18">
      <c r="R381" s="483"/>
    </row>
    <row r="382" spans="18:18">
      <c r="R382" s="483"/>
    </row>
    <row r="383" spans="18:18">
      <c r="R383" s="483"/>
    </row>
    <row r="384" spans="18:18">
      <c r="R384" s="483"/>
    </row>
    <row r="385" spans="18:18">
      <c r="R385" s="483"/>
    </row>
    <row r="386" spans="18:18">
      <c r="R386" s="483"/>
    </row>
    <row r="387" spans="18:18">
      <c r="R387" s="483"/>
    </row>
    <row r="388" spans="18:18">
      <c r="R388" s="483"/>
    </row>
    <row r="389" spans="18:18">
      <c r="R389" s="483"/>
    </row>
    <row r="390" spans="18:18">
      <c r="R390" s="483"/>
    </row>
    <row r="391" spans="18:18">
      <c r="R391" s="483"/>
    </row>
    <row r="392" spans="18:18">
      <c r="R392" s="483"/>
    </row>
    <row r="393" spans="18:18">
      <c r="R393" s="483"/>
    </row>
    <row r="394" spans="18:18">
      <c r="R394" s="483"/>
    </row>
    <row r="395" spans="18:18">
      <c r="R395" s="483"/>
    </row>
    <row r="396" spans="18:18">
      <c r="R396" s="483"/>
    </row>
    <row r="397" spans="18:18">
      <c r="R397" s="483"/>
    </row>
    <row r="398" spans="18:18">
      <c r="R398" s="483"/>
    </row>
    <row r="399" spans="18:18">
      <c r="R399" s="483"/>
    </row>
    <row r="400" spans="18:18">
      <c r="R400" s="483"/>
    </row>
    <row r="401" spans="18:18">
      <c r="R401" s="483"/>
    </row>
    <row r="402" spans="18:18">
      <c r="R402" s="483"/>
    </row>
    <row r="403" spans="18:18">
      <c r="R403" s="483"/>
    </row>
    <row r="404" spans="18:18">
      <c r="R404" s="483"/>
    </row>
    <row r="405" spans="18:18">
      <c r="R405" s="483"/>
    </row>
    <row r="406" spans="18:18">
      <c r="R406" s="483"/>
    </row>
    <row r="407" spans="18:18">
      <c r="R407" s="483"/>
    </row>
    <row r="408" spans="18:18">
      <c r="R408" s="483"/>
    </row>
    <row r="409" spans="18:18">
      <c r="R409" s="483"/>
    </row>
    <row r="410" spans="18:18">
      <c r="R410" s="483"/>
    </row>
    <row r="411" spans="18:18">
      <c r="R411" s="483"/>
    </row>
    <row r="412" spans="18:18">
      <c r="R412" s="483"/>
    </row>
    <row r="413" spans="18:18">
      <c r="R413" s="483"/>
    </row>
    <row r="414" spans="18:18">
      <c r="R414" s="483"/>
    </row>
    <row r="415" spans="18:18">
      <c r="R415" s="483"/>
    </row>
    <row r="416" spans="18:18">
      <c r="R416" s="483"/>
    </row>
    <row r="417" spans="18:18">
      <c r="R417" s="483"/>
    </row>
    <row r="418" spans="18:18">
      <c r="R418" s="483"/>
    </row>
    <row r="419" spans="18:18">
      <c r="R419" s="483"/>
    </row>
    <row r="420" spans="18:18">
      <c r="R420" s="483"/>
    </row>
    <row r="421" spans="18:18">
      <c r="R421" s="483"/>
    </row>
    <row r="422" spans="18:18">
      <c r="R422" s="483"/>
    </row>
    <row r="423" spans="18:18">
      <c r="R423" s="483"/>
    </row>
    <row r="424" spans="18:18">
      <c r="R424" s="483"/>
    </row>
    <row r="425" spans="18:18">
      <c r="R425" s="483"/>
    </row>
    <row r="426" spans="18:18">
      <c r="R426" s="483"/>
    </row>
    <row r="427" spans="18:18">
      <c r="R427" s="483"/>
    </row>
    <row r="428" spans="18:18">
      <c r="R428" s="483"/>
    </row>
    <row r="429" spans="18:18">
      <c r="R429" s="483"/>
    </row>
    <row r="430" spans="18:18">
      <c r="R430" s="483"/>
    </row>
    <row r="431" spans="18:18">
      <c r="R431" s="483"/>
    </row>
    <row r="432" spans="18:18">
      <c r="R432" s="483"/>
    </row>
    <row r="433" spans="18:18">
      <c r="R433" s="483"/>
    </row>
    <row r="434" spans="18:18">
      <c r="R434" s="483"/>
    </row>
    <row r="435" spans="18:18">
      <c r="R435" s="483"/>
    </row>
    <row r="436" spans="18:18">
      <c r="R436" s="483"/>
    </row>
    <row r="437" spans="18:18">
      <c r="R437" s="483"/>
    </row>
    <row r="438" spans="18:18">
      <c r="R438" s="483"/>
    </row>
    <row r="439" spans="18:18">
      <c r="R439" s="483"/>
    </row>
    <row r="440" spans="18:18">
      <c r="R440" s="483"/>
    </row>
    <row r="441" spans="18:18">
      <c r="R441" s="483"/>
    </row>
    <row r="442" spans="18:18">
      <c r="R442" s="483"/>
    </row>
    <row r="443" spans="18:18">
      <c r="R443" s="483"/>
    </row>
    <row r="444" spans="18:18">
      <c r="R444" s="483"/>
    </row>
    <row r="445" spans="18:18">
      <c r="R445" s="483"/>
    </row>
    <row r="446" spans="18:18">
      <c r="R446" s="483"/>
    </row>
    <row r="447" spans="18:18">
      <c r="R447" s="483"/>
    </row>
    <row r="448" spans="18:18">
      <c r="R448" s="483"/>
    </row>
    <row r="449" spans="18:18">
      <c r="R449" s="483"/>
    </row>
    <row r="450" spans="18:18">
      <c r="R450" s="483"/>
    </row>
    <row r="451" spans="18:18">
      <c r="R451" s="483"/>
    </row>
    <row r="452" spans="18:18">
      <c r="R452" s="483"/>
    </row>
    <row r="453" spans="18:18">
      <c r="R453" s="483"/>
    </row>
    <row r="454" spans="18:18">
      <c r="R454" s="483"/>
    </row>
    <row r="455" spans="18:18">
      <c r="R455" s="483"/>
    </row>
    <row r="456" spans="18:18">
      <c r="R456" s="483"/>
    </row>
    <row r="457" spans="18:18">
      <c r="R457" s="483"/>
    </row>
    <row r="458" spans="18:18">
      <c r="R458" s="483"/>
    </row>
    <row r="459" spans="18:18">
      <c r="R459" s="483"/>
    </row>
    <row r="460" spans="18:18">
      <c r="R460" s="483"/>
    </row>
    <row r="461" spans="18:18">
      <c r="R461" s="483"/>
    </row>
    <row r="462" spans="18:18">
      <c r="R462" s="483"/>
    </row>
    <row r="463" spans="18:18">
      <c r="R463" s="483"/>
    </row>
    <row r="464" spans="18:18">
      <c r="R464" s="483"/>
    </row>
    <row r="465" spans="18:18">
      <c r="R465" s="483"/>
    </row>
    <row r="466" spans="18:18">
      <c r="R466" s="483"/>
    </row>
    <row r="467" spans="18:18">
      <c r="R467" s="483"/>
    </row>
    <row r="468" spans="18:18">
      <c r="R468" s="483"/>
    </row>
    <row r="469" spans="18:18">
      <c r="R469" s="483"/>
    </row>
    <row r="470" spans="18:18">
      <c r="R470" s="483"/>
    </row>
    <row r="471" spans="18:18">
      <c r="R471" s="483"/>
    </row>
    <row r="472" spans="18:18">
      <c r="R472" s="483"/>
    </row>
    <row r="473" spans="18:18">
      <c r="R473" s="483"/>
    </row>
    <row r="474" spans="18:18">
      <c r="R474" s="483"/>
    </row>
    <row r="475" spans="18:18">
      <c r="R475" s="483"/>
    </row>
    <row r="476" spans="18:18">
      <c r="R476" s="483"/>
    </row>
    <row r="477" spans="18:18">
      <c r="R477" s="483"/>
    </row>
    <row r="478" spans="18:18">
      <c r="R478" s="483"/>
    </row>
    <row r="479" spans="18:18">
      <c r="R479" s="483"/>
    </row>
    <row r="480" spans="18:18">
      <c r="R480" s="483"/>
    </row>
    <row r="481" spans="18:18">
      <c r="R481" s="483"/>
    </row>
    <row r="482" spans="18:18">
      <c r="R482" s="483"/>
    </row>
    <row r="483" spans="18:18">
      <c r="R483" s="483"/>
    </row>
    <row r="484" spans="18:18">
      <c r="R484" s="483"/>
    </row>
    <row r="485" spans="18:18">
      <c r="R485" s="483"/>
    </row>
    <row r="486" spans="18:18">
      <c r="R486" s="483"/>
    </row>
    <row r="487" spans="18:18">
      <c r="R487" s="483"/>
    </row>
    <row r="488" spans="18:18">
      <c r="R488" s="483"/>
    </row>
    <row r="489" spans="18:18">
      <c r="R489" s="483"/>
    </row>
    <row r="490" spans="18:18">
      <c r="R490" s="483"/>
    </row>
    <row r="491" spans="18:18">
      <c r="R491" s="483"/>
    </row>
    <row r="492" spans="18:18">
      <c r="R492" s="483"/>
    </row>
    <row r="493" spans="18:18">
      <c r="R493" s="483"/>
    </row>
    <row r="494" spans="18:18">
      <c r="R494" s="483"/>
    </row>
    <row r="495" spans="18:18">
      <c r="R495" s="483"/>
    </row>
    <row r="496" spans="18:18">
      <c r="R496" s="483"/>
    </row>
    <row r="497" spans="18:18">
      <c r="R497" s="483"/>
    </row>
    <row r="498" spans="18:18">
      <c r="R498" s="483"/>
    </row>
    <row r="499" spans="18:18">
      <c r="R499" s="483"/>
    </row>
    <row r="500" spans="18:18">
      <c r="R500" s="483"/>
    </row>
    <row r="501" spans="18:18">
      <c r="R501" s="483"/>
    </row>
    <row r="502" spans="18:18">
      <c r="R502" s="483"/>
    </row>
    <row r="503" spans="18:18">
      <c r="R503" s="483"/>
    </row>
    <row r="504" spans="18:18">
      <c r="R504" s="483"/>
    </row>
    <row r="505" spans="18:18">
      <c r="R505" s="483"/>
    </row>
    <row r="506" spans="18:18">
      <c r="R506" s="483"/>
    </row>
    <row r="507" spans="18:18">
      <c r="R507" s="483"/>
    </row>
    <row r="508" spans="18:18">
      <c r="R508" s="483"/>
    </row>
    <row r="509" spans="18:18">
      <c r="R509" s="483"/>
    </row>
    <row r="510" spans="18:18">
      <c r="R510" s="483"/>
    </row>
    <row r="511" spans="18:18">
      <c r="R511" s="483"/>
    </row>
    <row r="512" spans="18:18">
      <c r="R512" s="483"/>
    </row>
    <row r="513" spans="18:18">
      <c r="R513" s="483"/>
    </row>
    <row r="514" spans="18:18">
      <c r="R514" s="483"/>
    </row>
    <row r="515" spans="18:18">
      <c r="R515" s="483"/>
    </row>
    <row r="516" spans="18:18">
      <c r="R516" s="483"/>
    </row>
    <row r="517" spans="18:18">
      <c r="R517" s="483"/>
    </row>
    <row r="518" spans="18:18">
      <c r="R518" s="483"/>
    </row>
    <row r="519" spans="18:18">
      <c r="R519" s="483"/>
    </row>
    <row r="520" spans="18:18">
      <c r="R520" s="483"/>
    </row>
    <row r="521" spans="18:18">
      <c r="R521" s="483"/>
    </row>
    <row r="522" spans="18:18">
      <c r="R522" s="483"/>
    </row>
    <row r="523" spans="18:18">
      <c r="R523" s="483"/>
    </row>
    <row r="524" spans="18:18">
      <c r="R524" s="483"/>
    </row>
    <row r="525" spans="18:18">
      <c r="R525" s="483"/>
    </row>
    <row r="526" spans="18:18">
      <c r="R526" s="483"/>
    </row>
    <row r="527" spans="18:18">
      <c r="R527" s="483"/>
    </row>
    <row r="528" spans="18:18">
      <c r="R528" s="483"/>
    </row>
    <row r="529" spans="18:18">
      <c r="R529" s="483"/>
    </row>
    <row r="530" spans="18:18">
      <c r="R530" s="483"/>
    </row>
    <row r="531" spans="18:18">
      <c r="R531" s="483"/>
    </row>
    <row r="532" spans="18:18">
      <c r="R532" s="483"/>
    </row>
    <row r="533" spans="18:18">
      <c r="R533" s="483"/>
    </row>
    <row r="534" spans="18:18">
      <c r="R534" s="483"/>
    </row>
    <row r="535" spans="18:18">
      <c r="R535" s="483"/>
    </row>
    <row r="536" spans="18:18">
      <c r="R536" s="483"/>
    </row>
    <row r="537" spans="18:18">
      <c r="R537" s="483"/>
    </row>
    <row r="538" spans="18:18">
      <c r="R538" s="483"/>
    </row>
    <row r="539" spans="18:18">
      <c r="R539" s="483"/>
    </row>
    <row r="540" spans="18:18">
      <c r="R540" s="483"/>
    </row>
    <row r="541" spans="18:18">
      <c r="R541" s="483"/>
    </row>
    <row r="542" spans="18:18">
      <c r="R542" s="483"/>
    </row>
    <row r="543" spans="18:18">
      <c r="R543" s="483"/>
    </row>
    <row r="544" spans="18:18">
      <c r="R544" s="483"/>
    </row>
    <row r="545" spans="18:18">
      <c r="R545" s="483"/>
    </row>
    <row r="546" spans="18:18">
      <c r="R546" s="483"/>
    </row>
    <row r="547" spans="18:18">
      <c r="R547" s="483"/>
    </row>
    <row r="548" spans="18:18">
      <c r="R548" s="483"/>
    </row>
    <row r="549" spans="18:18">
      <c r="R549" s="483"/>
    </row>
    <row r="550" spans="18:18">
      <c r="R550" s="483"/>
    </row>
    <row r="551" spans="18:18">
      <c r="R551" s="483"/>
    </row>
    <row r="552" spans="18:18">
      <c r="R552" s="483"/>
    </row>
    <row r="553" spans="18:18">
      <c r="R553" s="483"/>
    </row>
    <row r="554" spans="18:18">
      <c r="R554" s="483"/>
    </row>
    <row r="555" spans="18:18">
      <c r="R555" s="483"/>
    </row>
    <row r="556" spans="18:18">
      <c r="R556" s="483"/>
    </row>
    <row r="557" spans="18:18">
      <c r="R557" s="483"/>
    </row>
    <row r="558" spans="18:18">
      <c r="R558" s="483"/>
    </row>
    <row r="559" spans="18:18">
      <c r="R559" s="483"/>
    </row>
    <row r="560" spans="18:18">
      <c r="R560" s="483"/>
    </row>
    <row r="561" spans="18:18">
      <c r="R561" s="483"/>
    </row>
    <row r="562" spans="18:18">
      <c r="R562" s="483"/>
    </row>
    <row r="563" spans="18:18">
      <c r="R563" s="483"/>
    </row>
    <row r="564" spans="18:18">
      <c r="R564" s="483"/>
    </row>
    <row r="565" spans="18:18">
      <c r="R565" s="483"/>
    </row>
    <row r="566" spans="18:18">
      <c r="R566" s="483"/>
    </row>
    <row r="567" spans="18:18">
      <c r="R567" s="483"/>
    </row>
    <row r="568" spans="18:18">
      <c r="R568" s="483"/>
    </row>
    <row r="569" spans="18:18">
      <c r="R569" s="483"/>
    </row>
    <row r="570" spans="18:18">
      <c r="R570" s="483"/>
    </row>
    <row r="571" spans="18:18">
      <c r="R571" s="483"/>
    </row>
    <row r="572" spans="18:18">
      <c r="R572" s="483"/>
    </row>
    <row r="573" spans="18:18">
      <c r="R573" s="483"/>
    </row>
    <row r="574" spans="18:18">
      <c r="R574" s="483"/>
    </row>
    <row r="575" spans="18:18">
      <c r="R575" s="483"/>
    </row>
    <row r="576" spans="18:18">
      <c r="R576" s="483"/>
    </row>
    <row r="577" spans="18:18">
      <c r="R577" s="483"/>
    </row>
    <row r="578" spans="18:18">
      <c r="R578" s="483"/>
    </row>
    <row r="579" spans="18:18">
      <c r="R579" s="483"/>
    </row>
    <row r="580" spans="18:18">
      <c r="R580" s="483"/>
    </row>
    <row r="581" spans="18:18">
      <c r="R581" s="483"/>
    </row>
    <row r="582" spans="18:18">
      <c r="R582" s="483"/>
    </row>
    <row r="583" spans="18:18">
      <c r="R583" s="483"/>
    </row>
    <row r="584" spans="18:18">
      <c r="R584" s="483"/>
    </row>
    <row r="585" spans="18:18">
      <c r="R585" s="483"/>
    </row>
    <row r="586" spans="18:18">
      <c r="R586" s="483"/>
    </row>
    <row r="587" spans="18:18">
      <c r="R587" s="483"/>
    </row>
    <row r="588" spans="18:18">
      <c r="R588" s="483"/>
    </row>
    <row r="589" spans="18:18">
      <c r="R589" s="483"/>
    </row>
    <row r="590" spans="18:18">
      <c r="R590" s="483"/>
    </row>
    <row r="591" spans="18:18">
      <c r="R591" s="483"/>
    </row>
    <row r="592" spans="18:18">
      <c r="R592" s="483"/>
    </row>
    <row r="593" spans="18:18">
      <c r="R593" s="483"/>
    </row>
    <row r="594" spans="18:18">
      <c r="R594" s="483"/>
    </row>
    <row r="595" spans="18:18">
      <c r="R595" s="483"/>
    </row>
    <row r="596" spans="18:18">
      <c r="R596" s="483"/>
    </row>
    <row r="597" spans="18:18">
      <c r="R597" s="483"/>
    </row>
    <row r="598" spans="18:18">
      <c r="R598" s="483"/>
    </row>
    <row r="599" spans="18:18">
      <c r="R599" s="483"/>
    </row>
    <row r="600" spans="18:18">
      <c r="R600" s="483"/>
    </row>
    <row r="601" spans="18:18">
      <c r="R601" s="483"/>
    </row>
    <row r="602" spans="18:18">
      <c r="R602" s="483"/>
    </row>
    <row r="603" spans="18:18">
      <c r="R603" s="483"/>
    </row>
    <row r="604" spans="18:18">
      <c r="R604" s="483"/>
    </row>
    <row r="605" spans="18:18">
      <c r="R605" s="483"/>
    </row>
    <row r="606" spans="18:18">
      <c r="R606" s="483"/>
    </row>
    <row r="607" spans="18:18">
      <c r="R607" s="483"/>
    </row>
    <row r="608" spans="18:18">
      <c r="R608" s="483"/>
    </row>
    <row r="609" spans="18:18">
      <c r="R609" s="483"/>
    </row>
    <row r="610" spans="18:18">
      <c r="R610" s="483"/>
    </row>
    <row r="611" spans="18:18">
      <c r="R611" s="483"/>
    </row>
    <row r="612" spans="18:18">
      <c r="R612" s="483"/>
    </row>
    <row r="613" spans="18:18">
      <c r="R613" s="483"/>
    </row>
    <row r="614" spans="18:18">
      <c r="R614" s="483"/>
    </row>
    <row r="615" spans="18:18">
      <c r="R615" s="483"/>
    </row>
    <row r="616" spans="18:18">
      <c r="R616" s="483"/>
    </row>
    <row r="617" spans="18:18">
      <c r="R617" s="483"/>
    </row>
    <row r="618" spans="18:18">
      <c r="R618" s="483"/>
    </row>
    <row r="619" spans="18:18">
      <c r="R619" s="483"/>
    </row>
    <row r="620" spans="18:18">
      <c r="R620" s="483"/>
    </row>
    <row r="621" spans="18:18">
      <c r="R621" s="483"/>
    </row>
    <row r="622" spans="18:18">
      <c r="R622" s="483"/>
    </row>
    <row r="623" spans="18:18">
      <c r="R623" s="483"/>
    </row>
    <row r="624" spans="18:18">
      <c r="R624" s="483"/>
    </row>
    <row r="625" spans="18:18">
      <c r="R625" s="483"/>
    </row>
    <row r="626" spans="18:18">
      <c r="R626" s="483"/>
    </row>
    <row r="627" spans="18:18">
      <c r="R627" s="483"/>
    </row>
    <row r="628" spans="18:18">
      <c r="R628" s="483"/>
    </row>
    <row r="629" spans="18:18">
      <c r="R629" s="483"/>
    </row>
    <row r="630" spans="18:18">
      <c r="R630" s="483"/>
    </row>
    <row r="631" spans="18:18">
      <c r="R631" s="483"/>
    </row>
    <row r="632" spans="18:18">
      <c r="R632" s="483"/>
    </row>
    <row r="633" spans="18:18">
      <c r="R633" s="483"/>
    </row>
    <row r="634" spans="18:18">
      <c r="R634" s="483"/>
    </row>
    <row r="635" spans="18:18">
      <c r="R635" s="483"/>
    </row>
    <row r="636" spans="18:18">
      <c r="R636" s="483"/>
    </row>
    <row r="637" spans="18:18">
      <c r="R637" s="483"/>
    </row>
    <row r="638" spans="18:18">
      <c r="R638" s="483"/>
    </row>
    <row r="639" spans="18:18">
      <c r="R639" s="483"/>
    </row>
    <row r="640" spans="18:18">
      <c r="R640" s="483"/>
    </row>
    <row r="641" spans="18:18">
      <c r="R641" s="483"/>
    </row>
    <row r="642" spans="18:18">
      <c r="R642" s="483"/>
    </row>
    <row r="643" spans="18:18">
      <c r="R643" s="483"/>
    </row>
    <row r="644" spans="18:18">
      <c r="R644" s="483"/>
    </row>
    <row r="645" spans="18:18">
      <c r="R645" s="483"/>
    </row>
    <row r="646" spans="18:18">
      <c r="R646" s="483"/>
    </row>
    <row r="647" spans="18:18">
      <c r="R647" s="483"/>
    </row>
    <row r="648" spans="18:18">
      <c r="R648" s="483"/>
    </row>
    <row r="649" spans="18:18">
      <c r="R649" s="483"/>
    </row>
    <row r="650" spans="18:18">
      <c r="R650" s="483"/>
    </row>
    <row r="651" spans="18:18">
      <c r="R651" s="483"/>
    </row>
    <row r="652" spans="18:18">
      <c r="R652" s="483"/>
    </row>
    <row r="653" spans="18:18">
      <c r="R653" s="483"/>
    </row>
    <row r="654" spans="18:18">
      <c r="R654" s="483"/>
    </row>
    <row r="655" spans="18:18">
      <c r="R655" s="483"/>
    </row>
    <row r="656" spans="18:18">
      <c r="R656" s="483"/>
    </row>
    <row r="657" spans="18:18">
      <c r="R657" s="483"/>
    </row>
    <row r="658" spans="18:18">
      <c r="R658" s="483"/>
    </row>
    <row r="659" spans="18:18">
      <c r="R659" s="483"/>
    </row>
    <row r="660" spans="18:18">
      <c r="R660" s="483"/>
    </row>
    <row r="661" spans="18:18">
      <c r="R661" s="483"/>
    </row>
    <row r="662" spans="18:18">
      <c r="R662" s="483"/>
    </row>
    <row r="663" spans="18:18">
      <c r="R663" s="483"/>
    </row>
    <row r="664" spans="18:18">
      <c r="R664" s="483"/>
    </row>
    <row r="665" spans="18:18">
      <c r="R665" s="483"/>
    </row>
    <row r="666" spans="18:18">
      <c r="R666" s="483"/>
    </row>
    <row r="667" spans="18:18">
      <c r="R667" s="483"/>
    </row>
    <row r="668" spans="18:18">
      <c r="R668" s="483"/>
    </row>
    <row r="669" spans="18:18">
      <c r="R669" s="483"/>
    </row>
    <row r="670" spans="18:18">
      <c r="R670" s="483"/>
    </row>
    <row r="671" spans="18:18">
      <c r="R671" s="483"/>
    </row>
    <row r="672" spans="18:18">
      <c r="R672" s="483"/>
    </row>
    <row r="673" spans="18:18">
      <c r="R673" s="483"/>
    </row>
    <row r="674" spans="18:18">
      <c r="R674" s="483"/>
    </row>
    <row r="675" spans="18:18">
      <c r="R675" s="483"/>
    </row>
    <row r="676" spans="18:18">
      <c r="R676" s="483"/>
    </row>
    <row r="677" spans="18:18">
      <c r="R677" s="483"/>
    </row>
    <row r="678" spans="18:18">
      <c r="R678" s="483"/>
    </row>
    <row r="679" spans="18:18">
      <c r="R679" s="483"/>
    </row>
    <row r="680" spans="18:18">
      <c r="R680" s="483"/>
    </row>
    <row r="681" spans="18:18">
      <c r="R681" s="483"/>
    </row>
    <row r="682" spans="18:18">
      <c r="R682" s="483"/>
    </row>
    <row r="683" spans="18:18">
      <c r="R683" s="483"/>
    </row>
    <row r="684" spans="18:18">
      <c r="R684" s="483"/>
    </row>
    <row r="685" spans="18:18">
      <c r="R685" s="483"/>
    </row>
    <row r="686" spans="18:18">
      <c r="R686" s="483"/>
    </row>
    <row r="687" spans="18:18">
      <c r="R687" s="483"/>
    </row>
    <row r="688" spans="18:18">
      <c r="R688" s="483"/>
    </row>
    <row r="689" spans="18:18">
      <c r="R689" s="483"/>
    </row>
    <row r="690" spans="18:18">
      <c r="R690" s="483"/>
    </row>
    <row r="691" spans="18:18">
      <c r="R691" s="483"/>
    </row>
    <row r="692" spans="18:18">
      <c r="R692" s="483"/>
    </row>
    <row r="693" spans="18:18">
      <c r="R693" s="483"/>
    </row>
    <row r="694" spans="18:18">
      <c r="R694" s="483"/>
    </row>
    <row r="695" spans="18:18">
      <c r="R695" s="483"/>
    </row>
    <row r="696" spans="18:18">
      <c r="R696" s="483"/>
    </row>
    <row r="697" spans="18:18">
      <c r="R697" s="483"/>
    </row>
    <row r="698" spans="18:18">
      <c r="R698" s="483"/>
    </row>
    <row r="699" spans="18:18">
      <c r="R699" s="483"/>
    </row>
    <row r="700" spans="18:18">
      <c r="R700" s="483"/>
    </row>
    <row r="701" spans="18:18">
      <c r="R701" s="483"/>
    </row>
    <row r="702" spans="18:18">
      <c r="R702" s="483"/>
    </row>
    <row r="703" spans="18:18">
      <c r="R703" s="483"/>
    </row>
    <row r="704" spans="18:18">
      <c r="R704" s="483"/>
    </row>
    <row r="705" spans="18:18">
      <c r="R705" s="483"/>
    </row>
    <row r="706" spans="18:18">
      <c r="R706" s="483"/>
    </row>
    <row r="707" spans="18:18">
      <c r="R707" s="483"/>
    </row>
    <row r="708" spans="18:18">
      <c r="R708" s="483"/>
    </row>
    <row r="709" spans="18:18">
      <c r="R709" s="483"/>
    </row>
    <row r="710" spans="18:18">
      <c r="R710" s="483"/>
    </row>
    <row r="711" spans="18:18">
      <c r="R711" s="483"/>
    </row>
    <row r="712" spans="18:18">
      <c r="R712" s="483"/>
    </row>
    <row r="713" spans="18:18">
      <c r="R713" s="483"/>
    </row>
    <row r="714" spans="18:18">
      <c r="R714" s="483"/>
    </row>
    <row r="715" spans="18:18">
      <c r="R715" s="483"/>
    </row>
    <row r="716" spans="18:18">
      <c r="R716" s="483"/>
    </row>
    <row r="717" spans="18:18">
      <c r="R717" s="483"/>
    </row>
    <row r="718" spans="18:18">
      <c r="R718" s="483"/>
    </row>
    <row r="719" spans="18:18">
      <c r="R719" s="483"/>
    </row>
    <row r="720" spans="18:18">
      <c r="R720" s="483"/>
    </row>
    <row r="721" spans="18:18">
      <c r="R721" s="483"/>
    </row>
    <row r="722" spans="18:18">
      <c r="R722" s="483"/>
    </row>
    <row r="723" spans="18:18">
      <c r="R723" s="483"/>
    </row>
    <row r="724" spans="18:18">
      <c r="R724" s="483"/>
    </row>
    <row r="725" spans="18:18">
      <c r="R725" s="483"/>
    </row>
    <row r="726" spans="18:18">
      <c r="R726" s="483"/>
    </row>
    <row r="727" spans="18:18">
      <c r="R727" s="483"/>
    </row>
    <row r="728" spans="18:18">
      <c r="R728" s="483"/>
    </row>
    <row r="729" spans="18:18">
      <c r="R729" s="483"/>
    </row>
    <row r="730" spans="18:18">
      <c r="R730" s="483"/>
    </row>
    <row r="731" spans="18:18">
      <c r="R731" s="483"/>
    </row>
    <row r="732" spans="18:18">
      <c r="R732" s="483"/>
    </row>
    <row r="733" spans="18:18">
      <c r="R733" s="483"/>
    </row>
    <row r="734" spans="18:18">
      <c r="R734" s="483"/>
    </row>
    <row r="735" spans="18:18">
      <c r="R735" s="483"/>
    </row>
    <row r="736" spans="18:18">
      <c r="R736" s="483"/>
    </row>
    <row r="737" spans="18:18">
      <c r="R737" s="483"/>
    </row>
    <row r="738" spans="18:18">
      <c r="R738" s="483"/>
    </row>
    <row r="739" spans="18:18">
      <c r="R739" s="483"/>
    </row>
    <row r="740" spans="18:18">
      <c r="R740" s="483"/>
    </row>
    <row r="741" spans="18:18">
      <c r="R741" s="483"/>
    </row>
    <row r="742" spans="18:18">
      <c r="R742" s="483"/>
    </row>
    <row r="743" spans="18:18">
      <c r="R743" s="483"/>
    </row>
    <row r="744" spans="18:18">
      <c r="R744" s="483"/>
    </row>
    <row r="745" spans="18:18">
      <c r="R745" s="483"/>
    </row>
    <row r="746" spans="18:18">
      <c r="R746" s="483"/>
    </row>
    <row r="747" spans="18:18">
      <c r="R747" s="483"/>
    </row>
    <row r="748" spans="18:18">
      <c r="R748" s="483"/>
    </row>
    <row r="749" spans="18:18">
      <c r="R749" s="483"/>
    </row>
    <row r="750" spans="18:18">
      <c r="R750" s="483"/>
    </row>
    <row r="751" spans="18:18">
      <c r="R751" s="483"/>
    </row>
    <row r="752" spans="18:18">
      <c r="R752" s="483"/>
    </row>
    <row r="753" spans="18:18">
      <c r="R753" s="483"/>
    </row>
    <row r="754" spans="18:18">
      <c r="R754" s="483"/>
    </row>
    <row r="755" spans="18:18">
      <c r="R755" s="483"/>
    </row>
    <row r="756" spans="18:18">
      <c r="R756" s="483"/>
    </row>
    <row r="757" spans="18:18">
      <c r="R757" s="483"/>
    </row>
    <row r="758" spans="18:18">
      <c r="R758" s="483"/>
    </row>
    <row r="759" spans="18:18">
      <c r="R759" s="483"/>
    </row>
    <row r="760" spans="18:18">
      <c r="R760" s="483"/>
    </row>
    <row r="761" spans="18:18">
      <c r="R761" s="483"/>
    </row>
    <row r="762" spans="18:18">
      <c r="R762" s="483"/>
    </row>
    <row r="763" spans="18:18">
      <c r="R763" s="483"/>
    </row>
    <row r="764" spans="18:18">
      <c r="R764" s="483"/>
    </row>
    <row r="765" spans="18:18">
      <c r="R765" s="483"/>
    </row>
    <row r="766" spans="18:18">
      <c r="R766" s="483"/>
    </row>
    <row r="767" spans="18:18">
      <c r="R767" s="483"/>
    </row>
    <row r="768" spans="18:18">
      <c r="R768" s="483"/>
    </row>
    <row r="769" spans="18:18">
      <c r="R769" s="483"/>
    </row>
    <row r="770" spans="18:18">
      <c r="R770" s="483"/>
    </row>
    <row r="771" spans="18:18">
      <c r="R771" s="483"/>
    </row>
    <row r="772" spans="18:18">
      <c r="R772" s="483"/>
    </row>
    <row r="773" spans="18:18">
      <c r="R773" s="483"/>
    </row>
    <row r="774" spans="18:18">
      <c r="R774" s="483"/>
    </row>
    <row r="775" spans="18:18">
      <c r="R775" s="483"/>
    </row>
    <row r="776" spans="18:18">
      <c r="R776" s="483"/>
    </row>
    <row r="777" spans="18:18">
      <c r="R777" s="483"/>
    </row>
    <row r="778" spans="18:18">
      <c r="R778" s="483"/>
    </row>
    <row r="779" spans="18:18">
      <c r="R779" s="483"/>
    </row>
    <row r="780" spans="18:18">
      <c r="R780" s="483"/>
    </row>
    <row r="781" spans="18:18">
      <c r="R781" s="483"/>
    </row>
    <row r="782" spans="18:18">
      <c r="R782" s="483"/>
    </row>
    <row r="783" spans="18:18">
      <c r="R783" s="483"/>
    </row>
    <row r="784" spans="18:18">
      <c r="R784" s="483"/>
    </row>
    <row r="785" spans="18:18">
      <c r="R785" s="483"/>
    </row>
    <row r="786" spans="18:18">
      <c r="R786" s="483"/>
    </row>
    <row r="787" spans="18:18">
      <c r="R787" s="483"/>
    </row>
    <row r="788" spans="18:18">
      <c r="R788" s="483"/>
    </row>
    <row r="789" spans="18:18">
      <c r="R789" s="483"/>
    </row>
    <row r="790" spans="18:18">
      <c r="R790" s="483"/>
    </row>
    <row r="791" spans="18:18">
      <c r="R791" s="483"/>
    </row>
    <row r="792" spans="18:18">
      <c r="R792" s="483"/>
    </row>
    <row r="793" spans="18:18">
      <c r="R793" s="483"/>
    </row>
    <row r="794" spans="18:18">
      <c r="R794" s="483"/>
    </row>
    <row r="795" spans="18:18">
      <c r="R795" s="483"/>
    </row>
    <row r="796" spans="18:18">
      <c r="R796" s="483"/>
    </row>
    <row r="797" spans="18:18">
      <c r="R797" s="483"/>
    </row>
    <row r="798" spans="18:18">
      <c r="R798" s="483"/>
    </row>
    <row r="799" spans="18:18">
      <c r="R799" s="483"/>
    </row>
    <row r="800" spans="18:18">
      <c r="R800" s="483"/>
    </row>
    <row r="801" spans="18:18">
      <c r="R801" s="483"/>
    </row>
    <row r="802" spans="18:18">
      <c r="R802" s="483"/>
    </row>
    <row r="803" spans="18:18">
      <c r="R803" s="483"/>
    </row>
    <row r="804" spans="18:18">
      <c r="R804" s="483"/>
    </row>
    <row r="805" spans="18:18">
      <c r="R805" s="483"/>
    </row>
    <row r="806" spans="18:18">
      <c r="R806" s="483"/>
    </row>
    <row r="807" spans="18:18">
      <c r="R807" s="483"/>
    </row>
    <row r="808" spans="18:18">
      <c r="R808" s="483"/>
    </row>
    <row r="809" spans="18:18">
      <c r="R809" s="483"/>
    </row>
    <row r="810" spans="18:18">
      <c r="R810" s="483"/>
    </row>
    <row r="811" spans="18:18">
      <c r="R811" s="483"/>
    </row>
    <row r="812" spans="18:18">
      <c r="R812" s="483"/>
    </row>
    <row r="813" spans="18:18">
      <c r="R813" s="483"/>
    </row>
    <row r="814" spans="18:18">
      <c r="R814" s="483"/>
    </row>
    <row r="815" spans="18:18">
      <c r="R815" s="483"/>
    </row>
    <row r="816" spans="18:18">
      <c r="R816" s="483"/>
    </row>
    <row r="817" spans="18:18">
      <c r="R817" s="483"/>
    </row>
    <row r="818" spans="18:18">
      <c r="R818" s="483"/>
    </row>
    <row r="819" spans="18:18">
      <c r="R819" s="483"/>
    </row>
    <row r="820" spans="18:18">
      <c r="R820" s="483"/>
    </row>
    <row r="821" spans="18:18">
      <c r="R821" s="483"/>
    </row>
    <row r="822" spans="18:18">
      <c r="R822" s="483"/>
    </row>
    <row r="823" spans="18:18">
      <c r="R823" s="483"/>
    </row>
    <row r="824" spans="18:18">
      <c r="R824" s="483"/>
    </row>
    <row r="825" spans="18:18">
      <c r="R825" s="483"/>
    </row>
    <row r="826" spans="18:18">
      <c r="R826" s="483"/>
    </row>
    <row r="827" spans="18:18">
      <c r="R827" s="483"/>
    </row>
    <row r="828" spans="18:18">
      <c r="R828" s="483"/>
    </row>
    <row r="829" spans="18:18">
      <c r="R829" s="483"/>
    </row>
    <row r="830" spans="18:18">
      <c r="R830" s="483"/>
    </row>
    <row r="831" spans="18:18">
      <c r="R831" s="483"/>
    </row>
    <row r="832" spans="18:18">
      <c r="R832" s="483"/>
    </row>
    <row r="833" spans="18:18">
      <c r="R833" s="483"/>
    </row>
    <row r="834" spans="18:18">
      <c r="R834" s="483"/>
    </row>
    <row r="835" spans="18:18">
      <c r="R835" s="483"/>
    </row>
    <row r="836" spans="18:18">
      <c r="R836" s="483"/>
    </row>
    <row r="837" spans="18:18">
      <c r="R837" s="483"/>
    </row>
    <row r="838" spans="18:18">
      <c r="R838" s="483"/>
    </row>
    <row r="839" spans="18:18">
      <c r="R839" s="483"/>
    </row>
    <row r="840" spans="18:18">
      <c r="R840" s="483"/>
    </row>
    <row r="841" spans="18:18">
      <c r="R841" s="483"/>
    </row>
    <row r="842" spans="18:18">
      <c r="R842" s="483"/>
    </row>
    <row r="843" spans="18:18">
      <c r="R843" s="483"/>
    </row>
    <row r="844" spans="18:18">
      <c r="R844" s="483"/>
    </row>
    <row r="845" spans="18:18">
      <c r="R845" s="483"/>
    </row>
    <row r="846" spans="18:18">
      <c r="R846" s="483"/>
    </row>
    <row r="847" spans="18:18">
      <c r="R847" s="483"/>
    </row>
    <row r="848" spans="18:18">
      <c r="R848" s="483"/>
    </row>
    <row r="849" spans="18:18">
      <c r="R849" s="483"/>
    </row>
    <row r="850" spans="18:18">
      <c r="R850" s="483"/>
    </row>
    <row r="851" spans="18:18">
      <c r="R851" s="483"/>
    </row>
    <row r="852" spans="18:18">
      <c r="R852" s="483"/>
    </row>
    <row r="853" spans="18:18">
      <c r="R853" s="483"/>
    </row>
    <row r="854" spans="18:18">
      <c r="R854" s="483"/>
    </row>
    <row r="855" spans="18:18">
      <c r="R855" s="483"/>
    </row>
    <row r="856" spans="18:18">
      <c r="R856" s="483"/>
    </row>
    <row r="857" spans="18:18">
      <c r="R857" s="483"/>
    </row>
    <row r="858" spans="18:18">
      <c r="R858" s="483"/>
    </row>
    <row r="859" spans="18:18">
      <c r="R859" s="483"/>
    </row>
    <row r="860" spans="18:18">
      <c r="R860" s="483"/>
    </row>
    <row r="861" spans="18:18">
      <c r="R861" s="483"/>
    </row>
    <row r="862" spans="18:18">
      <c r="R862" s="483"/>
    </row>
    <row r="863" spans="18:18">
      <c r="R863" s="483"/>
    </row>
    <row r="864" spans="18:18">
      <c r="R864" s="483"/>
    </row>
    <row r="865" spans="18:18">
      <c r="R865" s="483"/>
    </row>
    <row r="866" spans="18:18">
      <c r="R866" s="483"/>
    </row>
    <row r="867" spans="18:18">
      <c r="R867" s="483"/>
    </row>
    <row r="868" spans="18:18">
      <c r="R868" s="483"/>
    </row>
    <row r="869" spans="18:18">
      <c r="R869" s="483"/>
    </row>
    <row r="870" spans="18:18">
      <c r="R870" s="483"/>
    </row>
    <row r="871" spans="18:18">
      <c r="R871" s="483"/>
    </row>
    <row r="872" spans="18:18">
      <c r="R872" s="483"/>
    </row>
    <row r="873" spans="18:18">
      <c r="R873" s="483"/>
    </row>
    <row r="874" spans="18:18">
      <c r="R874" s="483"/>
    </row>
    <row r="875" spans="18:18">
      <c r="R875" s="483"/>
    </row>
    <row r="876" spans="18:18">
      <c r="R876" s="483"/>
    </row>
    <row r="877" spans="18:18">
      <c r="R877" s="483"/>
    </row>
    <row r="878" spans="18:18">
      <c r="R878" s="483"/>
    </row>
    <row r="879" spans="18:18">
      <c r="R879" s="483"/>
    </row>
    <row r="880" spans="18:18">
      <c r="R880" s="483"/>
    </row>
    <row r="881" spans="18:18">
      <c r="R881" s="483"/>
    </row>
    <row r="882" spans="18:18">
      <c r="R882" s="483"/>
    </row>
    <row r="883" spans="18:18">
      <c r="R883" s="483"/>
    </row>
    <row r="884" spans="18:18">
      <c r="R884" s="483"/>
    </row>
    <row r="885" spans="18:18">
      <c r="R885" s="483"/>
    </row>
    <row r="886" spans="18:18">
      <c r="R886" s="483"/>
    </row>
    <row r="887" spans="18:18">
      <c r="R887" s="483"/>
    </row>
    <row r="888" spans="18:18">
      <c r="R888" s="483"/>
    </row>
    <row r="889" spans="18:18">
      <c r="R889" s="483"/>
    </row>
    <row r="890" spans="18:18">
      <c r="R890" s="483"/>
    </row>
    <row r="891" spans="18:18">
      <c r="R891" s="483"/>
    </row>
    <row r="892" spans="18:18">
      <c r="R892" s="483"/>
    </row>
    <row r="893" spans="18:18">
      <c r="R893" s="483"/>
    </row>
    <row r="894" spans="18:18">
      <c r="R894" s="483"/>
    </row>
    <row r="895" spans="18:18">
      <c r="R895" s="483"/>
    </row>
    <row r="896" spans="18:18">
      <c r="R896" s="483"/>
    </row>
    <row r="897" spans="18:18">
      <c r="R897" s="483"/>
    </row>
    <row r="898" spans="18:18">
      <c r="R898" s="483"/>
    </row>
    <row r="899" spans="18:18">
      <c r="R899" s="483"/>
    </row>
    <row r="900" spans="18:18">
      <c r="R900" s="483"/>
    </row>
    <row r="901" spans="18:18">
      <c r="R901" s="483"/>
    </row>
    <row r="902" spans="18:18">
      <c r="R902" s="483"/>
    </row>
    <row r="903" spans="18:18">
      <c r="R903" s="483"/>
    </row>
    <row r="904" spans="18:18">
      <c r="R904" s="483"/>
    </row>
    <row r="905" spans="18:18">
      <c r="R905" s="483"/>
    </row>
    <row r="906" spans="18:18">
      <c r="R906" s="483"/>
    </row>
    <row r="907" spans="18:18">
      <c r="R907" s="483"/>
    </row>
    <row r="908" spans="18:18">
      <c r="R908" s="483"/>
    </row>
    <row r="909" spans="18:18">
      <c r="R909" s="483"/>
    </row>
    <row r="910" spans="18:18">
      <c r="R910" s="483"/>
    </row>
    <row r="911" spans="18:18">
      <c r="R911" s="483"/>
    </row>
    <row r="912" spans="18:18">
      <c r="R912" s="483"/>
    </row>
    <row r="913" spans="18:18">
      <c r="R913" s="483"/>
    </row>
    <row r="914" spans="18:18">
      <c r="R914" s="483"/>
    </row>
    <row r="915" spans="18:18">
      <c r="R915" s="483"/>
    </row>
    <row r="916" spans="18:18">
      <c r="R916" s="483"/>
    </row>
    <row r="917" spans="18:18">
      <c r="R917" s="483"/>
    </row>
    <row r="918" spans="18:18">
      <c r="R918" s="483"/>
    </row>
    <row r="919" spans="18:18">
      <c r="R919" s="483"/>
    </row>
    <row r="920" spans="18:18">
      <c r="R920" s="483"/>
    </row>
    <row r="921" spans="18:18">
      <c r="R921" s="483"/>
    </row>
    <row r="922" spans="18:18">
      <c r="R922" s="483"/>
    </row>
    <row r="923" spans="18:18">
      <c r="R923" s="483"/>
    </row>
    <row r="924" spans="18:18">
      <c r="R924" s="483"/>
    </row>
    <row r="925" spans="18:18">
      <c r="R925" s="483"/>
    </row>
    <row r="926" spans="18:18">
      <c r="R926" s="483"/>
    </row>
    <row r="927" spans="18:18">
      <c r="R927" s="483"/>
    </row>
    <row r="928" spans="18:18">
      <c r="R928" s="483"/>
    </row>
    <row r="929" spans="18:18">
      <c r="R929" s="483"/>
    </row>
    <row r="930" spans="18:18">
      <c r="R930" s="483"/>
    </row>
    <row r="931" spans="18:18">
      <c r="R931" s="483"/>
    </row>
    <row r="932" spans="18:18">
      <c r="R932" s="483"/>
    </row>
    <row r="933" spans="18:18">
      <c r="R933" s="483"/>
    </row>
    <row r="934" spans="18:18">
      <c r="R934" s="483"/>
    </row>
    <row r="935" spans="18:18">
      <c r="R935" s="483"/>
    </row>
    <row r="936" spans="18:18">
      <c r="R936" s="483"/>
    </row>
    <row r="937" spans="18:18">
      <c r="R937" s="483"/>
    </row>
    <row r="938" spans="18:18">
      <c r="R938" s="483"/>
    </row>
    <row r="939" spans="18:18">
      <c r="R939" s="483"/>
    </row>
    <row r="940" spans="18:18">
      <c r="R940" s="483"/>
    </row>
    <row r="941" spans="18:18">
      <c r="R941" s="483"/>
    </row>
    <row r="942" spans="18:18">
      <c r="R942" s="483"/>
    </row>
    <row r="943" spans="18:18">
      <c r="R943" s="483"/>
    </row>
    <row r="944" spans="18:18">
      <c r="R944" s="483"/>
    </row>
    <row r="945" spans="18:18">
      <c r="R945" s="483"/>
    </row>
    <row r="946" spans="18:18">
      <c r="R946" s="483"/>
    </row>
    <row r="947" spans="18:18">
      <c r="R947" s="483"/>
    </row>
    <row r="948" spans="18:18">
      <c r="R948" s="483"/>
    </row>
    <row r="949" spans="18:18">
      <c r="R949" s="483"/>
    </row>
    <row r="950" spans="18:18">
      <c r="R950" s="483"/>
    </row>
    <row r="951" spans="18:18">
      <c r="R951" s="483"/>
    </row>
    <row r="952" spans="18:18">
      <c r="R952" s="483"/>
    </row>
    <row r="953" spans="18:18">
      <c r="R953" s="483"/>
    </row>
    <row r="954" spans="18:18">
      <c r="R954" s="483"/>
    </row>
    <row r="955" spans="18:18">
      <c r="R955" s="483"/>
    </row>
    <row r="956" spans="18:18">
      <c r="R956" s="483"/>
    </row>
    <row r="957" spans="18:18">
      <c r="R957" s="483"/>
    </row>
    <row r="958" spans="18:18">
      <c r="R958" s="483"/>
    </row>
    <row r="959" spans="18:18">
      <c r="R959" s="483"/>
    </row>
    <row r="960" spans="18:18">
      <c r="R960" s="483"/>
    </row>
    <row r="961" spans="18:18">
      <c r="R961" s="483"/>
    </row>
    <row r="962" spans="18:18">
      <c r="R962" s="483"/>
    </row>
    <row r="963" spans="18:18">
      <c r="R963" s="483"/>
    </row>
    <row r="964" spans="18:18">
      <c r="R964" s="483"/>
    </row>
    <row r="965" spans="18:18">
      <c r="R965" s="483"/>
    </row>
    <row r="966" spans="18:18">
      <c r="R966" s="483"/>
    </row>
    <row r="967" spans="18:18">
      <c r="R967" s="483"/>
    </row>
    <row r="968" spans="18:18">
      <c r="R968" s="483"/>
    </row>
    <row r="969" spans="18:18">
      <c r="R969" s="483"/>
    </row>
    <row r="970" spans="18:18">
      <c r="R970" s="483"/>
    </row>
    <row r="971" spans="18:18">
      <c r="R971" s="483"/>
    </row>
    <row r="972" spans="18:18">
      <c r="R972" s="483"/>
    </row>
    <row r="973" spans="18:18">
      <c r="R973" s="483"/>
    </row>
    <row r="974" spans="18:18">
      <c r="R974" s="483"/>
    </row>
    <row r="975" spans="18:18">
      <c r="R975" s="483"/>
    </row>
    <row r="976" spans="18:18">
      <c r="R976" s="483"/>
    </row>
    <row r="977" spans="18:18">
      <c r="R977" s="483"/>
    </row>
    <row r="978" spans="18:18">
      <c r="R978" s="483"/>
    </row>
    <row r="979" spans="18:18">
      <c r="R979" s="483"/>
    </row>
    <row r="980" spans="18:18">
      <c r="R980" s="483"/>
    </row>
    <row r="981" spans="18:18">
      <c r="R981" s="483"/>
    </row>
    <row r="982" spans="18:18">
      <c r="R982" s="483"/>
    </row>
    <row r="983" spans="18:18">
      <c r="R983" s="483"/>
    </row>
    <row r="984" spans="18:18">
      <c r="R984" s="483"/>
    </row>
    <row r="985" spans="18:18">
      <c r="R985" s="483"/>
    </row>
    <row r="986" spans="18:18">
      <c r="R986" s="483"/>
    </row>
    <row r="987" spans="18:18">
      <c r="R987" s="483"/>
    </row>
    <row r="988" spans="18:18">
      <c r="R988" s="483"/>
    </row>
    <row r="989" spans="18:18">
      <c r="R989" s="483"/>
    </row>
    <row r="990" spans="18:18">
      <c r="R990" s="483"/>
    </row>
    <row r="991" spans="18:18">
      <c r="R991" s="483"/>
    </row>
    <row r="992" spans="18:18">
      <c r="R992" s="483"/>
    </row>
    <row r="993" spans="18:18">
      <c r="R993" s="483"/>
    </row>
    <row r="994" spans="18:18">
      <c r="R994" s="483"/>
    </row>
    <row r="995" spans="18:18">
      <c r="R995" s="483"/>
    </row>
    <row r="996" spans="18:18">
      <c r="R996" s="483"/>
    </row>
    <row r="997" spans="18:18">
      <c r="R997" s="483"/>
    </row>
    <row r="998" spans="18:18">
      <c r="R998" s="483"/>
    </row>
    <row r="999" spans="18:18">
      <c r="R999" s="483"/>
    </row>
    <row r="1000" spans="18:18">
      <c r="R1000" s="483"/>
    </row>
    <row r="1001" spans="18:18">
      <c r="R1001" s="483"/>
    </row>
    <row r="1002" spans="18:18">
      <c r="R1002" s="483"/>
    </row>
    <row r="1003" spans="18:18">
      <c r="R1003" s="483"/>
    </row>
    <row r="1004" spans="18:18">
      <c r="R1004" s="483"/>
    </row>
    <row r="1005" spans="18:18">
      <c r="R1005" s="483"/>
    </row>
    <row r="1006" spans="18:18">
      <c r="R1006" s="483"/>
    </row>
    <row r="1007" spans="18:18">
      <c r="R1007" s="483"/>
    </row>
    <row r="1008" spans="18:18">
      <c r="R1008" s="483"/>
    </row>
    <row r="1009" spans="18:18">
      <c r="R1009" s="483"/>
    </row>
    <row r="1010" spans="18:18">
      <c r="R1010" s="483"/>
    </row>
    <row r="1011" spans="18:18">
      <c r="R1011" s="483"/>
    </row>
    <row r="1012" spans="18:18">
      <c r="R1012" s="483"/>
    </row>
    <row r="1013" spans="18:18">
      <c r="R1013" s="483"/>
    </row>
    <row r="1014" spans="18:18">
      <c r="R1014" s="483"/>
    </row>
    <row r="1015" spans="18:18">
      <c r="R1015" s="483"/>
    </row>
    <row r="1016" spans="18:18">
      <c r="R1016" s="483"/>
    </row>
    <row r="1017" spans="18:18">
      <c r="R1017" s="483"/>
    </row>
    <row r="1018" spans="18:18">
      <c r="R1018" s="483"/>
    </row>
    <row r="1019" spans="18:18">
      <c r="R1019" s="483"/>
    </row>
    <row r="1020" spans="18:18">
      <c r="R1020" s="483"/>
    </row>
    <row r="1021" spans="18:18">
      <c r="R1021" s="483"/>
    </row>
    <row r="1022" spans="18:18">
      <c r="R1022" s="483"/>
    </row>
    <row r="1023" spans="18:18">
      <c r="R1023" s="483"/>
    </row>
    <row r="1024" spans="18:18">
      <c r="R1024" s="483"/>
    </row>
    <row r="1025" spans="18:18">
      <c r="R1025" s="483"/>
    </row>
    <row r="1026" spans="18:18">
      <c r="R1026" s="483"/>
    </row>
    <row r="1027" spans="18:18">
      <c r="R1027" s="483"/>
    </row>
    <row r="1028" spans="18:18">
      <c r="R1028" s="483"/>
    </row>
    <row r="1029" spans="18:18">
      <c r="R1029" s="483"/>
    </row>
    <row r="1030" spans="18:18">
      <c r="R1030" s="483"/>
    </row>
    <row r="1031" spans="18:18">
      <c r="R1031" s="483"/>
    </row>
    <row r="1032" spans="18:18">
      <c r="R1032" s="483"/>
    </row>
    <row r="1033" spans="18:18">
      <c r="R1033" s="483"/>
    </row>
    <row r="1034" spans="18:18">
      <c r="R1034" s="483"/>
    </row>
    <row r="1035" spans="18:18">
      <c r="R1035" s="483"/>
    </row>
    <row r="1036" spans="18:18">
      <c r="R1036" s="483"/>
    </row>
    <row r="1037" spans="18:18">
      <c r="R1037" s="483"/>
    </row>
    <row r="1038" spans="18:18">
      <c r="R1038" s="483"/>
    </row>
    <row r="1039" spans="18:18">
      <c r="R1039" s="483"/>
    </row>
    <row r="1040" spans="18:18">
      <c r="R1040" s="483"/>
    </row>
    <row r="1041" spans="18:18">
      <c r="R1041" s="483"/>
    </row>
    <row r="1042" spans="18:18">
      <c r="R1042" s="483"/>
    </row>
    <row r="1043" spans="18:18">
      <c r="R1043" s="483"/>
    </row>
    <row r="1044" spans="18:18">
      <c r="R1044" s="483"/>
    </row>
    <row r="1045" spans="18:18">
      <c r="R1045" s="483"/>
    </row>
    <row r="1046" spans="18:18">
      <c r="R1046" s="483"/>
    </row>
    <row r="1047" spans="18:18">
      <c r="R1047" s="483"/>
    </row>
    <row r="1048" spans="18:18">
      <c r="R1048" s="483"/>
    </row>
    <row r="1049" spans="18:18">
      <c r="R1049" s="483"/>
    </row>
    <row r="1050" spans="18:18">
      <c r="R1050" s="483"/>
    </row>
    <row r="1051" spans="18:18">
      <c r="R1051" s="483"/>
    </row>
    <row r="1052" spans="18:18">
      <c r="R1052" s="483"/>
    </row>
    <row r="1053" spans="18:18">
      <c r="R1053" s="483"/>
    </row>
    <row r="1054" spans="18:18">
      <c r="R1054" s="483"/>
    </row>
    <row r="1055" spans="18:18">
      <c r="R1055" s="483"/>
    </row>
    <row r="1056" spans="18:18">
      <c r="R1056" s="483"/>
    </row>
    <row r="1057" spans="18:18">
      <c r="R1057" s="483"/>
    </row>
    <row r="1058" spans="18:18">
      <c r="R1058" s="483"/>
    </row>
    <row r="1059" spans="18:18">
      <c r="R1059" s="483"/>
    </row>
    <row r="1060" spans="18:18">
      <c r="R1060" s="483"/>
    </row>
    <row r="1061" spans="18:18">
      <c r="R1061" s="483"/>
    </row>
    <row r="1062" spans="18:18">
      <c r="R1062" s="483"/>
    </row>
    <row r="1063" spans="18:18">
      <c r="R1063" s="483"/>
    </row>
    <row r="1064" spans="18:18">
      <c r="R1064" s="483"/>
    </row>
    <row r="1065" spans="18:18">
      <c r="R1065" s="483"/>
    </row>
    <row r="1066" spans="18:18">
      <c r="R1066" s="483"/>
    </row>
    <row r="1067" spans="18:18">
      <c r="R1067" s="483"/>
    </row>
    <row r="1068" spans="18:18">
      <c r="R1068" s="483"/>
    </row>
    <row r="1069" spans="18:18">
      <c r="R1069" s="483"/>
    </row>
    <row r="1070" spans="18:18">
      <c r="R1070" s="483"/>
    </row>
    <row r="1071" spans="18:18">
      <c r="R1071" s="483"/>
    </row>
    <row r="1072" spans="18:18">
      <c r="R1072" s="483"/>
    </row>
    <row r="1073" spans="18:18">
      <c r="R1073" s="483"/>
    </row>
    <row r="1074" spans="18:18">
      <c r="R1074" s="483"/>
    </row>
    <row r="1075" spans="18:18">
      <c r="R1075" s="483"/>
    </row>
    <row r="1076" spans="18:18">
      <c r="R1076" s="483"/>
    </row>
    <row r="1077" spans="18:18">
      <c r="R1077" s="483"/>
    </row>
    <row r="1078" spans="18:18">
      <c r="R1078" s="483"/>
    </row>
    <row r="1079" spans="18:18">
      <c r="R1079" s="483"/>
    </row>
    <row r="1080" spans="18:18">
      <c r="R1080" s="483"/>
    </row>
    <row r="1081" spans="18:18">
      <c r="R1081" s="483"/>
    </row>
    <row r="1082" spans="18:18">
      <c r="R1082" s="483"/>
    </row>
    <row r="1083" spans="18:18">
      <c r="R1083" s="483"/>
    </row>
    <row r="1084" spans="18:18">
      <c r="R1084" s="483"/>
    </row>
    <row r="1085" spans="18:18">
      <c r="R1085" s="483"/>
    </row>
    <row r="1086" spans="18:18">
      <c r="R1086" s="483"/>
    </row>
    <row r="1087" spans="18:18">
      <c r="R1087" s="483"/>
    </row>
    <row r="1088" spans="18:18">
      <c r="R1088" s="483"/>
    </row>
    <row r="1089" spans="18:18">
      <c r="R1089" s="483"/>
    </row>
    <row r="1090" spans="18:18">
      <c r="R1090" s="483"/>
    </row>
    <row r="1091" spans="18:18">
      <c r="R1091" s="483"/>
    </row>
    <row r="1092" spans="18:18">
      <c r="R1092" s="483"/>
    </row>
    <row r="1093" spans="18:18">
      <c r="R1093" s="483"/>
    </row>
    <row r="1094" spans="18:18">
      <c r="R1094" s="483"/>
    </row>
    <row r="1095" spans="18:18">
      <c r="R1095" s="483"/>
    </row>
    <row r="1096" spans="18:18">
      <c r="R1096" s="483"/>
    </row>
    <row r="1097" spans="18:18">
      <c r="R1097" s="483"/>
    </row>
    <row r="1098" spans="18:18">
      <c r="R1098" s="483"/>
    </row>
    <row r="1099" spans="18:18">
      <c r="R1099" s="483"/>
    </row>
    <row r="1100" spans="18:18">
      <c r="R1100" s="483"/>
    </row>
    <row r="1101" spans="18:18">
      <c r="R1101" s="483"/>
    </row>
    <row r="1102" spans="18:18">
      <c r="R1102" s="483"/>
    </row>
    <row r="1103" spans="18:18">
      <c r="R1103" s="483"/>
    </row>
    <row r="1104" spans="18:18">
      <c r="R1104" s="483"/>
    </row>
    <row r="1105" spans="18:18">
      <c r="R1105" s="483"/>
    </row>
    <row r="1106" spans="18:18">
      <c r="R1106" s="483"/>
    </row>
    <row r="1107" spans="18:18">
      <c r="R1107" s="483"/>
    </row>
    <row r="1108" spans="18:18">
      <c r="R1108" s="483"/>
    </row>
    <row r="1109" spans="18:18">
      <c r="R1109" s="483"/>
    </row>
    <row r="1110" spans="18:18">
      <c r="R1110" s="483"/>
    </row>
    <row r="1111" spans="18:18">
      <c r="R1111" s="483"/>
    </row>
    <row r="1112" spans="18:18">
      <c r="R1112" s="483"/>
    </row>
    <row r="1113" spans="18:18">
      <c r="R1113" s="483"/>
    </row>
    <row r="1114" spans="18:18">
      <c r="R1114" s="483"/>
    </row>
    <row r="1115" spans="18:18">
      <c r="R1115" s="483"/>
    </row>
    <row r="1116" spans="18:18">
      <c r="R1116" s="483"/>
    </row>
    <row r="1117" spans="18:18">
      <c r="R1117" s="483"/>
    </row>
    <row r="1118" spans="18:18">
      <c r="R1118" s="483"/>
    </row>
    <row r="1119" spans="18:18">
      <c r="R1119" s="483"/>
    </row>
    <row r="1120" spans="18:18">
      <c r="R1120" s="483"/>
    </row>
    <row r="1121" spans="18:18">
      <c r="R1121" s="483"/>
    </row>
    <row r="1122" spans="18:18">
      <c r="R1122" s="483"/>
    </row>
    <row r="1123" spans="18:18">
      <c r="R1123" s="483"/>
    </row>
    <row r="1124" spans="18:18">
      <c r="R1124" s="483"/>
    </row>
    <row r="1125" spans="18:18">
      <c r="R1125" s="483"/>
    </row>
    <row r="1126" spans="18:18">
      <c r="R1126" s="483"/>
    </row>
    <row r="1127" spans="18:18">
      <c r="R1127" s="483"/>
    </row>
    <row r="1128" spans="18:18">
      <c r="R1128" s="483"/>
    </row>
    <row r="1129" spans="18:18">
      <c r="R1129" s="483"/>
    </row>
    <row r="1130" spans="18:18">
      <c r="R1130" s="483"/>
    </row>
    <row r="1131" spans="18:18">
      <c r="R1131" s="483"/>
    </row>
    <row r="1132" spans="18:18">
      <c r="R1132" s="483"/>
    </row>
    <row r="1133" spans="18:18">
      <c r="R1133" s="483"/>
    </row>
    <row r="1134" spans="18:18">
      <c r="R1134" s="483"/>
    </row>
    <row r="1135" spans="18:18">
      <c r="R1135" s="483"/>
    </row>
    <row r="1136" spans="18:18">
      <c r="R1136" s="483"/>
    </row>
    <row r="1137" spans="18:18">
      <c r="R1137" s="483"/>
    </row>
    <row r="1138" spans="18:18">
      <c r="R1138" s="483"/>
    </row>
    <row r="1139" spans="18:18">
      <c r="R1139" s="483"/>
    </row>
    <row r="1140" spans="18:18">
      <c r="R1140" s="483"/>
    </row>
    <row r="1141" spans="18:18">
      <c r="R1141" s="483"/>
    </row>
    <row r="1142" spans="18:18">
      <c r="R1142" s="483"/>
    </row>
    <row r="1143" spans="18:18">
      <c r="R1143" s="483"/>
    </row>
    <row r="1144" spans="18:18">
      <c r="R1144" s="483"/>
    </row>
    <row r="1145" spans="18:18">
      <c r="R1145" s="483"/>
    </row>
    <row r="1146" spans="18:18">
      <c r="R1146" s="483"/>
    </row>
    <row r="1147" spans="18:18">
      <c r="R1147" s="483"/>
    </row>
    <row r="1148" spans="18:18">
      <c r="R1148" s="483"/>
    </row>
    <row r="1149" spans="18:18">
      <c r="R1149" s="483"/>
    </row>
    <row r="1150" spans="18:18">
      <c r="R1150" s="483"/>
    </row>
    <row r="1151" spans="18:18">
      <c r="R1151" s="483"/>
    </row>
    <row r="1152" spans="18:18">
      <c r="R1152" s="483"/>
    </row>
    <row r="1153" spans="18:18">
      <c r="R1153" s="483"/>
    </row>
    <row r="1154" spans="18:18">
      <c r="R1154" s="483"/>
    </row>
    <row r="1155" spans="18:18">
      <c r="R1155" s="483"/>
    </row>
    <row r="1156" spans="18:18">
      <c r="R1156" s="483"/>
    </row>
    <row r="1157" spans="18:18">
      <c r="R1157" s="483"/>
    </row>
    <row r="1158" spans="18:18">
      <c r="R1158" s="483"/>
    </row>
    <row r="1159" spans="18:18">
      <c r="R1159" s="483"/>
    </row>
    <row r="1160" spans="18:18">
      <c r="R1160" s="483"/>
    </row>
    <row r="1161" spans="18:18">
      <c r="R1161" s="483"/>
    </row>
    <row r="1162" spans="18:18">
      <c r="R1162" s="483"/>
    </row>
    <row r="1163" spans="18:18">
      <c r="R1163" s="483"/>
    </row>
    <row r="1164" spans="18:18">
      <c r="R1164" s="483"/>
    </row>
    <row r="1165" spans="18:18">
      <c r="R1165" s="483"/>
    </row>
    <row r="1166" spans="18:18">
      <c r="R1166" s="483"/>
    </row>
    <row r="1167" spans="18:18">
      <c r="R1167" s="483"/>
    </row>
    <row r="1168" spans="18:18">
      <c r="R1168" s="483"/>
    </row>
    <row r="1169" spans="18:18">
      <c r="R1169" s="483"/>
    </row>
    <row r="1170" spans="18:18">
      <c r="R1170" s="483"/>
    </row>
    <row r="1171" spans="18:18">
      <c r="R1171" s="483"/>
    </row>
    <row r="1172" spans="18:18">
      <c r="R1172" s="483"/>
    </row>
    <row r="1173" spans="18:18">
      <c r="R1173" s="483"/>
    </row>
    <row r="1174" spans="18:18">
      <c r="R1174" s="483"/>
    </row>
    <row r="1175" spans="18:18">
      <c r="R1175" s="483"/>
    </row>
    <row r="1176" spans="18:18">
      <c r="R1176" s="483"/>
    </row>
    <row r="1177" spans="18:18">
      <c r="R1177" s="483"/>
    </row>
    <row r="1178" spans="18:18">
      <c r="R1178" s="483"/>
    </row>
    <row r="1179" spans="18:18">
      <c r="R1179" s="483"/>
    </row>
    <row r="1180" spans="18:18">
      <c r="R1180" s="483"/>
    </row>
    <row r="1181" spans="18:18">
      <c r="R1181" s="483"/>
    </row>
    <row r="1182" spans="18:18">
      <c r="R1182" s="483"/>
    </row>
    <row r="1183" spans="18:18">
      <c r="R1183" s="483"/>
    </row>
    <row r="1184" spans="18:18">
      <c r="R1184" s="483"/>
    </row>
    <row r="1185" spans="18:18">
      <c r="R1185" s="483"/>
    </row>
    <row r="1186" spans="18:18">
      <c r="R1186" s="483"/>
    </row>
    <row r="1187" spans="18:18">
      <c r="R1187" s="483"/>
    </row>
    <row r="1188" spans="18:18">
      <c r="R1188" s="483"/>
    </row>
    <row r="1189" spans="18:18">
      <c r="R1189" s="483"/>
    </row>
    <row r="1190" spans="18:18">
      <c r="R1190" s="483"/>
    </row>
    <row r="1191" spans="18:18">
      <c r="R1191" s="483"/>
    </row>
    <row r="1192" spans="18:18">
      <c r="R1192" s="483"/>
    </row>
    <row r="1193" spans="18:18">
      <c r="R1193" s="483"/>
    </row>
    <row r="1194" spans="18:18">
      <c r="R1194" s="483"/>
    </row>
    <row r="1195" spans="18:18">
      <c r="R1195" s="483"/>
    </row>
    <row r="1196" spans="18:18">
      <c r="R1196" s="483"/>
    </row>
    <row r="1197" spans="18:18">
      <c r="R1197" s="483"/>
    </row>
    <row r="1198" spans="18:18">
      <c r="R1198" s="483"/>
    </row>
    <row r="1199" spans="18:18">
      <c r="R1199" s="483"/>
    </row>
    <row r="1200" spans="18:18">
      <c r="R1200" s="483"/>
    </row>
    <row r="1201" spans="18:18">
      <c r="R1201" s="483"/>
    </row>
    <row r="1202" spans="18:18">
      <c r="R1202" s="483"/>
    </row>
    <row r="1203" spans="18:18">
      <c r="R1203" s="483"/>
    </row>
    <row r="1204" spans="18:18">
      <c r="R1204" s="483"/>
    </row>
    <row r="1205" spans="18:18">
      <c r="R1205" s="483"/>
    </row>
    <row r="1206" spans="18:18">
      <c r="R1206" s="483"/>
    </row>
    <row r="1207" spans="18:18">
      <c r="R1207" s="483"/>
    </row>
    <row r="1208" spans="18:18">
      <c r="R1208" s="483"/>
    </row>
    <row r="1209" spans="18:18">
      <c r="R1209" s="483"/>
    </row>
    <row r="1210" spans="18:18">
      <c r="R1210" s="483"/>
    </row>
    <row r="1211" spans="18:18">
      <c r="R1211" s="483"/>
    </row>
    <row r="1212" spans="18:18">
      <c r="R1212" s="483"/>
    </row>
    <row r="1213" spans="18:18">
      <c r="R1213" s="483"/>
    </row>
    <row r="1214" spans="18:18">
      <c r="R1214" s="483"/>
    </row>
    <row r="1215" spans="18:18">
      <c r="R1215" s="483"/>
    </row>
    <row r="1216" spans="18:18">
      <c r="R1216" s="483"/>
    </row>
    <row r="1217" spans="18:18">
      <c r="R1217" s="483"/>
    </row>
    <row r="1218" spans="18:18">
      <c r="R1218" s="483"/>
    </row>
    <row r="1219" spans="18:18">
      <c r="R1219" s="483"/>
    </row>
    <row r="1220" spans="18:18">
      <c r="R1220" s="483"/>
    </row>
    <row r="1221" spans="18:18">
      <c r="R1221" s="483"/>
    </row>
    <row r="1222" spans="18:18">
      <c r="R1222" s="483"/>
    </row>
    <row r="1223" spans="18:18">
      <c r="R1223" s="483"/>
    </row>
    <row r="1224" spans="18:18">
      <c r="R1224" s="483"/>
    </row>
    <row r="1225" spans="18:18">
      <c r="R1225" s="483"/>
    </row>
    <row r="1226" spans="18:18">
      <c r="R1226" s="483"/>
    </row>
    <row r="1227" spans="18:18">
      <c r="R1227" s="483"/>
    </row>
    <row r="1228" spans="18:18">
      <c r="R1228" s="483"/>
    </row>
    <row r="1229" spans="18:18">
      <c r="R1229" s="483"/>
    </row>
    <row r="1230" spans="18:18">
      <c r="R1230" s="483"/>
    </row>
    <row r="1231" spans="18:18">
      <c r="R1231" s="483"/>
    </row>
    <row r="1232" spans="18:18">
      <c r="R1232" s="483"/>
    </row>
    <row r="1233" spans="18:18">
      <c r="R1233" s="483"/>
    </row>
    <row r="1234" spans="18:18">
      <c r="R1234" s="483"/>
    </row>
    <row r="1235" spans="18:18">
      <c r="R1235" s="483"/>
    </row>
    <row r="1236" spans="18:18">
      <c r="R1236" s="483"/>
    </row>
    <row r="1237" spans="18:18">
      <c r="R1237" s="483"/>
    </row>
    <row r="1238" spans="18:18">
      <c r="R1238" s="483"/>
    </row>
    <row r="1239" spans="18:18">
      <c r="R1239" s="483"/>
    </row>
    <row r="1240" spans="18:18">
      <c r="R1240" s="483"/>
    </row>
    <row r="1241" spans="18:18">
      <c r="R1241" s="483"/>
    </row>
    <row r="1242" spans="18:18">
      <c r="R1242" s="483"/>
    </row>
    <row r="1243" spans="18:18">
      <c r="R1243" s="483"/>
    </row>
    <row r="1244" spans="18:18">
      <c r="R1244" s="483"/>
    </row>
    <row r="1245" spans="18:18">
      <c r="R1245" s="483"/>
    </row>
    <row r="1246" spans="18:18">
      <c r="R1246" s="483"/>
    </row>
    <row r="1247" spans="18:18">
      <c r="R1247" s="483"/>
    </row>
    <row r="1248" spans="18:18">
      <c r="R1248" s="483"/>
    </row>
    <row r="1249" spans="18:18">
      <c r="R1249" s="483"/>
    </row>
    <row r="1250" spans="18:18">
      <c r="R1250" s="483"/>
    </row>
    <row r="1251" spans="18:18">
      <c r="R1251" s="483"/>
    </row>
    <row r="1252" spans="18:18">
      <c r="R1252" s="483"/>
    </row>
    <row r="1253" spans="18:18">
      <c r="R1253" s="483"/>
    </row>
    <row r="1254" spans="18:18">
      <c r="R1254" s="483"/>
    </row>
    <row r="1255" spans="18:18">
      <c r="R1255" s="483"/>
    </row>
    <row r="1256" spans="18:18">
      <c r="R1256" s="483"/>
    </row>
    <row r="1257" spans="18:18">
      <c r="R1257" s="483"/>
    </row>
    <row r="1258" spans="18:18">
      <c r="R1258" s="483"/>
    </row>
    <row r="1259" spans="18:18">
      <c r="R1259" s="483"/>
    </row>
    <row r="1260" spans="18:18">
      <c r="R1260" s="483"/>
    </row>
    <row r="1261" spans="18:18">
      <c r="R1261" s="483"/>
    </row>
    <row r="1262" spans="18:18">
      <c r="R1262" s="483"/>
    </row>
    <row r="1263" spans="18:18">
      <c r="R1263" s="483"/>
    </row>
    <row r="1264" spans="18:18">
      <c r="R1264" s="483"/>
    </row>
    <row r="1265" spans="18:18">
      <c r="R1265" s="483"/>
    </row>
    <row r="1266" spans="18:18">
      <c r="R1266" s="483"/>
    </row>
    <row r="1267" spans="18:18">
      <c r="R1267" s="483"/>
    </row>
    <row r="1268" spans="18:18">
      <c r="R1268" s="483"/>
    </row>
    <row r="1269" spans="18:18">
      <c r="R1269" s="483"/>
    </row>
    <row r="1270" spans="18:18">
      <c r="R1270" s="483"/>
    </row>
    <row r="1271" spans="18:18">
      <c r="R1271" s="483"/>
    </row>
    <row r="1272" spans="18:18">
      <c r="R1272" s="483"/>
    </row>
    <row r="1273" spans="18:18">
      <c r="R1273" s="483"/>
    </row>
    <row r="1274" spans="18:18">
      <c r="R1274" s="483"/>
    </row>
    <row r="1275" spans="18:18">
      <c r="R1275" s="483"/>
    </row>
    <row r="1276" spans="18:18">
      <c r="R1276" s="483"/>
    </row>
    <row r="1277" spans="18:18">
      <c r="R1277" s="483"/>
    </row>
    <row r="1278" spans="18:18">
      <c r="R1278" s="483"/>
    </row>
    <row r="1279" spans="18:18">
      <c r="R1279" s="483"/>
    </row>
    <row r="1280" spans="18:18">
      <c r="R1280" s="483"/>
    </row>
    <row r="1281" spans="18:18">
      <c r="R1281" s="483"/>
    </row>
    <row r="1282" spans="18:18">
      <c r="R1282" s="483"/>
    </row>
    <row r="1283" spans="18:18">
      <c r="R1283" s="483"/>
    </row>
    <row r="1284" spans="18:18">
      <c r="R1284" s="483"/>
    </row>
    <row r="1285" spans="18:18">
      <c r="R1285" s="483"/>
    </row>
    <row r="1286" spans="18:18">
      <c r="R1286" s="483"/>
    </row>
    <row r="1287" spans="18:18">
      <c r="R1287" s="483"/>
    </row>
    <row r="1288" spans="18:18">
      <c r="R1288" s="483"/>
    </row>
    <row r="1289" spans="18:18">
      <c r="R1289" s="483"/>
    </row>
    <row r="1290" spans="18:18">
      <c r="R1290" s="483"/>
    </row>
    <row r="1291" spans="18:18">
      <c r="R1291" s="483"/>
    </row>
    <row r="1292" spans="18:18">
      <c r="R1292" s="483"/>
    </row>
    <row r="1293" spans="18:18">
      <c r="R1293" s="483"/>
    </row>
    <row r="1294" spans="18:18">
      <c r="R1294" s="483"/>
    </row>
    <row r="1295" spans="18:18">
      <c r="R1295" s="483"/>
    </row>
    <row r="1296" spans="18:18">
      <c r="R1296" s="483"/>
    </row>
    <row r="1297" spans="18:18">
      <c r="R1297" s="483"/>
    </row>
    <row r="1298" spans="18:18">
      <c r="R1298" s="483"/>
    </row>
    <row r="1299" spans="18:18">
      <c r="R1299" s="483"/>
    </row>
    <row r="1300" spans="18:18">
      <c r="R1300" s="483"/>
    </row>
    <row r="1301" spans="18:18">
      <c r="R1301" s="483"/>
    </row>
    <row r="1302" spans="18:18">
      <c r="R1302" s="483"/>
    </row>
    <row r="1303" spans="18:18">
      <c r="R1303" s="483"/>
    </row>
    <row r="1304" spans="18:18">
      <c r="R1304" s="483"/>
    </row>
    <row r="1305" spans="18:18">
      <c r="R1305" s="483"/>
    </row>
    <row r="1306" spans="18:18">
      <c r="R1306" s="483"/>
    </row>
    <row r="1307" spans="18:18">
      <c r="R1307" s="483"/>
    </row>
    <row r="1308" spans="18:18">
      <c r="R1308" s="483"/>
    </row>
    <row r="1309" spans="18:18">
      <c r="R1309" s="483"/>
    </row>
    <row r="1310" spans="18:18">
      <c r="R1310" s="483"/>
    </row>
    <row r="1311" spans="18:18">
      <c r="R1311" s="483"/>
    </row>
    <row r="1312" spans="18:18">
      <c r="R1312" s="483"/>
    </row>
    <row r="1313" spans="18:18">
      <c r="R1313" s="483"/>
    </row>
    <row r="1314" spans="18:18">
      <c r="R1314" s="483"/>
    </row>
    <row r="1315" spans="18:18">
      <c r="R1315" s="483"/>
    </row>
    <row r="1316" spans="18:18">
      <c r="R1316" s="483"/>
    </row>
    <row r="1317" spans="18:18">
      <c r="R1317" s="483"/>
    </row>
    <row r="1318" spans="18:18">
      <c r="R1318" s="483"/>
    </row>
    <row r="1319" spans="18:18">
      <c r="R1319" s="483"/>
    </row>
    <row r="1320" spans="18:18">
      <c r="R1320" s="483"/>
    </row>
    <row r="1321" spans="18:18">
      <c r="R1321" s="483"/>
    </row>
    <row r="1322" spans="18:18">
      <c r="R1322" s="483"/>
    </row>
    <row r="1323" spans="18:18">
      <c r="R1323" s="483"/>
    </row>
    <row r="1324" spans="18:18">
      <c r="R1324" s="483"/>
    </row>
    <row r="1325" spans="18:18">
      <c r="R1325" s="483"/>
    </row>
    <row r="1326" spans="18:18">
      <c r="R1326" s="483"/>
    </row>
    <row r="1327" spans="18:18">
      <c r="R1327" s="483"/>
    </row>
    <row r="1328" spans="18:18">
      <c r="R1328" s="483"/>
    </row>
    <row r="1329" spans="18:18">
      <c r="R1329" s="483"/>
    </row>
    <row r="1330" spans="18:18">
      <c r="R1330" s="483"/>
    </row>
    <row r="1331" spans="18:18">
      <c r="R1331" s="483"/>
    </row>
    <row r="1332" spans="18:18">
      <c r="R1332" s="483"/>
    </row>
    <row r="1333" spans="18:18">
      <c r="R1333" s="483"/>
    </row>
    <row r="1334" spans="18:18">
      <c r="R1334" s="483"/>
    </row>
    <row r="1335" spans="18:18">
      <c r="R1335" s="483"/>
    </row>
    <row r="1336" spans="18:18">
      <c r="R1336" s="483"/>
    </row>
    <row r="1337" spans="18:18">
      <c r="R1337" s="483"/>
    </row>
    <row r="1338" spans="18:18">
      <c r="R1338" s="483"/>
    </row>
    <row r="1339" spans="18:18">
      <c r="R1339" s="483"/>
    </row>
    <row r="1340" spans="18:18">
      <c r="R1340" s="483"/>
    </row>
    <row r="1341" spans="18:18">
      <c r="R1341" s="483"/>
    </row>
    <row r="1342" spans="18:18">
      <c r="R1342" s="483"/>
    </row>
    <row r="1343" spans="18:18">
      <c r="R1343" s="483"/>
    </row>
    <row r="1344" spans="18:18">
      <c r="R1344" s="483"/>
    </row>
    <row r="1345" spans="18:18">
      <c r="R1345" s="483"/>
    </row>
    <row r="1346" spans="18:18">
      <c r="R1346" s="483"/>
    </row>
    <row r="1347" spans="18:18">
      <c r="R1347" s="483"/>
    </row>
    <row r="1348" spans="18:18">
      <c r="R1348" s="483"/>
    </row>
    <row r="1349" spans="18:18">
      <c r="R1349" s="483"/>
    </row>
    <row r="1350" spans="18:18">
      <c r="R1350" s="483"/>
    </row>
    <row r="1351" spans="18:18">
      <c r="R1351" s="483"/>
    </row>
    <row r="1352" spans="18:18">
      <c r="R1352" s="483"/>
    </row>
    <row r="1353" spans="18:18">
      <c r="R1353" s="483"/>
    </row>
    <row r="1354" spans="18:18">
      <c r="R1354" s="483"/>
    </row>
    <row r="1355" spans="18:18">
      <c r="R1355" s="483"/>
    </row>
    <row r="1356" spans="18:18">
      <c r="R1356" s="483"/>
    </row>
    <row r="1357" spans="18:18">
      <c r="R1357" s="483"/>
    </row>
    <row r="1358" spans="18:18">
      <c r="R1358" s="483"/>
    </row>
    <row r="1359" spans="18:18">
      <c r="R1359" s="483"/>
    </row>
    <row r="1360" spans="18:18">
      <c r="R1360" s="483"/>
    </row>
    <row r="1361" spans="18:18">
      <c r="R1361" s="483"/>
    </row>
    <row r="1362" spans="18:18">
      <c r="R1362" s="483"/>
    </row>
    <row r="1363" spans="18:18">
      <c r="R1363" s="483"/>
    </row>
    <row r="1364" spans="18:18">
      <c r="R1364" s="483"/>
    </row>
    <row r="1365" spans="18:18">
      <c r="R1365" s="483"/>
    </row>
    <row r="1366" spans="18:18">
      <c r="R1366" s="483"/>
    </row>
    <row r="1367" spans="18:18">
      <c r="R1367" s="483"/>
    </row>
    <row r="1368" spans="18:18">
      <c r="R1368" s="483"/>
    </row>
    <row r="1369" spans="18:18">
      <c r="R1369" s="483"/>
    </row>
    <row r="1370" spans="18:18">
      <c r="R1370" s="483"/>
    </row>
    <row r="1371" spans="18:18">
      <c r="R1371" s="483"/>
    </row>
    <row r="1372" spans="18:18">
      <c r="R1372" s="483"/>
    </row>
    <row r="1373" spans="18:18">
      <c r="R1373" s="483"/>
    </row>
    <row r="1374" spans="18:18">
      <c r="R1374" s="483"/>
    </row>
    <row r="1375" spans="18:18">
      <c r="R1375" s="483"/>
    </row>
    <row r="1376" spans="18:18">
      <c r="R1376" s="483"/>
    </row>
    <row r="1377" spans="18:18">
      <c r="R1377" s="483"/>
    </row>
    <row r="1378" spans="18:18">
      <c r="R1378" s="483"/>
    </row>
    <row r="1379" spans="18:18">
      <c r="R1379" s="483"/>
    </row>
    <row r="1380" spans="18:18">
      <c r="R1380" s="483"/>
    </row>
    <row r="1381" spans="18:18">
      <c r="R1381" s="483"/>
    </row>
    <row r="1382" spans="18:18">
      <c r="R1382" s="483"/>
    </row>
    <row r="1383" spans="18:18">
      <c r="R1383" s="483"/>
    </row>
    <row r="1384" spans="18:18">
      <c r="R1384" s="483"/>
    </row>
    <row r="1385" spans="18:18">
      <c r="R1385" s="483"/>
    </row>
    <row r="1386" spans="18:18">
      <c r="R1386" s="483"/>
    </row>
    <row r="1387" spans="18:18">
      <c r="R1387" s="483"/>
    </row>
    <row r="1388" spans="18:18">
      <c r="R1388" s="483"/>
    </row>
    <row r="1389" spans="18:18">
      <c r="R1389" s="483"/>
    </row>
    <row r="1390" spans="18:18">
      <c r="R1390" s="483"/>
    </row>
    <row r="1391" spans="18:18">
      <c r="R1391" s="483"/>
    </row>
    <row r="1392" spans="18:18">
      <c r="R1392" s="483"/>
    </row>
    <row r="1393" spans="18:18">
      <c r="R1393" s="483"/>
    </row>
    <row r="1394" spans="18:18">
      <c r="R1394" s="483"/>
    </row>
    <row r="1395" spans="18:18">
      <c r="R1395" s="483"/>
    </row>
    <row r="1396" spans="18:18">
      <c r="R1396" s="483"/>
    </row>
    <row r="1397" spans="18:18">
      <c r="R1397" s="483"/>
    </row>
    <row r="1398" spans="18:18">
      <c r="R1398" s="483"/>
    </row>
    <row r="1399" spans="18:18">
      <c r="R1399" s="483"/>
    </row>
    <row r="1400" spans="18:18">
      <c r="R1400" s="483"/>
    </row>
    <row r="1401" spans="18:18">
      <c r="R1401" s="483"/>
    </row>
    <row r="1402" spans="18:18">
      <c r="R1402" s="483"/>
    </row>
    <row r="1403" spans="18:18">
      <c r="R1403" s="483"/>
    </row>
    <row r="1404" spans="18:18">
      <c r="R1404" s="483"/>
    </row>
    <row r="1405" spans="18:18">
      <c r="R1405" s="483"/>
    </row>
    <row r="1406" spans="18:18">
      <c r="R1406" s="483"/>
    </row>
    <row r="1407" spans="18:18">
      <c r="R1407" s="483"/>
    </row>
    <row r="1408" spans="18:18">
      <c r="R1408" s="483"/>
    </row>
    <row r="1409" spans="18:18">
      <c r="R1409" s="483"/>
    </row>
    <row r="1410" spans="18:18">
      <c r="R1410" s="483"/>
    </row>
    <row r="1411" spans="18:18">
      <c r="R1411" s="483"/>
    </row>
    <row r="1412" spans="18:18">
      <c r="R1412" s="483"/>
    </row>
    <row r="1413" spans="18:18">
      <c r="R1413" s="483"/>
    </row>
    <row r="1414" spans="18:18">
      <c r="R1414" s="483"/>
    </row>
    <row r="1415" spans="18:18">
      <c r="R1415" s="483"/>
    </row>
    <row r="1416" spans="18:18">
      <c r="R1416" s="483"/>
    </row>
    <row r="1417" spans="18:18">
      <c r="R1417" s="483"/>
    </row>
    <row r="1418" spans="18:18">
      <c r="R1418" s="483"/>
    </row>
    <row r="1419" spans="18:18">
      <c r="R1419" s="483"/>
    </row>
    <row r="1420" spans="18:18">
      <c r="R1420" s="483"/>
    </row>
    <row r="1421" spans="18:18">
      <c r="R1421" s="483"/>
    </row>
    <row r="1422" spans="18:18">
      <c r="R1422" s="483"/>
    </row>
    <row r="1423" spans="18:18">
      <c r="R1423" s="483"/>
    </row>
    <row r="1424" spans="18:18">
      <c r="R1424" s="483"/>
    </row>
    <row r="1425" spans="18:18">
      <c r="R1425" s="483"/>
    </row>
    <row r="1426" spans="18:18">
      <c r="R1426" s="483"/>
    </row>
    <row r="1427" spans="18:18">
      <c r="R1427" s="483"/>
    </row>
    <row r="1428" spans="18:18">
      <c r="R1428" s="483"/>
    </row>
    <row r="1429" spans="18:18">
      <c r="R1429" s="483"/>
    </row>
    <row r="1430" spans="18:18">
      <c r="R1430" s="483"/>
    </row>
    <row r="1431" spans="18:18">
      <c r="R1431" s="483"/>
    </row>
    <row r="1432" spans="18:18">
      <c r="R1432" s="483"/>
    </row>
    <row r="1433" spans="18:18">
      <c r="R1433" s="483"/>
    </row>
    <row r="1434" spans="18:18">
      <c r="R1434" s="483"/>
    </row>
    <row r="1435" spans="18:18">
      <c r="R1435" s="483"/>
    </row>
    <row r="1436" spans="18:18">
      <c r="R1436" s="483"/>
    </row>
    <row r="1437" spans="18:18">
      <c r="R1437" s="483"/>
    </row>
    <row r="1438" spans="18:18">
      <c r="R1438" s="483"/>
    </row>
    <row r="1439" spans="18:18">
      <c r="R1439" s="483"/>
    </row>
    <row r="1440" spans="18:18">
      <c r="R1440" s="483"/>
    </row>
    <row r="1441" spans="18:18">
      <c r="R1441" s="483"/>
    </row>
    <row r="1442" spans="18:18">
      <c r="R1442" s="483"/>
    </row>
    <row r="1443" spans="18:18">
      <c r="R1443" s="483"/>
    </row>
    <row r="1444" spans="18:18">
      <c r="R1444" s="483"/>
    </row>
    <row r="1445" spans="18:18">
      <c r="R1445" s="483"/>
    </row>
    <row r="1446" spans="18:18">
      <c r="R1446" s="483"/>
    </row>
    <row r="1447" spans="18:18">
      <c r="R1447" s="483"/>
    </row>
    <row r="1448" spans="18:18">
      <c r="R1448" s="483"/>
    </row>
    <row r="1449" spans="18:18">
      <c r="R1449" s="483"/>
    </row>
    <row r="1450" spans="18:18">
      <c r="R1450" s="483"/>
    </row>
    <row r="1451" spans="18:18">
      <c r="R1451" s="483"/>
    </row>
    <row r="1452" spans="18:18">
      <c r="R1452" s="483"/>
    </row>
    <row r="1453" spans="18:18">
      <c r="R1453" s="483"/>
    </row>
    <row r="1454" spans="18:18">
      <c r="R1454" s="483"/>
    </row>
    <row r="1455" spans="18:18">
      <c r="R1455" s="483"/>
    </row>
    <row r="1456" spans="18:18">
      <c r="R1456" s="483"/>
    </row>
    <row r="1457" spans="18:18">
      <c r="R1457" s="483"/>
    </row>
    <row r="1458" spans="18:18">
      <c r="R1458" s="483"/>
    </row>
    <row r="1459" spans="18:18">
      <c r="R1459" s="483"/>
    </row>
    <row r="1460" spans="18:18">
      <c r="R1460" s="483"/>
    </row>
    <row r="1461" spans="18:18">
      <c r="R1461" s="483"/>
    </row>
    <row r="1462" spans="18:18">
      <c r="R1462" s="483"/>
    </row>
    <row r="1463" spans="18:18">
      <c r="R1463" s="483"/>
    </row>
    <row r="1464" spans="18:18">
      <c r="R1464" s="483"/>
    </row>
    <row r="1465" spans="18:18">
      <c r="R1465" s="483"/>
    </row>
    <row r="1466" spans="18:18">
      <c r="R1466" s="483"/>
    </row>
    <row r="1467" spans="18:18">
      <c r="R1467" s="483"/>
    </row>
    <row r="1468" spans="18:18">
      <c r="R1468" s="483"/>
    </row>
    <row r="1469" spans="18:18">
      <c r="R1469" s="483"/>
    </row>
    <row r="1470" spans="18:18">
      <c r="R1470" s="483"/>
    </row>
    <row r="1471" spans="18:18">
      <c r="R1471" s="483"/>
    </row>
    <row r="1472" spans="18:18">
      <c r="R1472" s="483"/>
    </row>
    <row r="1473" spans="18:18">
      <c r="R1473" s="483"/>
    </row>
    <row r="1474" spans="18:18">
      <c r="R1474" s="483"/>
    </row>
    <row r="1475" spans="18:18">
      <c r="R1475" s="483"/>
    </row>
    <row r="1476" spans="18:18">
      <c r="R1476" s="483"/>
    </row>
    <row r="1477" spans="18:18">
      <c r="R1477" s="483"/>
    </row>
    <row r="1478" spans="18:18">
      <c r="R1478" s="483"/>
    </row>
    <row r="1479" spans="18:18">
      <c r="R1479" s="483"/>
    </row>
    <row r="1480" spans="18:18">
      <c r="R1480" s="483"/>
    </row>
    <row r="1481" spans="18:18">
      <c r="R1481" s="483"/>
    </row>
    <row r="1482" spans="18:18">
      <c r="R1482" s="483"/>
    </row>
    <row r="1483" spans="18:18">
      <c r="R1483" s="483"/>
    </row>
    <row r="1484" spans="18:18">
      <c r="R1484" s="483"/>
    </row>
    <row r="1485" spans="18:18">
      <c r="R1485" s="483"/>
    </row>
    <row r="1486" spans="18:18">
      <c r="R1486" s="483"/>
    </row>
    <row r="1487" spans="18:18">
      <c r="R1487" s="483"/>
    </row>
    <row r="1488" spans="18:18">
      <c r="R1488" s="483"/>
    </row>
    <row r="1489" spans="18:18">
      <c r="R1489" s="483"/>
    </row>
    <row r="1490" spans="18:18">
      <c r="R1490" s="483"/>
    </row>
    <row r="1491" spans="18:18">
      <c r="R1491" s="483"/>
    </row>
    <row r="1492" spans="18:18">
      <c r="R1492" s="483"/>
    </row>
    <row r="1493" spans="18:18">
      <c r="R1493" s="483"/>
    </row>
    <row r="1494" spans="18:18">
      <c r="R1494" s="483"/>
    </row>
    <row r="1495" spans="18:18">
      <c r="R1495" s="483"/>
    </row>
    <row r="1496" spans="18:18">
      <c r="R1496" s="483"/>
    </row>
    <row r="1497" spans="18:18">
      <c r="R1497" s="483"/>
    </row>
    <row r="1498" spans="18:18">
      <c r="R1498" s="483"/>
    </row>
    <row r="1499" spans="18:18">
      <c r="R1499" s="483"/>
    </row>
    <row r="1500" spans="18:18">
      <c r="R1500" s="483"/>
    </row>
    <row r="1501" spans="18:18">
      <c r="R1501" s="483"/>
    </row>
    <row r="1502" spans="18:18">
      <c r="R1502" s="483"/>
    </row>
    <row r="1503" spans="18:18">
      <c r="R1503" s="483"/>
    </row>
    <row r="1504" spans="18:18">
      <c r="R1504" s="483"/>
    </row>
    <row r="1505" spans="18:18">
      <c r="R1505" s="483"/>
    </row>
    <row r="1506" spans="18:18">
      <c r="R1506" s="483"/>
    </row>
    <row r="1507" spans="18:18">
      <c r="R1507" s="483"/>
    </row>
    <row r="1508" spans="18:18">
      <c r="R1508" s="483"/>
    </row>
    <row r="1509" spans="18:18">
      <c r="R1509" s="483"/>
    </row>
    <row r="1510" spans="18:18">
      <c r="R1510" s="483"/>
    </row>
    <row r="1511" spans="18:18">
      <c r="R1511" s="483"/>
    </row>
    <row r="1512" spans="18:18">
      <c r="R1512" s="483"/>
    </row>
    <row r="1513" spans="18:18">
      <c r="R1513" s="483"/>
    </row>
    <row r="1514" spans="18:18">
      <c r="R1514" s="483"/>
    </row>
    <row r="1515" spans="18:18">
      <c r="R1515" s="483"/>
    </row>
    <row r="1516" spans="18:18">
      <c r="R1516" s="483"/>
    </row>
    <row r="1517" spans="18:18">
      <c r="R1517" s="483"/>
    </row>
    <row r="1518" spans="18:18">
      <c r="R1518" s="483"/>
    </row>
    <row r="1519" spans="18:18">
      <c r="R1519" s="483"/>
    </row>
    <row r="1520" spans="18:18">
      <c r="R1520" s="483"/>
    </row>
    <row r="1521" spans="18:18">
      <c r="R1521" s="483"/>
    </row>
    <row r="1522" spans="18:18">
      <c r="R1522" s="483"/>
    </row>
    <row r="1523" spans="18:18">
      <c r="R1523" s="483"/>
    </row>
    <row r="1524" spans="18:18">
      <c r="R1524" s="483"/>
    </row>
    <row r="1525" spans="18:18">
      <c r="R1525" s="483"/>
    </row>
    <row r="1526" spans="18:18">
      <c r="R1526" s="483"/>
    </row>
    <row r="1527" spans="18:18">
      <c r="R1527" s="483"/>
    </row>
    <row r="1528" spans="18:18">
      <c r="R1528" s="483"/>
    </row>
    <row r="1529" spans="18:18">
      <c r="R1529" s="483"/>
    </row>
    <row r="1530" spans="18:18">
      <c r="R1530" s="483"/>
    </row>
    <row r="1531" spans="18:18">
      <c r="R1531" s="483"/>
    </row>
    <row r="1532" spans="18:18">
      <c r="R1532" s="483"/>
    </row>
    <row r="1533" spans="18:18">
      <c r="R1533" s="483"/>
    </row>
    <row r="1534" spans="18:18">
      <c r="R1534" s="483"/>
    </row>
    <row r="1535" spans="18:18">
      <c r="R1535" s="483"/>
    </row>
    <row r="1536" spans="18:18">
      <c r="R1536" s="483"/>
    </row>
    <row r="1537" spans="18:18">
      <c r="R1537" s="483"/>
    </row>
    <row r="1538" spans="18:18">
      <c r="R1538" s="483"/>
    </row>
    <row r="1539" spans="18:18">
      <c r="R1539" s="483"/>
    </row>
    <row r="1540" spans="18:18">
      <c r="R1540" s="483"/>
    </row>
    <row r="1541" spans="18:18">
      <c r="R1541" s="483"/>
    </row>
    <row r="1542" spans="18:18">
      <c r="R1542" s="483"/>
    </row>
    <row r="1543" spans="18:18">
      <c r="R1543" s="483"/>
    </row>
    <row r="1544" spans="18:18">
      <c r="R1544" s="483"/>
    </row>
    <row r="1545" spans="18:18">
      <c r="R1545" s="483"/>
    </row>
    <row r="1546" spans="18:18">
      <c r="R1546" s="483"/>
    </row>
    <row r="1547" spans="18:18">
      <c r="R1547" s="483"/>
    </row>
    <row r="1548" spans="18:18">
      <c r="R1548" s="483"/>
    </row>
    <row r="1549" spans="18:18">
      <c r="R1549" s="483"/>
    </row>
    <row r="1550" spans="18:18">
      <c r="R1550" s="483"/>
    </row>
    <row r="1551" spans="18:18">
      <c r="R1551" s="483"/>
    </row>
    <row r="1552" spans="18:18">
      <c r="R1552" s="483"/>
    </row>
    <row r="1553" spans="18:18">
      <c r="R1553" s="483"/>
    </row>
    <row r="1554" spans="18:18">
      <c r="R1554" s="483"/>
    </row>
    <row r="1555" spans="18:18">
      <c r="R1555" s="483"/>
    </row>
    <row r="1556" spans="18:18">
      <c r="R1556" s="483"/>
    </row>
    <row r="1557" spans="18:18">
      <c r="R1557" s="483"/>
    </row>
    <row r="1558" spans="18:18">
      <c r="R1558" s="483"/>
    </row>
    <row r="1559" spans="18:18">
      <c r="R1559" s="483"/>
    </row>
    <row r="1560" spans="18:18">
      <c r="R1560" s="483"/>
    </row>
    <row r="1561" spans="18:18">
      <c r="R1561" s="483"/>
    </row>
    <row r="1562" spans="18:18">
      <c r="R1562" s="483"/>
    </row>
    <row r="1563" spans="18:18">
      <c r="R1563" s="483"/>
    </row>
    <row r="1564" spans="18:18">
      <c r="R1564" s="483"/>
    </row>
    <row r="1565" spans="18:18">
      <c r="R1565" s="483"/>
    </row>
    <row r="1566" spans="18:18">
      <c r="R1566" s="483"/>
    </row>
    <row r="1567" spans="18:18">
      <c r="R1567" s="483"/>
    </row>
    <row r="1568" spans="18:18">
      <c r="R1568" s="483"/>
    </row>
    <row r="1569" spans="18:18">
      <c r="R1569" s="483"/>
    </row>
    <row r="1570" spans="18:18">
      <c r="R1570" s="483"/>
    </row>
    <row r="1571" spans="18:18">
      <c r="R1571" s="483"/>
    </row>
    <row r="1572" spans="18:18">
      <c r="R1572" s="483"/>
    </row>
    <row r="1573" spans="18:18">
      <c r="R1573" s="483"/>
    </row>
    <row r="1574" spans="18:18">
      <c r="R1574" s="483"/>
    </row>
    <row r="1575" spans="18:18">
      <c r="R1575" s="483"/>
    </row>
    <row r="1576" spans="18:18">
      <c r="R1576" s="483"/>
    </row>
    <row r="1577" spans="18:18">
      <c r="R1577" s="483"/>
    </row>
    <row r="1578" spans="18:18">
      <c r="R1578" s="483"/>
    </row>
    <row r="1579" spans="18:18">
      <c r="R1579" s="483"/>
    </row>
    <row r="1580" spans="18:18">
      <c r="R1580" s="483"/>
    </row>
    <row r="1581" spans="18:18">
      <c r="R1581" s="483"/>
    </row>
    <row r="1582" spans="18:18">
      <c r="R1582" s="483"/>
    </row>
    <row r="1583" spans="18:18">
      <c r="R1583" s="483"/>
    </row>
    <row r="1584" spans="18:18">
      <c r="R1584" s="483"/>
    </row>
    <row r="1585" spans="18:18">
      <c r="R1585" s="483"/>
    </row>
    <row r="1586" spans="18:18">
      <c r="R1586" s="483"/>
    </row>
    <row r="1587" spans="18:18">
      <c r="R1587" s="483"/>
    </row>
    <row r="1588" spans="18:18">
      <c r="R1588" s="483"/>
    </row>
    <row r="1589" spans="18:18">
      <c r="R1589" s="483"/>
    </row>
    <row r="1590" spans="18:18">
      <c r="R1590" s="483"/>
    </row>
    <row r="1591" spans="18:18">
      <c r="R1591" s="483"/>
    </row>
    <row r="1592" spans="18:18">
      <c r="R1592" s="483"/>
    </row>
    <row r="1593" spans="18:18">
      <c r="R1593" s="483"/>
    </row>
    <row r="1594" spans="18:18">
      <c r="R1594" s="483"/>
    </row>
    <row r="1595" spans="18:18">
      <c r="R1595" s="483"/>
    </row>
    <row r="1596" spans="18:18">
      <c r="R1596" s="483"/>
    </row>
    <row r="1597" spans="18:18">
      <c r="R1597" s="483"/>
    </row>
    <row r="1598" spans="18:18">
      <c r="R1598" s="483"/>
    </row>
    <row r="1599" spans="18:18">
      <c r="R1599" s="483"/>
    </row>
    <row r="1600" spans="18:18">
      <c r="R1600" s="483"/>
    </row>
    <row r="1601" spans="18:18">
      <c r="R1601" s="483"/>
    </row>
    <row r="1602" spans="18:18">
      <c r="R1602" s="483"/>
    </row>
    <row r="1603" spans="18:18">
      <c r="R1603" s="483"/>
    </row>
    <row r="1604" spans="18:18">
      <c r="R1604" s="483"/>
    </row>
    <row r="1605" spans="18:18">
      <c r="R1605" s="483"/>
    </row>
    <row r="1606" spans="18:18">
      <c r="R1606" s="483"/>
    </row>
    <row r="1607" spans="18:18">
      <c r="R1607" s="483"/>
    </row>
    <row r="1608" spans="18:18">
      <c r="R1608" s="483"/>
    </row>
    <row r="1609" spans="18:18">
      <c r="R1609" s="483"/>
    </row>
    <row r="1610" spans="18:18">
      <c r="R1610" s="483"/>
    </row>
    <row r="1611" spans="18:18">
      <c r="R1611" s="483"/>
    </row>
    <row r="1612" spans="18:18">
      <c r="R1612" s="483"/>
    </row>
    <row r="1613" spans="18:18">
      <c r="R1613" s="483"/>
    </row>
    <row r="1614" spans="18:18">
      <c r="R1614" s="483"/>
    </row>
    <row r="1615" spans="18:18">
      <c r="R1615" s="483"/>
    </row>
    <row r="1616" spans="18:18">
      <c r="R1616" s="483"/>
    </row>
    <row r="1617" spans="18:18">
      <c r="R1617" s="483"/>
    </row>
    <row r="1618" spans="18:18">
      <c r="R1618" s="483"/>
    </row>
    <row r="1619" spans="18:18">
      <c r="R1619" s="483"/>
    </row>
    <row r="1620" spans="18:18">
      <c r="R1620" s="483"/>
    </row>
    <row r="1621" spans="18:18">
      <c r="R1621" s="483"/>
    </row>
    <row r="1622" spans="18:18">
      <c r="R1622" s="483"/>
    </row>
    <row r="1623" spans="18:18">
      <c r="R1623" s="483"/>
    </row>
    <row r="1624" spans="18:18">
      <c r="R1624" s="483"/>
    </row>
    <row r="1625" spans="18:18">
      <c r="R1625" s="483"/>
    </row>
    <row r="1626" spans="18:18">
      <c r="R1626" s="483"/>
    </row>
    <row r="1627" spans="18:18">
      <c r="R1627" s="483"/>
    </row>
    <row r="1628" spans="18:18">
      <c r="R1628" s="483"/>
    </row>
    <row r="1629" spans="18:18">
      <c r="R1629" s="483"/>
    </row>
    <row r="1630" spans="18:18">
      <c r="R1630" s="483"/>
    </row>
    <row r="1631" spans="18:18">
      <c r="R1631" s="483"/>
    </row>
    <row r="1632" spans="18:18">
      <c r="R1632" s="483"/>
    </row>
    <row r="1633" spans="18:18">
      <c r="R1633" s="483"/>
    </row>
    <row r="1634" spans="18:18">
      <c r="R1634" s="483"/>
    </row>
    <row r="1635" spans="18:18">
      <c r="R1635" s="483"/>
    </row>
    <row r="1636" spans="18:18">
      <c r="R1636" s="483"/>
    </row>
    <row r="1637" spans="18:18">
      <c r="R1637" s="483"/>
    </row>
    <row r="1638" spans="18:18">
      <c r="R1638" s="483"/>
    </row>
    <row r="1639" spans="18:18">
      <c r="R1639" s="483"/>
    </row>
    <row r="1640" spans="18:18">
      <c r="R1640" s="483"/>
    </row>
    <row r="1641" spans="18:18">
      <c r="R1641" s="483"/>
    </row>
    <row r="1642" spans="18:18">
      <c r="R1642" s="483"/>
    </row>
    <row r="1643" spans="18:18">
      <c r="R1643" s="483"/>
    </row>
    <row r="1644" spans="18:18">
      <c r="R1644" s="483"/>
    </row>
    <row r="1645" spans="18:18">
      <c r="R1645" s="483"/>
    </row>
    <row r="1646" spans="18:18">
      <c r="R1646" s="483"/>
    </row>
    <row r="1647" spans="18:18">
      <c r="R1647" s="483"/>
    </row>
    <row r="1648" spans="18:18">
      <c r="R1648" s="483"/>
    </row>
    <row r="1649" spans="18:18">
      <c r="R1649" s="483"/>
    </row>
    <row r="1650" spans="18:18">
      <c r="R1650" s="483"/>
    </row>
    <row r="1651" spans="18:18">
      <c r="R1651" s="483"/>
    </row>
    <row r="1652" spans="18:18">
      <c r="R1652" s="483"/>
    </row>
    <row r="1653" spans="18:18">
      <c r="R1653" s="483"/>
    </row>
    <row r="1654" spans="18:18">
      <c r="R1654" s="483"/>
    </row>
    <row r="1655" spans="18:18">
      <c r="R1655" s="483"/>
    </row>
    <row r="1656" spans="18:18">
      <c r="R1656" s="483"/>
    </row>
    <row r="1657" spans="18:18">
      <c r="R1657" s="483"/>
    </row>
    <row r="1658" spans="18:18">
      <c r="R1658" s="483"/>
    </row>
    <row r="1659" spans="18:18">
      <c r="R1659" s="483"/>
    </row>
    <row r="1660" spans="18:18">
      <c r="R1660" s="483"/>
    </row>
    <row r="1661" spans="18:18">
      <c r="R1661" s="483"/>
    </row>
    <row r="1662" spans="18:18">
      <c r="R1662" s="483"/>
    </row>
    <row r="1663" spans="18:18">
      <c r="R1663" s="483"/>
    </row>
    <row r="1664" spans="18:18">
      <c r="R1664" s="483"/>
    </row>
    <row r="1665" spans="18:18">
      <c r="R1665" s="483"/>
    </row>
    <row r="1666" spans="18:18">
      <c r="R1666" s="483"/>
    </row>
    <row r="1667" spans="18:18">
      <c r="R1667" s="483"/>
    </row>
    <row r="1668" spans="18:18">
      <c r="R1668" s="483"/>
    </row>
    <row r="1669" spans="18:18">
      <c r="R1669" s="483"/>
    </row>
    <row r="1670" spans="18:18">
      <c r="R1670" s="483"/>
    </row>
    <row r="1671" spans="18:18">
      <c r="R1671" s="483"/>
    </row>
    <row r="1672" spans="18:18">
      <c r="R1672" s="483"/>
    </row>
    <row r="1673" spans="18:18">
      <c r="R1673" s="483"/>
    </row>
    <row r="1674" spans="18:18">
      <c r="R1674" s="483"/>
    </row>
    <row r="1675" spans="18:18">
      <c r="R1675" s="483"/>
    </row>
    <row r="1676" spans="18:18">
      <c r="R1676" s="483"/>
    </row>
    <row r="1677" spans="18:18">
      <c r="R1677" s="483"/>
    </row>
    <row r="1678" spans="18:18">
      <c r="R1678" s="483"/>
    </row>
    <row r="1679" spans="18:18">
      <c r="R1679" s="483"/>
    </row>
    <row r="1680" spans="18:18">
      <c r="R1680" s="483"/>
    </row>
    <row r="1681" spans="18:18">
      <c r="R1681" s="483"/>
    </row>
    <row r="1682" spans="18:18">
      <c r="R1682" s="483"/>
    </row>
    <row r="1683" spans="18:18">
      <c r="R1683" s="483"/>
    </row>
    <row r="1684" spans="18:18">
      <c r="R1684" s="483"/>
    </row>
    <row r="1685" spans="18:18">
      <c r="R1685" s="483"/>
    </row>
    <row r="1686" spans="18:18">
      <c r="R1686" s="483"/>
    </row>
    <row r="1687" spans="18:18">
      <c r="R1687" s="483"/>
    </row>
    <row r="1688" spans="18:18">
      <c r="R1688" s="483"/>
    </row>
    <row r="1689" spans="18:18">
      <c r="R1689" s="483"/>
    </row>
    <row r="1690" spans="18:18">
      <c r="R1690" s="483"/>
    </row>
    <row r="1691" spans="18:18">
      <c r="R1691" s="483"/>
    </row>
    <row r="1692" spans="18:18">
      <c r="R1692" s="483"/>
    </row>
    <row r="1693" spans="18:18">
      <c r="R1693" s="483"/>
    </row>
    <row r="1694" spans="18:18">
      <c r="R1694" s="483"/>
    </row>
    <row r="1695" spans="18:18">
      <c r="R1695" s="483"/>
    </row>
    <row r="1696" spans="18:18">
      <c r="R1696" s="483"/>
    </row>
    <row r="1697" spans="18:18">
      <c r="R1697" s="483"/>
    </row>
    <row r="1698" spans="18:18">
      <c r="R1698" s="483"/>
    </row>
    <row r="1699" spans="18:18">
      <c r="R1699" s="483"/>
    </row>
    <row r="1700" spans="18:18">
      <c r="R1700" s="483"/>
    </row>
    <row r="1701" spans="18:18">
      <c r="R1701" s="483"/>
    </row>
    <row r="1702" spans="18:18">
      <c r="R1702" s="483"/>
    </row>
    <row r="1703" spans="18:18">
      <c r="R1703" s="483"/>
    </row>
    <row r="1704" spans="18:18">
      <c r="R1704" s="483"/>
    </row>
    <row r="1705" spans="18:18">
      <c r="R1705" s="483"/>
    </row>
    <row r="1706" spans="18:18">
      <c r="R1706" s="483"/>
    </row>
    <row r="1707" spans="18:18">
      <c r="R1707" s="483"/>
    </row>
    <row r="1708" spans="18:18">
      <c r="R1708" s="483"/>
    </row>
    <row r="1709" spans="18:18">
      <c r="R1709" s="483"/>
    </row>
    <row r="1710" spans="18:18">
      <c r="R1710" s="483"/>
    </row>
    <row r="1711" spans="18:18">
      <c r="R1711" s="483"/>
    </row>
    <row r="1712" spans="18:18">
      <c r="R1712" s="483"/>
    </row>
    <row r="1713" spans="18:18">
      <c r="R1713" s="483"/>
    </row>
    <row r="1714" spans="18:18">
      <c r="R1714" s="483"/>
    </row>
    <row r="1715" spans="18:18">
      <c r="R1715" s="483"/>
    </row>
    <row r="1716" spans="18:18">
      <c r="R1716" s="483"/>
    </row>
    <row r="1717" spans="18:18">
      <c r="R1717" s="483"/>
    </row>
    <row r="1718" spans="18:18">
      <c r="R1718" s="483"/>
    </row>
    <row r="1719" spans="18:18">
      <c r="R1719" s="483"/>
    </row>
    <row r="1720" spans="18:18">
      <c r="R1720" s="483"/>
    </row>
    <row r="1721" spans="18:18">
      <c r="R1721" s="483"/>
    </row>
    <row r="1722" spans="18:18">
      <c r="R1722" s="483"/>
    </row>
    <row r="1723" spans="18:18">
      <c r="R1723" s="483"/>
    </row>
    <row r="1724" spans="18:18">
      <c r="R1724" s="483"/>
    </row>
    <row r="1725" spans="18:18">
      <c r="R1725" s="483"/>
    </row>
    <row r="1726" spans="18:18">
      <c r="R1726" s="483"/>
    </row>
    <row r="1727" spans="18:18">
      <c r="R1727" s="483"/>
    </row>
    <row r="1728" spans="18:18">
      <c r="R1728" s="483"/>
    </row>
    <row r="1729" spans="18:18">
      <c r="R1729" s="483"/>
    </row>
    <row r="1730" spans="18:18">
      <c r="R1730" s="483"/>
    </row>
    <row r="1731" spans="18:18">
      <c r="R1731" s="483"/>
    </row>
    <row r="1732" spans="18:18">
      <c r="R1732" s="483"/>
    </row>
    <row r="1733" spans="18:18">
      <c r="R1733" s="483"/>
    </row>
    <row r="1734" spans="18:18">
      <c r="R1734" s="483"/>
    </row>
    <row r="1735" spans="18:18">
      <c r="R1735" s="483"/>
    </row>
    <row r="1736" spans="18:18">
      <c r="R1736" s="483"/>
    </row>
    <row r="1737" spans="18:18">
      <c r="R1737" s="483"/>
    </row>
    <row r="1738" spans="18:18">
      <c r="R1738" s="483"/>
    </row>
    <row r="1739" spans="18:18">
      <c r="R1739" s="483"/>
    </row>
    <row r="1740" spans="18:18">
      <c r="R1740" s="483"/>
    </row>
    <row r="1741" spans="18:18">
      <c r="R1741" s="483"/>
    </row>
    <row r="1742" spans="18:18">
      <c r="R1742" s="483"/>
    </row>
    <row r="1743" spans="18:18">
      <c r="R1743" s="483"/>
    </row>
    <row r="1744" spans="18:18">
      <c r="R1744" s="483"/>
    </row>
    <row r="1745" spans="18:18">
      <c r="R1745" s="483"/>
    </row>
    <row r="1746" spans="18:18">
      <c r="R1746" s="483"/>
    </row>
    <row r="1747" spans="18:18">
      <c r="R1747" s="483"/>
    </row>
    <row r="1748" spans="18:18">
      <c r="R1748" s="483"/>
    </row>
    <row r="1749" spans="18:18">
      <c r="R1749" s="483"/>
    </row>
    <row r="1750" spans="18:18">
      <c r="R1750" s="483"/>
    </row>
    <row r="1751" spans="18:18">
      <c r="R1751" s="483"/>
    </row>
    <row r="1752" spans="18:18">
      <c r="R1752" s="483"/>
    </row>
    <row r="1753" spans="18:18">
      <c r="R1753" s="483"/>
    </row>
    <row r="1754" spans="18:18">
      <c r="R1754" s="483"/>
    </row>
    <row r="1755" spans="18:18">
      <c r="R1755" s="483"/>
    </row>
    <row r="1756" spans="18:18">
      <c r="R1756" s="483"/>
    </row>
    <row r="1757" spans="18:18">
      <c r="R1757" s="483"/>
    </row>
    <row r="1758" spans="18:18">
      <c r="R1758" s="483"/>
    </row>
    <row r="1759" spans="18:18">
      <c r="R1759" s="483"/>
    </row>
    <row r="1760" spans="18:18">
      <c r="R1760" s="483"/>
    </row>
    <row r="1761" spans="18:18">
      <c r="R1761" s="483"/>
    </row>
    <row r="1762" spans="18:18">
      <c r="R1762" s="483"/>
    </row>
    <row r="1763" spans="18:18">
      <c r="R1763" s="483"/>
    </row>
    <row r="1764" spans="18:18">
      <c r="R1764" s="483"/>
    </row>
    <row r="1765" spans="18:18">
      <c r="R1765" s="483"/>
    </row>
    <row r="1766" spans="18:18">
      <c r="R1766" s="483"/>
    </row>
    <row r="1767" spans="18:18">
      <c r="R1767" s="483"/>
    </row>
    <row r="1768" spans="18:18">
      <c r="R1768" s="483"/>
    </row>
    <row r="1769" spans="18:18">
      <c r="R1769" s="483"/>
    </row>
    <row r="1770" spans="18:18">
      <c r="R1770" s="483"/>
    </row>
    <row r="1771" spans="18:18">
      <c r="R1771" s="483"/>
    </row>
    <row r="1772" spans="18:18">
      <c r="R1772" s="483"/>
    </row>
    <row r="1773" spans="18:18">
      <c r="R1773" s="483"/>
    </row>
    <row r="1774" spans="18:18">
      <c r="R1774" s="483"/>
    </row>
    <row r="1775" spans="18:18">
      <c r="R1775" s="483"/>
    </row>
    <row r="1776" spans="18:18">
      <c r="R1776" s="483"/>
    </row>
    <row r="1777" spans="18:18">
      <c r="R1777" s="483"/>
    </row>
    <row r="1778" spans="18:18">
      <c r="R1778" s="483"/>
    </row>
    <row r="1779" spans="18:18">
      <c r="R1779" s="483"/>
    </row>
    <row r="1780" spans="18:18">
      <c r="R1780" s="483"/>
    </row>
    <row r="1781" spans="18:18">
      <c r="R1781" s="483"/>
    </row>
    <row r="1782" spans="18:18">
      <c r="R1782" s="483"/>
    </row>
    <row r="1783" spans="18:18">
      <c r="R1783" s="483"/>
    </row>
    <row r="1784" spans="18:18">
      <c r="R1784" s="483"/>
    </row>
    <row r="1785" spans="18:18">
      <c r="R1785" s="483"/>
    </row>
    <row r="1786" spans="18:18">
      <c r="R1786" s="483"/>
    </row>
    <row r="1787" spans="18:18">
      <c r="R1787" s="483"/>
    </row>
    <row r="1788" spans="18:18">
      <c r="R1788" s="483"/>
    </row>
    <row r="1789" spans="18:18">
      <c r="R1789" s="483"/>
    </row>
    <row r="1790" spans="18:18">
      <c r="R1790" s="483"/>
    </row>
    <row r="1791" spans="18:18">
      <c r="R1791" s="483"/>
    </row>
    <row r="1792" spans="18:18">
      <c r="R1792" s="483"/>
    </row>
    <row r="1793" spans="18:18">
      <c r="R1793" s="483"/>
    </row>
    <row r="1794" spans="18:18">
      <c r="R1794" s="483"/>
    </row>
    <row r="1795" spans="18:18">
      <c r="R1795" s="483"/>
    </row>
    <row r="1796" spans="18:18">
      <c r="R1796" s="483"/>
    </row>
    <row r="1797" spans="18:18">
      <c r="R1797" s="483"/>
    </row>
    <row r="1798" spans="18:18">
      <c r="R1798" s="483"/>
    </row>
    <row r="1799" spans="18:18">
      <c r="R1799" s="483"/>
    </row>
    <row r="1800" spans="18:18">
      <c r="R1800" s="483"/>
    </row>
    <row r="1801" spans="18:18">
      <c r="R1801" s="483"/>
    </row>
    <row r="1802" spans="18:18">
      <c r="R1802" s="483"/>
    </row>
    <row r="1803" spans="18:18">
      <c r="R1803" s="483"/>
    </row>
    <row r="1804" spans="18:18">
      <c r="R1804" s="483"/>
    </row>
    <row r="1805" spans="18:18">
      <c r="R1805" s="483"/>
    </row>
    <row r="1806" spans="18:18">
      <c r="R1806" s="483"/>
    </row>
    <row r="1807" spans="18:18">
      <c r="R1807" s="483"/>
    </row>
    <row r="1808" spans="18:18">
      <c r="R1808" s="483"/>
    </row>
    <row r="1809" spans="18:18">
      <c r="R1809" s="483"/>
    </row>
    <row r="1810" spans="18:18">
      <c r="R1810" s="483"/>
    </row>
    <row r="1811" spans="18:18">
      <c r="R1811" s="483"/>
    </row>
    <row r="1812" spans="18:18">
      <c r="R1812" s="483"/>
    </row>
    <row r="1813" spans="18:18">
      <c r="R1813" s="483"/>
    </row>
    <row r="1814" spans="18:18">
      <c r="R1814" s="483"/>
    </row>
    <row r="1815" spans="18:18">
      <c r="R1815" s="483"/>
    </row>
    <row r="1816" spans="18:18">
      <c r="R1816" s="483"/>
    </row>
    <row r="1817" spans="18:18">
      <c r="R1817" s="483"/>
    </row>
    <row r="1818" spans="18:18">
      <c r="R1818" s="483"/>
    </row>
    <row r="1819" spans="18:18">
      <c r="R1819" s="483"/>
    </row>
    <row r="1820" spans="18:18">
      <c r="R1820" s="483"/>
    </row>
    <row r="1821" spans="18:18">
      <c r="R1821" s="483"/>
    </row>
    <row r="1822" spans="18:18">
      <c r="R1822" s="483"/>
    </row>
    <row r="1823" spans="18:18">
      <c r="R1823" s="483"/>
    </row>
    <row r="1824" spans="18:18">
      <c r="R1824" s="483"/>
    </row>
    <row r="1825" spans="18:18">
      <c r="R1825" s="483"/>
    </row>
    <row r="1826" spans="18:18">
      <c r="R1826" s="483"/>
    </row>
    <row r="1827" spans="18:18">
      <c r="R1827" s="483"/>
    </row>
    <row r="1828" spans="18:18">
      <c r="R1828" s="483"/>
    </row>
    <row r="1829" spans="18:18">
      <c r="R1829" s="483"/>
    </row>
    <row r="1830" spans="18:18">
      <c r="R1830" s="483"/>
    </row>
    <row r="1831" spans="18:18">
      <c r="R1831" s="483"/>
    </row>
    <row r="1832" spans="18:18">
      <c r="R1832" s="483"/>
    </row>
    <row r="1833" spans="18:18">
      <c r="R1833" s="483"/>
    </row>
    <row r="1834" spans="18:18">
      <c r="R1834" s="483"/>
    </row>
    <row r="1835" spans="18:18">
      <c r="R1835" s="483"/>
    </row>
    <row r="1836" spans="18:18">
      <c r="R1836" s="483"/>
    </row>
    <row r="1837" spans="18:18">
      <c r="R1837" s="483"/>
    </row>
    <row r="1838" spans="18:18">
      <c r="R1838" s="483"/>
    </row>
    <row r="1839" spans="18:18">
      <c r="R1839" s="483"/>
    </row>
    <row r="1840" spans="18:18">
      <c r="R1840" s="483"/>
    </row>
    <row r="1841" spans="18:18">
      <c r="R1841" s="483"/>
    </row>
    <row r="1842" spans="18:18">
      <c r="R1842" s="483"/>
    </row>
    <row r="1843" spans="18:18">
      <c r="R1843" s="483"/>
    </row>
    <row r="1844" spans="18:18">
      <c r="R1844" s="483"/>
    </row>
    <row r="1845" spans="18:18">
      <c r="R1845" s="483"/>
    </row>
    <row r="1846" spans="18:18">
      <c r="R1846" s="483"/>
    </row>
    <row r="1847" spans="18:18">
      <c r="R1847" s="483"/>
    </row>
    <row r="1848" spans="18:18">
      <c r="R1848" s="483"/>
    </row>
    <row r="1849" spans="18:18">
      <c r="R1849" s="483"/>
    </row>
    <row r="1850" spans="18:18">
      <c r="R1850" s="483"/>
    </row>
    <row r="1851" spans="18:18">
      <c r="R1851" s="483"/>
    </row>
    <row r="1852" spans="18:18">
      <c r="R1852" s="483"/>
    </row>
    <row r="1853" spans="18:18">
      <c r="R1853" s="483"/>
    </row>
    <row r="1854" spans="18:18">
      <c r="R1854" s="483"/>
    </row>
    <row r="1855" spans="18:18">
      <c r="R1855" s="483"/>
    </row>
    <row r="1856" spans="18:18">
      <c r="R1856" s="483"/>
    </row>
    <row r="1857" spans="18:18">
      <c r="R1857" s="483"/>
    </row>
    <row r="1858" spans="18:18">
      <c r="R1858" s="483"/>
    </row>
    <row r="1859" spans="18:18">
      <c r="R1859" s="483"/>
    </row>
    <row r="1860" spans="18:18">
      <c r="R1860" s="483"/>
    </row>
    <row r="1861" spans="18:18">
      <c r="R1861" s="483"/>
    </row>
    <row r="1862" spans="18:18">
      <c r="R1862" s="483"/>
    </row>
    <row r="1863" spans="18:18">
      <c r="R1863" s="483"/>
    </row>
    <row r="1864" spans="18:18">
      <c r="R1864" s="483"/>
    </row>
    <row r="1865" spans="18:18">
      <c r="R1865" s="483"/>
    </row>
    <row r="1866" spans="18:18">
      <c r="R1866" s="483"/>
    </row>
    <row r="1867" spans="18:18">
      <c r="R1867" s="483"/>
    </row>
    <row r="1868" spans="18:18">
      <c r="R1868" s="483"/>
    </row>
    <row r="1869" spans="18:18">
      <c r="R1869" s="483"/>
    </row>
    <row r="1870" spans="18:18">
      <c r="R1870" s="483"/>
    </row>
    <row r="1871" spans="18:18">
      <c r="R1871" s="483"/>
    </row>
    <row r="1872" spans="18:18">
      <c r="R1872" s="483"/>
    </row>
    <row r="1873" spans="18:18">
      <c r="R1873" s="483"/>
    </row>
    <row r="1874" spans="18:18">
      <c r="R1874" s="483"/>
    </row>
    <row r="1875" spans="18:18">
      <c r="R1875" s="483"/>
    </row>
    <row r="1876" spans="18:18">
      <c r="R1876" s="483"/>
    </row>
    <row r="1877" spans="18:18">
      <c r="R1877" s="483"/>
    </row>
    <row r="1878" spans="18:18">
      <c r="R1878" s="483"/>
    </row>
    <row r="1879" spans="18:18">
      <c r="R1879" s="483"/>
    </row>
    <row r="1880" spans="18:18">
      <c r="R1880" s="483"/>
    </row>
    <row r="1881" spans="18:18">
      <c r="R1881" s="483"/>
    </row>
    <row r="1882" spans="18:18">
      <c r="R1882" s="483"/>
    </row>
    <row r="1883" spans="18:18">
      <c r="R1883" s="483"/>
    </row>
    <row r="1884" spans="18:18">
      <c r="R1884" s="483"/>
    </row>
    <row r="1885" spans="18:18">
      <c r="R1885" s="483"/>
    </row>
    <row r="1886" spans="18:18">
      <c r="R1886" s="483"/>
    </row>
    <row r="1887" spans="18:18">
      <c r="R1887" s="483"/>
    </row>
    <row r="1888" spans="18:18">
      <c r="R1888" s="483"/>
    </row>
    <row r="1889" spans="18:18">
      <c r="R1889" s="483"/>
    </row>
    <row r="1890" spans="18:18">
      <c r="R1890" s="483"/>
    </row>
    <row r="1891" spans="18:18">
      <c r="R1891" s="483"/>
    </row>
    <row r="1892" spans="18:18">
      <c r="R1892" s="483"/>
    </row>
    <row r="1893" spans="18:18">
      <c r="R1893" s="483"/>
    </row>
    <row r="1894" spans="18:18">
      <c r="R1894" s="483"/>
    </row>
    <row r="1895" spans="18:18">
      <c r="R1895" s="483"/>
    </row>
    <row r="1896" spans="18:18">
      <c r="R1896" s="483"/>
    </row>
    <row r="1897" spans="18:18">
      <c r="R1897" s="483"/>
    </row>
    <row r="1898" spans="18:18">
      <c r="R1898" s="483"/>
    </row>
    <row r="1899" spans="18:18">
      <c r="R1899" s="483"/>
    </row>
    <row r="1900" spans="18:18">
      <c r="R1900" s="483"/>
    </row>
    <row r="1901" spans="18:18">
      <c r="R1901" s="483"/>
    </row>
    <row r="1902" spans="18:18">
      <c r="R1902" s="483"/>
    </row>
    <row r="1903" spans="18:18">
      <c r="R1903" s="483"/>
    </row>
    <row r="1904" spans="18:18">
      <c r="R1904" s="483"/>
    </row>
    <row r="1905" spans="18:18">
      <c r="R1905" s="483"/>
    </row>
    <row r="1906" spans="18:18">
      <c r="R1906" s="483"/>
    </row>
    <row r="1907" spans="18:18">
      <c r="R1907" s="483"/>
    </row>
    <row r="1908" spans="18:18">
      <c r="R1908" s="483"/>
    </row>
    <row r="1909" spans="18:18">
      <c r="R1909" s="483"/>
    </row>
    <row r="1910" spans="18:18">
      <c r="R1910" s="483"/>
    </row>
    <row r="1911" spans="18:18">
      <c r="R1911" s="483"/>
    </row>
    <row r="1912" spans="18:18">
      <c r="R1912" s="483"/>
    </row>
    <row r="1913" spans="18:18">
      <c r="R1913" s="483"/>
    </row>
    <row r="1914" spans="18:18">
      <c r="R1914" s="483"/>
    </row>
    <row r="1915" spans="18:18">
      <c r="R1915" s="483"/>
    </row>
    <row r="1916" spans="18:18">
      <c r="R1916" s="483"/>
    </row>
    <row r="1917" spans="18:18">
      <c r="R1917" s="483"/>
    </row>
    <row r="1918" spans="18:18">
      <c r="R1918" s="483"/>
    </row>
    <row r="1919" spans="18:18">
      <c r="R1919" s="483"/>
    </row>
    <row r="1920" spans="18:18">
      <c r="R1920" s="483"/>
    </row>
    <row r="1921" spans="18:18">
      <c r="R1921" s="483"/>
    </row>
    <row r="1922" spans="18:18">
      <c r="R1922" s="483"/>
    </row>
    <row r="1923" spans="18:18">
      <c r="R1923" s="483"/>
    </row>
    <row r="1924" spans="18:18">
      <c r="R1924" s="483"/>
    </row>
    <row r="1925" spans="18:18">
      <c r="R1925" s="483"/>
    </row>
    <row r="1926" spans="18:18">
      <c r="R1926" s="483"/>
    </row>
    <row r="1927" spans="18:18">
      <c r="R1927" s="483"/>
    </row>
    <row r="1928" spans="18:18">
      <c r="R1928" s="483"/>
    </row>
    <row r="1929" spans="18:18">
      <c r="R1929" s="483"/>
    </row>
    <row r="1930" spans="18:18">
      <c r="R1930" s="483"/>
    </row>
    <row r="1931" spans="18:18">
      <c r="R1931" s="483"/>
    </row>
    <row r="1932" spans="18:18">
      <c r="R1932" s="483"/>
    </row>
    <row r="1933" spans="18:18">
      <c r="R1933" s="483"/>
    </row>
    <row r="1934" spans="18:18">
      <c r="R1934" s="483"/>
    </row>
    <row r="1935" spans="18:18">
      <c r="R1935" s="483"/>
    </row>
    <row r="1936" spans="18:18">
      <c r="R1936" s="483"/>
    </row>
    <row r="1937" spans="18:18">
      <c r="R1937" s="483"/>
    </row>
    <row r="1938" spans="18:18">
      <c r="R1938" s="483"/>
    </row>
    <row r="1939" spans="18:18">
      <c r="R1939" s="483"/>
    </row>
    <row r="1940" spans="18:18">
      <c r="R1940" s="483"/>
    </row>
    <row r="1941" spans="18:18">
      <c r="R1941" s="483"/>
    </row>
    <row r="1942" spans="18:18">
      <c r="R1942" s="483"/>
    </row>
    <row r="1943" spans="18:18">
      <c r="R1943" s="483"/>
    </row>
    <row r="1944" spans="18:18">
      <c r="R1944" s="483"/>
    </row>
    <row r="1945" spans="18:18">
      <c r="R1945" s="483"/>
    </row>
    <row r="1946" spans="18:18">
      <c r="R1946" s="483"/>
    </row>
    <row r="1947" spans="18:18">
      <c r="R1947" s="483"/>
    </row>
    <row r="1948" spans="18:18">
      <c r="R1948" s="483"/>
    </row>
    <row r="1949" spans="18:18">
      <c r="R1949" s="483"/>
    </row>
    <row r="1950" spans="18:18">
      <c r="R1950" s="483"/>
    </row>
    <row r="1951" spans="18:18">
      <c r="R1951" s="483"/>
    </row>
    <row r="1952" spans="18:18">
      <c r="R1952" s="483"/>
    </row>
    <row r="1953" spans="18:18">
      <c r="R1953" s="483"/>
    </row>
    <row r="1954" spans="18:18">
      <c r="R1954" s="483"/>
    </row>
    <row r="1955" spans="18:18">
      <c r="R1955" s="483"/>
    </row>
    <row r="1956" spans="18:18">
      <c r="R1956" s="483"/>
    </row>
    <row r="1957" spans="18:18">
      <c r="R1957" s="483"/>
    </row>
    <row r="1958" spans="18:18">
      <c r="R1958" s="483"/>
    </row>
    <row r="1959" spans="18:18">
      <c r="R1959" s="483"/>
    </row>
    <row r="1960" spans="18:18">
      <c r="R1960" s="483"/>
    </row>
    <row r="1961" spans="18:18">
      <c r="R1961" s="483"/>
    </row>
    <row r="1962" spans="18:18">
      <c r="R1962" s="483"/>
    </row>
    <row r="1963" spans="18:18">
      <c r="R1963" s="483"/>
    </row>
    <row r="1964" spans="18:18">
      <c r="R1964" s="483"/>
    </row>
    <row r="1965" spans="18:18">
      <c r="R1965" s="483"/>
    </row>
    <row r="1966" spans="18:18">
      <c r="R1966" s="483"/>
    </row>
    <row r="1967" spans="18:18">
      <c r="R1967" s="483"/>
    </row>
    <row r="1968" spans="18:18">
      <c r="R1968" s="483"/>
    </row>
    <row r="1969" spans="18:18">
      <c r="R1969" s="483"/>
    </row>
    <row r="1970" spans="18:18">
      <c r="R1970" s="483"/>
    </row>
    <row r="1971" spans="18:18">
      <c r="R1971" s="483"/>
    </row>
    <row r="1972" spans="18:18">
      <c r="R1972" s="483"/>
    </row>
    <row r="1973" spans="18:18">
      <c r="R1973" s="483"/>
    </row>
    <row r="1974" spans="18:18">
      <c r="R1974" s="483"/>
    </row>
    <row r="1975" spans="18:18">
      <c r="R1975" s="483"/>
    </row>
    <row r="1976" spans="18:18">
      <c r="R1976" s="483"/>
    </row>
    <row r="1977" spans="18:18">
      <c r="R1977" s="483"/>
    </row>
    <row r="1978" spans="18:18">
      <c r="R1978" s="483"/>
    </row>
    <row r="1979" spans="18:18">
      <c r="R1979" s="483"/>
    </row>
    <row r="1980" spans="18:18">
      <c r="R1980" s="483"/>
    </row>
    <row r="1981" spans="18:18">
      <c r="R1981" s="483"/>
    </row>
    <row r="1982" spans="18:18">
      <c r="R1982" s="483"/>
    </row>
    <row r="1983" spans="18:18">
      <c r="R1983" s="483"/>
    </row>
    <row r="1984" spans="18:18">
      <c r="R1984" s="483"/>
    </row>
    <row r="1985" spans="18:18">
      <c r="R1985" s="483"/>
    </row>
    <row r="1986" spans="18:18">
      <c r="R1986" s="483"/>
    </row>
    <row r="1987" spans="18:18">
      <c r="R1987" s="483"/>
    </row>
    <row r="1988" spans="18:18">
      <c r="R1988" s="483"/>
    </row>
    <row r="1989" spans="18:18">
      <c r="R1989" s="483"/>
    </row>
    <row r="1990" spans="18:18">
      <c r="R1990" s="483"/>
    </row>
    <row r="1991" spans="18:18">
      <c r="R1991" s="483"/>
    </row>
    <row r="1992" spans="18:18">
      <c r="R1992" s="483"/>
    </row>
    <row r="1993" spans="18:18">
      <c r="R1993" s="483"/>
    </row>
    <row r="1994" spans="18:18">
      <c r="R1994" s="483"/>
    </row>
    <row r="1995" spans="18:18">
      <c r="R1995" s="483"/>
    </row>
    <row r="1996" spans="18:18">
      <c r="R1996" s="483"/>
    </row>
    <row r="1997" spans="18:18">
      <c r="R1997" s="483"/>
    </row>
    <row r="1998" spans="18:18">
      <c r="R1998" s="483"/>
    </row>
    <row r="1999" spans="18:18">
      <c r="R1999" s="483"/>
    </row>
    <row r="2000" spans="18:18">
      <c r="R2000" s="483"/>
    </row>
    <row r="2001" spans="18:18">
      <c r="R2001" s="483"/>
    </row>
    <row r="2002" spans="18:18">
      <c r="R2002" s="483"/>
    </row>
    <row r="2003" spans="18:18">
      <c r="R2003" s="483"/>
    </row>
    <row r="2004" spans="18:18">
      <c r="R2004" s="483"/>
    </row>
    <row r="2005" spans="18:18">
      <c r="R2005" s="483"/>
    </row>
    <row r="2006" spans="18:18">
      <c r="R2006" s="483"/>
    </row>
    <row r="2007" spans="18:18">
      <c r="R2007" s="483"/>
    </row>
    <row r="2008" spans="18:18">
      <c r="R2008" s="483"/>
    </row>
    <row r="2009" spans="18:18">
      <c r="R2009" s="483"/>
    </row>
    <row r="2010" spans="18:18">
      <c r="R2010" s="483"/>
    </row>
    <row r="2011" spans="18:18">
      <c r="R2011" s="483"/>
    </row>
    <row r="2012" spans="18:18">
      <c r="R2012" s="483"/>
    </row>
    <row r="2013" spans="18:18">
      <c r="R2013" s="483"/>
    </row>
    <row r="2014" spans="18:18">
      <c r="R2014" s="483"/>
    </row>
    <row r="2015" spans="18:18">
      <c r="R2015" s="483"/>
    </row>
    <row r="2016" spans="18:18">
      <c r="R2016" s="483"/>
    </row>
    <row r="2017" spans="18:18">
      <c r="R2017" s="483"/>
    </row>
    <row r="2018" spans="18:18">
      <c r="R2018" s="483"/>
    </row>
    <row r="2019" spans="18:18">
      <c r="R2019" s="483"/>
    </row>
    <row r="2020" spans="18:18">
      <c r="R2020" s="483"/>
    </row>
    <row r="2021" spans="18:18">
      <c r="R2021" s="483"/>
    </row>
    <row r="2022" spans="18:18">
      <c r="R2022" s="483"/>
    </row>
    <row r="2023" spans="18:18">
      <c r="R2023" s="483"/>
    </row>
    <row r="2024" spans="18:18">
      <c r="R2024" s="483"/>
    </row>
    <row r="2025" spans="18:18">
      <c r="R2025" s="483"/>
    </row>
    <row r="2026" spans="18:18">
      <c r="R2026" s="483"/>
    </row>
    <row r="2027" spans="18:18">
      <c r="R2027" s="483"/>
    </row>
    <row r="2028" spans="18:18">
      <c r="R2028" s="483"/>
    </row>
    <row r="2029" spans="18:18">
      <c r="R2029" s="483"/>
    </row>
    <row r="2030" spans="18:18">
      <c r="R2030" s="483"/>
    </row>
    <row r="2031" spans="18:18">
      <c r="R2031" s="483"/>
    </row>
    <row r="2032" spans="18:18">
      <c r="R2032" s="483"/>
    </row>
    <row r="2033" spans="18:18">
      <c r="R2033" s="483"/>
    </row>
    <row r="2034" spans="18:18">
      <c r="R2034" s="483"/>
    </row>
    <row r="2035" spans="18:18">
      <c r="R2035" s="483"/>
    </row>
    <row r="2036" spans="18:18">
      <c r="R2036" s="483"/>
    </row>
    <row r="2037" spans="18:18">
      <c r="R2037" s="483"/>
    </row>
    <row r="2038" spans="18:18">
      <c r="R2038" s="483"/>
    </row>
    <row r="2039" spans="18:18">
      <c r="R2039" s="483"/>
    </row>
    <row r="2040" spans="18:18">
      <c r="R2040" s="483"/>
    </row>
    <row r="2041" spans="18:18">
      <c r="R2041" s="483"/>
    </row>
    <row r="2042" spans="18:18">
      <c r="R2042" s="483"/>
    </row>
    <row r="2043" spans="18:18">
      <c r="R2043" s="483"/>
    </row>
    <row r="2044" spans="18:18">
      <c r="R2044" s="483"/>
    </row>
    <row r="2045" spans="18:18">
      <c r="R2045" s="483"/>
    </row>
    <row r="2046" spans="18:18">
      <c r="R2046" s="483"/>
    </row>
    <row r="2047" spans="18:18">
      <c r="R2047" s="483"/>
    </row>
    <row r="2048" spans="18:18">
      <c r="R2048" s="483"/>
    </row>
    <row r="2049" spans="18:18">
      <c r="R2049" s="483"/>
    </row>
    <row r="2050" spans="18:18">
      <c r="R2050" s="483"/>
    </row>
    <row r="2051" spans="18:18">
      <c r="R2051" s="483"/>
    </row>
    <row r="2052" spans="18:18">
      <c r="R2052" s="483"/>
    </row>
    <row r="2053" spans="18:18">
      <c r="R2053" s="483"/>
    </row>
    <row r="2054" spans="18:18">
      <c r="R2054" s="483"/>
    </row>
    <row r="2055" spans="18:18">
      <c r="R2055" s="483"/>
    </row>
    <row r="2056" spans="18:18">
      <c r="R2056" s="483"/>
    </row>
    <row r="2057" spans="18:18">
      <c r="R2057" s="483"/>
    </row>
    <row r="2058" spans="18:18">
      <c r="R2058" s="483"/>
    </row>
    <row r="2059" spans="18:18">
      <c r="R2059" s="483"/>
    </row>
    <row r="2060" spans="18:18">
      <c r="R2060" s="483"/>
    </row>
    <row r="2061" spans="18:18">
      <c r="R2061" s="483"/>
    </row>
    <row r="2062" spans="18:18">
      <c r="R2062" s="483"/>
    </row>
    <row r="2063" spans="18:18">
      <c r="R2063" s="483"/>
    </row>
    <row r="2064" spans="18:18">
      <c r="R2064" s="483"/>
    </row>
    <row r="2065" spans="18:18">
      <c r="R2065" s="483"/>
    </row>
    <row r="2066" spans="18:18">
      <c r="R2066" s="483"/>
    </row>
    <row r="2067" spans="18:18">
      <c r="R2067" s="483"/>
    </row>
    <row r="2068" spans="18:18">
      <c r="R2068" s="483"/>
    </row>
    <row r="2069" spans="18:18">
      <c r="R2069" s="483"/>
    </row>
    <row r="2070" spans="18:18">
      <c r="R2070" s="483"/>
    </row>
    <row r="2071" spans="18:18">
      <c r="R2071" s="483"/>
    </row>
    <row r="2072" spans="18:18">
      <c r="R2072" s="483"/>
    </row>
    <row r="2073" spans="18:18">
      <c r="R2073" s="483"/>
    </row>
    <row r="2074" spans="18:18">
      <c r="R2074" s="483"/>
    </row>
    <row r="2075" spans="18:18">
      <c r="R2075" s="483"/>
    </row>
    <row r="2076" spans="18:18">
      <c r="R2076" s="483"/>
    </row>
    <row r="2077" spans="18:18">
      <c r="R2077" s="483"/>
    </row>
    <row r="2078" spans="18:18">
      <c r="R2078" s="483"/>
    </row>
    <row r="2079" spans="18:18">
      <c r="R2079" s="483"/>
    </row>
    <row r="2080" spans="18:18">
      <c r="R2080" s="483"/>
    </row>
    <row r="2081" spans="18:18">
      <c r="R2081" s="483"/>
    </row>
    <row r="2082" spans="18:18">
      <c r="R2082" s="483"/>
    </row>
    <row r="2083" spans="18:18">
      <c r="R2083" s="483"/>
    </row>
    <row r="2084" spans="18:18">
      <c r="R2084" s="483"/>
    </row>
    <row r="2085" spans="18:18">
      <c r="R2085" s="483"/>
    </row>
    <row r="2086" spans="18:18">
      <c r="R2086" s="483"/>
    </row>
    <row r="2087" spans="18:18">
      <c r="R2087" s="483"/>
    </row>
    <row r="2088" spans="18:18">
      <c r="R2088" s="483"/>
    </row>
    <row r="2089" spans="18:18">
      <c r="R2089" s="483"/>
    </row>
    <row r="2090" spans="18:18">
      <c r="R2090" s="483"/>
    </row>
    <row r="2091" spans="18:18">
      <c r="R2091" s="483"/>
    </row>
    <row r="2092" spans="18:18">
      <c r="R2092" s="483"/>
    </row>
    <row r="2093" spans="18:18">
      <c r="R2093" s="483"/>
    </row>
    <row r="2094" spans="18:18">
      <c r="R2094" s="483"/>
    </row>
    <row r="2095" spans="18:18">
      <c r="R2095" s="483"/>
    </row>
    <row r="2096" spans="18:18">
      <c r="R2096" s="483"/>
    </row>
    <row r="2097" spans="18:18">
      <c r="R2097" s="483"/>
    </row>
    <row r="2098" spans="18:18">
      <c r="R2098" s="483"/>
    </row>
    <row r="2099" spans="18:18">
      <c r="R2099" s="483"/>
    </row>
    <row r="2100" spans="18:18">
      <c r="R2100" s="483"/>
    </row>
    <row r="2101" spans="18:18">
      <c r="R2101" s="483"/>
    </row>
    <row r="2102" spans="18:18">
      <c r="R2102" s="483"/>
    </row>
    <row r="2103" spans="18:18">
      <c r="R2103" s="483"/>
    </row>
    <row r="2104" spans="18:18">
      <c r="R2104" s="483"/>
    </row>
    <row r="2105" spans="18:18">
      <c r="R2105" s="483"/>
    </row>
    <row r="2106" spans="18:18">
      <c r="R2106" s="483"/>
    </row>
    <row r="2107" spans="18:18">
      <c r="R2107" s="483"/>
    </row>
    <row r="2108" spans="18:18">
      <c r="R2108" s="483"/>
    </row>
    <row r="2109" spans="18:18">
      <c r="R2109" s="483"/>
    </row>
    <row r="2110" spans="18:18">
      <c r="R2110" s="483"/>
    </row>
    <row r="2111" spans="18:18">
      <c r="R2111" s="483"/>
    </row>
    <row r="2112" spans="18:18">
      <c r="R2112" s="483"/>
    </row>
    <row r="2113" spans="18:18">
      <c r="R2113" s="483"/>
    </row>
    <row r="2114" spans="18:18">
      <c r="R2114" s="483"/>
    </row>
    <row r="2115" spans="18:18">
      <c r="R2115" s="483"/>
    </row>
    <row r="2116" spans="18:18">
      <c r="R2116" s="483"/>
    </row>
    <row r="2117" spans="18:18">
      <c r="R2117" s="483"/>
    </row>
    <row r="2118" spans="18:18">
      <c r="R2118" s="483"/>
    </row>
    <row r="2119" spans="18:18">
      <c r="R2119" s="483"/>
    </row>
    <row r="2120" spans="18:18">
      <c r="R2120" s="483"/>
    </row>
    <row r="2121" spans="18:18">
      <c r="R2121" s="483"/>
    </row>
    <row r="2122" spans="18:18">
      <c r="R2122" s="483"/>
    </row>
    <row r="2123" spans="18:18">
      <c r="R2123" s="483"/>
    </row>
    <row r="2124" spans="18:18">
      <c r="R2124" s="483"/>
    </row>
    <row r="2125" spans="18:18">
      <c r="R2125" s="483"/>
    </row>
    <row r="2126" spans="18:18">
      <c r="R2126" s="483"/>
    </row>
    <row r="2127" spans="18:18">
      <c r="R2127" s="483"/>
    </row>
    <row r="2128" spans="18:18">
      <c r="R2128" s="483"/>
    </row>
    <row r="2129" spans="18:18">
      <c r="R2129" s="483"/>
    </row>
    <row r="2130" spans="18:18">
      <c r="R2130" s="483"/>
    </row>
    <row r="2131" spans="18:18">
      <c r="R2131" s="483"/>
    </row>
    <row r="2132" spans="18:18">
      <c r="R2132" s="483"/>
    </row>
    <row r="2133" spans="18:18">
      <c r="R2133" s="483"/>
    </row>
    <row r="2134" spans="18:18">
      <c r="R2134" s="483"/>
    </row>
    <row r="2135" spans="18:18">
      <c r="R2135" s="483"/>
    </row>
    <row r="2136" spans="18:18">
      <c r="R2136" s="483"/>
    </row>
    <row r="2137" spans="18:18">
      <c r="R2137" s="483"/>
    </row>
    <row r="2138" spans="18:18">
      <c r="R2138" s="483"/>
    </row>
    <row r="2139" spans="18:18">
      <c r="R2139" s="483"/>
    </row>
    <row r="2140" spans="18:18">
      <c r="R2140" s="483"/>
    </row>
    <row r="2141" spans="18:18">
      <c r="R2141" s="483"/>
    </row>
    <row r="2142" spans="18:18">
      <c r="R2142" s="483"/>
    </row>
    <row r="2143" spans="18:18">
      <c r="R2143" s="483"/>
    </row>
    <row r="2144" spans="18:18">
      <c r="R2144" s="483"/>
    </row>
    <row r="2145" spans="18:18">
      <c r="R2145" s="483"/>
    </row>
    <row r="2146" spans="18:18">
      <c r="R2146" s="483"/>
    </row>
    <row r="2147" spans="18:18">
      <c r="R2147" s="483"/>
    </row>
    <row r="2148" spans="18:18">
      <c r="R2148" s="483"/>
    </row>
    <row r="2149" spans="18:18">
      <c r="R2149" s="483"/>
    </row>
    <row r="2150" spans="18:18">
      <c r="R2150" s="483"/>
    </row>
    <row r="2151" spans="18:18">
      <c r="R2151" s="483"/>
    </row>
    <row r="2152" spans="18:18">
      <c r="R2152" s="483"/>
    </row>
    <row r="2153" spans="18:18">
      <c r="R2153" s="483"/>
    </row>
    <row r="2154" spans="18:18">
      <c r="R2154" s="483"/>
    </row>
    <row r="2155" spans="18:18">
      <c r="R2155" s="483"/>
    </row>
    <row r="2156" spans="18:18">
      <c r="R2156" s="483"/>
    </row>
    <row r="2157" spans="18:18">
      <c r="R2157" s="483"/>
    </row>
    <row r="2158" spans="18:18">
      <c r="R2158" s="483"/>
    </row>
    <row r="2159" spans="18:18">
      <c r="R2159" s="483"/>
    </row>
    <row r="2160" spans="18:18">
      <c r="R2160" s="483"/>
    </row>
    <row r="2161" spans="18:18">
      <c r="R2161" s="483"/>
    </row>
    <row r="2162" spans="18:18">
      <c r="R2162" s="483"/>
    </row>
    <row r="2163" spans="18:18">
      <c r="R2163" s="483"/>
    </row>
    <row r="2164" spans="18:18">
      <c r="R2164" s="483"/>
    </row>
    <row r="2165" spans="18:18">
      <c r="R2165" s="483"/>
    </row>
    <row r="2166" spans="18:18">
      <c r="R2166" s="483"/>
    </row>
    <row r="2167" spans="18:18">
      <c r="R2167" s="483"/>
    </row>
    <row r="2168" spans="18:18">
      <c r="R2168" s="483"/>
    </row>
    <row r="2169" spans="18:18">
      <c r="R2169" s="483"/>
    </row>
    <row r="2170" spans="18:18">
      <c r="R2170" s="483"/>
    </row>
    <row r="2171" spans="18:18">
      <c r="R2171" s="483"/>
    </row>
    <row r="2172" spans="18:18">
      <c r="R2172" s="483"/>
    </row>
    <row r="2173" spans="18:18">
      <c r="R2173" s="483"/>
    </row>
    <row r="2174" spans="18:18">
      <c r="R2174" s="483"/>
    </row>
    <row r="2175" spans="18:18">
      <c r="R2175" s="483"/>
    </row>
    <row r="2176" spans="18:18">
      <c r="R2176" s="483"/>
    </row>
    <row r="2177" spans="18:18">
      <c r="R2177" s="483"/>
    </row>
    <row r="2178" spans="18:18">
      <c r="R2178" s="483"/>
    </row>
    <row r="2179" spans="18:18">
      <c r="R2179" s="483"/>
    </row>
    <row r="2180" spans="18:18">
      <c r="R2180" s="483"/>
    </row>
    <row r="2181" spans="18:18">
      <c r="R2181" s="483"/>
    </row>
    <row r="2182" spans="18:18">
      <c r="R2182" s="483"/>
    </row>
    <row r="2183" spans="18:18">
      <c r="R2183" s="483"/>
    </row>
    <row r="2184" spans="18:18">
      <c r="R2184" s="483"/>
    </row>
    <row r="2185" spans="18:18">
      <c r="R2185" s="483"/>
    </row>
    <row r="2186" spans="18:18">
      <c r="R2186" s="483"/>
    </row>
    <row r="2187" spans="18:18">
      <c r="R2187" s="483"/>
    </row>
    <row r="2188" spans="18:18">
      <c r="R2188" s="483"/>
    </row>
    <row r="2189" spans="18:18">
      <c r="R2189" s="483"/>
    </row>
    <row r="2190" spans="18:18">
      <c r="R2190" s="483"/>
    </row>
    <row r="2191" spans="18:18">
      <c r="R2191" s="483"/>
    </row>
    <row r="2192" spans="18:18">
      <c r="R2192" s="483"/>
    </row>
    <row r="2193" spans="18:18">
      <c r="R2193" s="483"/>
    </row>
    <row r="2194" spans="18:18">
      <c r="R2194" s="483"/>
    </row>
    <row r="2195" spans="18:18">
      <c r="R2195" s="483"/>
    </row>
    <row r="2196" spans="18:18">
      <c r="R2196" s="483"/>
    </row>
    <row r="2197" spans="18:18">
      <c r="R2197" s="483"/>
    </row>
    <row r="2198" spans="18:18">
      <c r="R2198" s="483"/>
    </row>
    <row r="2199" spans="18:18">
      <c r="R2199" s="483"/>
    </row>
    <row r="2200" spans="18:18">
      <c r="R2200" s="483"/>
    </row>
    <row r="2201" spans="18:18">
      <c r="R2201" s="483"/>
    </row>
    <row r="2202" spans="18:18">
      <c r="R2202" s="483"/>
    </row>
    <row r="2203" spans="18:18">
      <c r="R2203" s="483"/>
    </row>
    <row r="2204" spans="18:18">
      <c r="R2204" s="483"/>
    </row>
    <row r="2205" spans="18:18">
      <c r="R2205" s="483"/>
    </row>
    <row r="2206" spans="18:18">
      <c r="R2206" s="483"/>
    </row>
    <row r="2207" spans="18:18">
      <c r="R2207" s="483"/>
    </row>
    <row r="2208" spans="18:18">
      <c r="R2208" s="483"/>
    </row>
    <row r="2209" spans="18:18">
      <c r="R2209" s="483"/>
    </row>
    <row r="2210" spans="18:18">
      <c r="R2210" s="483"/>
    </row>
    <row r="2211" spans="18:18">
      <c r="R2211" s="483"/>
    </row>
    <row r="2212" spans="18:18">
      <c r="R2212" s="483"/>
    </row>
    <row r="2213" spans="18:18">
      <c r="R2213" s="483"/>
    </row>
    <row r="2214" spans="18:18">
      <c r="R2214" s="483"/>
    </row>
    <row r="2215" spans="18:18">
      <c r="R2215" s="483"/>
    </row>
    <row r="2216" spans="18:18">
      <c r="R2216" s="483"/>
    </row>
    <row r="2217" spans="18:18">
      <c r="R2217" s="483"/>
    </row>
    <row r="2218" spans="18:18">
      <c r="R2218" s="483"/>
    </row>
    <row r="2219" spans="18:18">
      <c r="R2219" s="483"/>
    </row>
    <row r="2220" spans="18:18">
      <c r="R2220" s="483"/>
    </row>
    <row r="2221" spans="18:18">
      <c r="R2221" s="483"/>
    </row>
    <row r="2222" spans="18:18">
      <c r="R2222" s="483"/>
    </row>
    <row r="2223" spans="18:18">
      <c r="R2223" s="483"/>
    </row>
    <row r="2224" spans="18:18">
      <c r="R2224" s="483"/>
    </row>
    <row r="2225" spans="18:18">
      <c r="R2225" s="483"/>
    </row>
    <row r="2226" spans="18:18">
      <c r="R2226" s="483"/>
    </row>
    <row r="2227" spans="18:18">
      <c r="R2227" s="483"/>
    </row>
    <row r="2228" spans="18:18">
      <c r="R2228" s="483"/>
    </row>
    <row r="2229" spans="18:18">
      <c r="R2229" s="483"/>
    </row>
    <row r="2230" spans="18:18">
      <c r="R2230" s="483"/>
    </row>
    <row r="2231" spans="18:18">
      <c r="R2231" s="483"/>
    </row>
    <row r="2232" spans="18:18">
      <c r="R2232" s="483"/>
    </row>
    <row r="2233" spans="18:18">
      <c r="R2233" s="483"/>
    </row>
    <row r="2234" spans="18:18">
      <c r="R2234" s="483"/>
    </row>
    <row r="2235" spans="18:18">
      <c r="R2235" s="483"/>
    </row>
    <row r="2236" spans="18:18">
      <c r="R2236" s="483"/>
    </row>
    <row r="2237" spans="18:18">
      <c r="R2237" s="483"/>
    </row>
    <row r="2238" spans="18:18">
      <c r="R2238" s="483"/>
    </row>
    <row r="2239" spans="18:18">
      <c r="R2239" s="483"/>
    </row>
    <row r="2240" spans="18:18">
      <c r="R2240" s="483"/>
    </row>
    <row r="2241" spans="18:18">
      <c r="R2241" s="483"/>
    </row>
    <row r="2242" spans="18:18">
      <c r="R2242" s="483"/>
    </row>
    <row r="2243" spans="18:18">
      <c r="R2243" s="483"/>
    </row>
    <row r="2244" spans="18:18">
      <c r="R2244" s="483"/>
    </row>
    <row r="2245" spans="18:18">
      <c r="R2245" s="483"/>
    </row>
    <row r="2246" spans="18:18">
      <c r="R2246" s="483"/>
    </row>
    <row r="2247" spans="18:18">
      <c r="R2247" s="483"/>
    </row>
    <row r="2248" spans="18:18">
      <c r="R2248" s="483"/>
    </row>
    <row r="2249" spans="18:18">
      <c r="R2249" s="483"/>
    </row>
    <row r="2250" spans="18:18">
      <c r="R2250" s="483"/>
    </row>
    <row r="2251" spans="18:18">
      <c r="R2251" s="483"/>
    </row>
    <row r="2252" spans="18:18">
      <c r="R2252" s="483"/>
    </row>
    <row r="2253" spans="18:18">
      <c r="R2253" s="483"/>
    </row>
    <row r="2254" spans="18:18">
      <c r="R2254" s="483"/>
    </row>
    <row r="2255" spans="18:18">
      <c r="R2255" s="483"/>
    </row>
    <row r="2256" spans="18:18">
      <c r="R2256" s="483"/>
    </row>
    <row r="2257" spans="18:18">
      <c r="R2257" s="483"/>
    </row>
    <row r="2258" spans="18:18">
      <c r="R2258" s="483"/>
    </row>
    <row r="2259" spans="18:18">
      <c r="R2259" s="483"/>
    </row>
    <row r="2260" spans="18:18">
      <c r="R2260" s="483"/>
    </row>
    <row r="2261" spans="18:18">
      <c r="R2261" s="483"/>
    </row>
    <row r="2262" spans="18:18">
      <c r="R2262" s="483"/>
    </row>
    <row r="2263" spans="18:18">
      <c r="R2263" s="483"/>
    </row>
    <row r="2264" spans="18:18">
      <c r="R2264" s="483"/>
    </row>
    <row r="2265" spans="18:18">
      <c r="R2265" s="483"/>
    </row>
    <row r="2266" spans="18:18">
      <c r="R2266" s="483"/>
    </row>
    <row r="2267" spans="18:18">
      <c r="R2267" s="483"/>
    </row>
    <row r="2268" spans="18:18">
      <c r="R2268" s="483"/>
    </row>
    <row r="2269" spans="18:18">
      <c r="R2269" s="483"/>
    </row>
    <row r="2270" spans="18:18">
      <c r="R2270" s="483"/>
    </row>
    <row r="2271" spans="18:18">
      <c r="R2271" s="483"/>
    </row>
    <row r="2272" spans="18:18">
      <c r="R2272" s="483"/>
    </row>
    <row r="2273" spans="18:18">
      <c r="R2273" s="483"/>
    </row>
    <row r="2274" spans="18:18">
      <c r="R2274" s="483"/>
    </row>
    <row r="2275" spans="18:18">
      <c r="R2275" s="483"/>
    </row>
    <row r="2276" spans="18:18">
      <c r="R2276" s="483"/>
    </row>
    <row r="2277" spans="18:18">
      <c r="R2277" s="483"/>
    </row>
    <row r="2278" spans="18:18">
      <c r="R2278" s="483"/>
    </row>
    <row r="2279" spans="18:18">
      <c r="R2279" s="483"/>
    </row>
    <row r="2280" spans="18:18">
      <c r="R2280" s="483"/>
    </row>
    <row r="2281" spans="18:18">
      <c r="R2281" s="483"/>
    </row>
    <row r="2282" spans="18:18">
      <c r="R2282" s="483"/>
    </row>
    <row r="2283" spans="18:18">
      <c r="R2283" s="483"/>
    </row>
    <row r="2284" spans="18:18">
      <c r="R2284" s="483"/>
    </row>
    <row r="2285" spans="18:18">
      <c r="R2285" s="483"/>
    </row>
    <row r="2286" spans="18:18">
      <c r="R2286" s="483"/>
    </row>
    <row r="2287" spans="18:18">
      <c r="R2287" s="483"/>
    </row>
    <row r="2288" spans="18:18">
      <c r="R2288" s="483"/>
    </row>
    <row r="2289" spans="18:18">
      <c r="R2289" s="483"/>
    </row>
    <row r="2290" spans="18:18">
      <c r="R2290" s="483"/>
    </row>
    <row r="2291" spans="18:18">
      <c r="R2291" s="483"/>
    </row>
    <row r="2292" spans="18:18">
      <c r="R2292" s="483"/>
    </row>
    <row r="2293" spans="18:18">
      <c r="R2293" s="483"/>
    </row>
    <row r="2294" spans="18:18">
      <c r="R2294" s="483"/>
    </row>
    <row r="2295" spans="18:18">
      <c r="R2295" s="483"/>
    </row>
    <row r="2296" spans="18:18">
      <c r="R2296" s="483"/>
    </row>
    <row r="2297" spans="18:18">
      <c r="R2297" s="483"/>
    </row>
    <row r="2298" spans="18:18">
      <c r="R2298" s="483"/>
    </row>
    <row r="2299" spans="18:18">
      <c r="R2299" s="483"/>
    </row>
    <row r="2300" spans="18:18">
      <c r="R2300" s="483"/>
    </row>
    <row r="2301" spans="18:18">
      <c r="R2301" s="483"/>
    </row>
    <row r="2302" spans="18:18">
      <c r="R2302" s="483"/>
    </row>
    <row r="2303" spans="18:18">
      <c r="R2303" s="483"/>
    </row>
    <row r="2304" spans="18:18">
      <c r="R2304" s="483"/>
    </row>
    <row r="2305" spans="18:18">
      <c r="R2305" s="483"/>
    </row>
    <row r="2306" spans="18:18">
      <c r="R2306" s="483"/>
    </row>
    <row r="2307" spans="18:18">
      <c r="R2307" s="483"/>
    </row>
    <row r="2308" spans="18:18">
      <c r="R2308" s="483"/>
    </row>
    <row r="2309" spans="18:18">
      <c r="R2309" s="483"/>
    </row>
    <row r="2310" spans="18:18">
      <c r="R2310" s="483"/>
    </row>
    <row r="2311" spans="18:18">
      <c r="R2311" s="483"/>
    </row>
    <row r="2312" spans="18:18">
      <c r="R2312" s="483"/>
    </row>
    <row r="2313" spans="18:18">
      <c r="R2313" s="483"/>
    </row>
    <row r="2314" spans="18:18">
      <c r="R2314" s="483"/>
    </row>
    <row r="2315" spans="18:18">
      <c r="R2315" s="483"/>
    </row>
    <row r="2316" spans="18:18">
      <c r="R2316" s="483"/>
    </row>
    <row r="2317" spans="18:18">
      <c r="R2317" s="483"/>
    </row>
    <row r="2318" spans="18:18">
      <c r="R2318" s="483"/>
    </row>
    <row r="2319" spans="18:18">
      <c r="R2319" s="483"/>
    </row>
    <row r="2320" spans="18:18">
      <c r="R2320" s="483"/>
    </row>
    <row r="2321" spans="18:18">
      <c r="R2321" s="483"/>
    </row>
    <row r="2322" spans="18:18">
      <c r="R2322" s="483"/>
    </row>
    <row r="2323" spans="18:18">
      <c r="R2323" s="483"/>
    </row>
    <row r="2324" spans="18:18">
      <c r="R2324" s="483"/>
    </row>
    <row r="2325" spans="18:18">
      <c r="R2325" s="483"/>
    </row>
    <row r="2326" spans="18:18">
      <c r="R2326" s="483"/>
    </row>
    <row r="2327" spans="18:18">
      <c r="R2327" s="483"/>
    </row>
    <row r="2328" spans="18:18">
      <c r="R2328" s="483"/>
    </row>
    <row r="2329" spans="18:18">
      <c r="R2329" s="483"/>
    </row>
    <row r="2330" spans="18:18">
      <c r="R2330" s="483"/>
    </row>
    <row r="2331" spans="18:18">
      <c r="R2331" s="483"/>
    </row>
    <row r="2332" spans="18:18">
      <c r="R2332" s="483"/>
    </row>
    <row r="2333" spans="18:18">
      <c r="R2333" s="483"/>
    </row>
    <row r="2334" spans="18:18">
      <c r="R2334" s="483"/>
    </row>
    <row r="2335" spans="18:18">
      <c r="R2335" s="483"/>
    </row>
    <row r="2336" spans="18:18">
      <c r="R2336" s="483"/>
    </row>
    <row r="2337" spans="18:18">
      <c r="R2337" s="483"/>
    </row>
    <row r="2338" spans="18:18">
      <c r="R2338" s="483"/>
    </row>
    <row r="2339" spans="18:18">
      <c r="R2339" s="483"/>
    </row>
    <row r="2340" spans="18:18">
      <c r="R2340" s="483"/>
    </row>
    <row r="2341" spans="18:18">
      <c r="R2341" s="483"/>
    </row>
    <row r="2342" spans="18:18">
      <c r="R2342" s="483"/>
    </row>
    <row r="2343" spans="18:18">
      <c r="R2343" s="483"/>
    </row>
    <row r="2344" spans="18:18">
      <c r="R2344" s="483"/>
    </row>
    <row r="2345" spans="18:18">
      <c r="R2345" s="483"/>
    </row>
    <row r="2346" spans="18:18">
      <c r="R2346" s="483"/>
    </row>
    <row r="2347" spans="18:18">
      <c r="R2347" s="483"/>
    </row>
    <row r="2348" spans="18:18">
      <c r="R2348" s="483"/>
    </row>
    <row r="2349" spans="18:18">
      <c r="R2349" s="483"/>
    </row>
    <row r="2350" spans="18:18">
      <c r="R2350" s="483"/>
    </row>
    <row r="2351" spans="18:18">
      <c r="R2351" s="483"/>
    </row>
    <row r="2352" spans="18:18">
      <c r="R2352" s="483"/>
    </row>
    <row r="2353" spans="18:18">
      <c r="R2353" s="483"/>
    </row>
    <row r="2354" spans="18:18">
      <c r="R2354" s="483"/>
    </row>
    <row r="2355" spans="18:18">
      <c r="R2355" s="483"/>
    </row>
    <row r="2356" spans="18:18">
      <c r="R2356" s="483"/>
    </row>
    <row r="2357" spans="18:18">
      <c r="R2357" s="483"/>
    </row>
    <row r="2358" spans="18:18">
      <c r="R2358" s="483"/>
    </row>
    <row r="2359" spans="18:18">
      <c r="R2359" s="483"/>
    </row>
    <row r="2360" spans="18:18">
      <c r="R2360" s="483"/>
    </row>
    <row r="2361" spans="18:18">
      <c r="R2361" s="483"/>
    </row>
    <row r="2362" spans="18:18">
      <c r="R2362" s="483"/>
    </row>
    <row r="2363" spans="18:18">
      <c r="R2363" s="483"/>
    </row>
    <row r="2364" spans="18:18">
      <c r="R2364" s="483"/>
    </row>
    <row r="2365" spans="18:18">
      <c r="R2365" s="483"/>
    </row>
    <row r="2366" spans="18:18">
      <c r="R2366" s="483"/>
    </row>
    <row r="2367" spans="18:18">
      <c r="R2367" s="483"/>
    </row>
    <row r="2368" spans="18:18">
      <c r="R2368" s="483"/>
    </row>
    <row r="2369" spans="18:18">
      <c r="R2369" s="483"/>
    </row>
    <row r="2370" spans="18:18">
      <c r="R2370" s="483"/>
    </row>
    <row r="2371" spans="18:18">
      <c r="R2371" s="483"/>
    </row>
    <row r="2372" spans="18:18">
      <c r="R2372" s="483"/>
    </row>
    <row r="2373" spans="18:18">
      <c r="R2373" s="483"/>
    </row>
    <row r="2374" spans="18:18">
      <c r="R2374" s="483"/>
    </row>
    <row r="2375" spans="18:18">
      <c r="R2375" s="483"/>
    </row>
    <row r="2376" spans="18:18">
      <c r="R2376" s="483"/>
    </row>
    <row r="2377" spans="18:18">
      <c r="R2377" s="483"/>
    </row>
    <row r="2378" spans="18:18">
      <c r="R2378" s="483"/>
    </row>
    <row r="2379" spans="18:18">
      <c r="R2379" s="483"/>
    </row>
    <row r="2380" spans="18:18">
      <c r="R2380" s="483"/>
    </row>
    <row r="2381" spans="18:18">
      <c r="R2381" s="483"/>
    </row>
    <row r="2382" spans="18:18">
      <c r="R2382" s="483"/>
    </row>
    <row r="2383" spans="18:18">
      <c r="R2383" s="483"/>
    </row>
    <row r="2384" spans="18:18">
      <c r="R2384" s="483"/>
    </row>
    <row r="2385" spans="18:18">
      <c r="R2385" s="483"/>
    </row>
    <row r="2386" spans="18:18">
      <c r="R2386" s="483"/>
    </row>
    <row r="2387" spans="18:18">
      <c r="R2387" s="483"/>
    </row>
    <row r="2388" spans="18:18">
      <c r="R2388" s="483"/>
    </row>
    <row r="2389" spans="18:18">
      <c r="R2389" s="483"/>
    </row>
    <row r="2390" spans="18:18">
      <c r="R2390" s="483"/>
    </row>
    <row r="2391" spans="18:18">
      <c r="R2391" s="483"/>
    </row>
    <row r="2392" spans="18:18">
      <c r="R2392" s="483"/>
    </row>
    <row r="2393" spans="18:18">
      <c r="R2393" s="483"/>
    </row>
    <row r="2394" spans="18:18">
      <c r="R2394" s="483"/>
    </row>
    <row r="2395" spans="18:18">
      <c r="R2395" s="483"/>
    </row>
    <row r="2396" spans="18:18">
      <c r="R2396" s="483"/>
    </row>
    <row r="2397" spans="18:18">
      <c r="R2397" s="483"/>
    </row>
    <row r="2398" spans="18:18">
      <c r="R2398" s="483"/>
    </row>
    <row r="2399" spans="18:18">
      <c r="R2399" s="483"/>
    </row>
    <row r="2400" spans="18:18">
      <c r="R2400" s="483"/>
    </row>
    <row r="2401" spans="18:18">
      <c r="R2401" s="483"/>
    </row>
    <row r="2402" spans="18:18">
      <c r="R2402" s="483"/>
    </row>
    <row r="2403" spans="18:18">
      <c r="R2403" s="483"/>
    </row>
    <row r="2404" spans="18:18">
      <c r="R2404" s="483"/>
    </row>
    <row r="2405" spans="18:18">
      <c r="R2405" s="483"/>
    </row>
    <row r="2406" spans="18:18">
      <c r="R2406" s="483"/>
    </row>
    <row r="2407" spans="18:18">
      <c r="R2407" s="483"/>
    </row>
    <row r="2408" spans="18:18">
      <c r="R2408" s="483"/>
    </row>
    <row r="2409" spans="18:18">
      <c r="R2409" s="483"/>
    </row>
    <row r="2410" spans="18:18">
      <c r="R2410" s="483"/>
    </row>
    <row r="2411" spans="18:18">
      <c r="R2411" s="483"/>
    </row>
    <row r="2412" spans="18:18">
      <c r="R2412" s="483"/>
    </row>
    <row r="2413" spans="18:18">
      <c r="R2413" s="483"/>
    </row>
    <row r="2414" spans="18:18">
      <c r="R2414" s="483"/>
    </row>
    <row r="2415" spans="18:18">
      <c r="R2415" s="483"/>
    </row>
    <row r="2416" spans="18:18">
      <c r="R2416" s="483"/>
    </row>
    <row r="2417" spans="18:18">
      <c r="R2417" s="483"/>
    </row>
    <row r="2418" spans="18:18">
      <c r="R2418" s="483"/>
    </row>
    <row r="2419" spans="18:18">
      <c r="R2419" s="483"/>
    </row>
    <row r="2420" spans="18:18">
      <c r="R2420" s="483"/>
    </row>
    <row r="2421" spans="18:18">
      <c r="R2421" s="483"/>
    </row>
    <row r="2422" spans="18:18">
      <c r="R2422" s="483"/>
    </row>
    <row r="2423" spans="18:18">
      <c r="R2423" s="483"/>
    </row>
    <row r="2424" spans="18:18">
      <c r="R2424" s="483"/>
    </row>
    <row r="2425" spans="18:18">
      <c r="R2425" s="483"/>
    </row>
    <row r="2426" spans="18:18">
      <c r="R2426" s="483"/>
    </row>
    <row r="2427" spans="18:18">
      <c r="R2427" s="483"/>
    </row>
    <row r="2428" spans="18:18">
      <c r="R2428" s="483"/>
    </row>
    <row r="2429" spans="18:18">
      <c r="R2429" s="483"/>
    </row>
    <row r="2430" spans="18:18">
      <c r="R2430" s="483"/>
    </row>
    <row r="2431" spans="18:18">
      <c r="R2431" s="483"/>
    </row>
    <row r="2432" spans="18:18">
      <c r="R2432" s="483"/>
    </row>
    <row r="2433" spans="18:18">
      <c r="R2433" s="483"/>
    </row>
    <row r="2434" spans="18:18">
      <c r="R2434" s="483"/>
    </row>
    <row r="2435" spans="18:18">
      <c r="R2435" s="483"/>
    </row>
    <row r="2436" spans="18:18">
      <c r="R2436" s="483"/>
    </row>
    <row r="2437" spans="18:18">
      <c r="R2437" s="483"/>
    </row>
    <row r="2438" spans="18:18">
      <c r="R2438" s="483"/>
    </row>
    <row r="2439" spans="18:18">
      <c r="R2439" s="483"/>
    </row>
    <row r="2440" spans="18:18">
      <c r="R2440" s="483"/>
    </row>
    <row r="2441" spans="18:18">
      <c r="R2441" s="483"/>
    </row>
    <row r="2442" spans="18:18">
      <c r="R2442" s="483"/>
    </row>
    <row r="2443" spans="18:18">
      <c r="R2443" s="483"/>
    </row>
    <row r="2444" spans="18:18">
      <c r="R2444" s="483"/>
    </row>
    <row r="2445" spans="18:18">
      <c r="R2445" s="483"/>
    </row>
    <row r="2446" spans="18:18">
      <c r="R2446" s="483"/>
    </row>
    <row r="2447" spans="18:18">
      <c r="R2447" s="483"/>
    </row>
    <row r="2448" spans="18:18">
      <c r="R2448" s="483"/>
    </row>
    <row r="2449" spans="18:18">
      <c r="R2449" s="483"/>
    </row>
    <row r="2450" spans="18:18">
      <c r="R2450" s="483"/>
    </row>
    <row r="2451" spans="18:18">
      <c r="R2451" s="483"/>
    </row>
    <row r="2452" spans="18:18">
      <c r="R2452" s="483"/>
    </row>
    <row r="2453" spans="18:18">
      <c r="R2453" s="483"/>
    </row>
    <row r="2454" spans="18:18">
      <c r="R2454" s="483"/>
    </row>
    <row r="2455" spans="18:18">
      <c r="R2455" s="483"/>
    </row>
    <row r="2456" spans="18:18">
      <c r="R2456" s="483"/>
    </row>
    <row r="2457" spans="18:18">
      <c r="R2457" s="483"/>
    </row>
    <row r="2458" spans="18:18">
      <c r="R2458" s="483"/>
    </row>
    <row r="2459" spans="18:18">
      <c r="R2459" s="483"/>
    </row>
    <row r="2460" spans="18:18">
      <c r="R2460" s="483"/>
    </row>
    <row r="2461" spans="18:18">
      <c r="R2461" s="483"/>
    </row>
    <row r="2462" spans="18:18">
      <c r="R2462" s="483"/>
    </row>
    <row r="2463" spans="18:18">
      <c r="R2463" s="483"/>
    </row>
    <row r="2464" spans="18:18">
      <c r="R2464" s="483"/>
    </row>
    <row r="2465" spans="18:18">
      <c r="R2465" s="483"/>
    </row>
    <row r="2466" spans="18:18">
      <c r="R2466" s="483"/>
    </row>
    <row r="2467" spans="18:18">
      <c r="R2467" s="483"/>
    </row>
    <row r="2468" spans="18:18">
      <c r="R2468" s="483"/>
    </row>
    <row r="2469" spans="18:18">
      <c r="R2469" s="483"/>
    </row>
    <row r="2470" spans="18:18">
      <c r="R2470" s="483"/>
    </row>
    <row r="2471" spans="18:18">
      <c r="R2471" s="483"/>
    </row>
    <row r="2472" spans="18:18">
      <c r="R2472" s="483"/>
    </row>
    <row r="2473" spans="18:18">
      <c r="R2473" s="483"/>
    </row>
    <row r="2474" spans="18:18">
      <c r="R2474" s="483"/>
    </row>
    <row r="2475" spans="18:18">
      <c r="R2475" s="483"/>
    </row>
    <row r="2476" spans="18:18">
      <c r="R2476" s="483"/>
    </row>
    <row r="2477" spans="18:18">
      <c r="R2477" s="483"/>
    </row>
    <row r="2478" spans="18:18">
      <c r="R2478" s="483"/>
    </row>
    <row r="2479" spans="18:18">
      <c r="R2479" s="483"/>
    </row>
    <row r="2480" spans="18:18">
      <c r="R2480" s="483"/>
    </row>
    <row r="2481" spans="18:18">
      <c r="R2481" s="483"/>
    </row>
    <row r="2482" spans="18:18">
      <c r="R2482" s="483"/>
    </row>
    <row r="2483" spans="18:18">
      <c r="R2483" s="483"/>
    </row>
    <row r="2484" spans="18:18">
      <c r="R2484" s="483"/>
    </row>
    <row r="2485" spans="18:18">
      <c r="R2485" s="483"/>
    </row>
    <row r="2486" spans="18:18">
      <c r="R2486" s="483"/>
    </row>
    <row r="2487" spans="18:18">
      <c r="R2487" s="483"/>
    </row>
    <row r="2488" spans="18:18">
      <c r="R2488" s="483"/>
    </row>
    <row r="2489" spans="18:18">
      <c r="R2489" s="483"/>
    </row>
    <row r="2490" spans="18:18">
      <c r="R2490" s="483"/>
    </row>
    <row r="2491" spans="18:18">
      <c r="R2491" s="483"/>
    </row>
    <row r="2492" spans="18:18">
      <c r="R2492" s="483"/>
    </row>
    <row r="2493" spans="18:18">
      <c r="R2493" s="483"/>
    </row>
    <row r="2494" spans="18:18">
      <c r="R2494" s="483"/>
    </row>
    <row r="2495" spans="18:18">
      <c r="R2495" s="483"/>
    </row>
    <row r="2496" spans="18:18">
      <c r="R2496" s="483"/>
    </row>
    <row r="2497" spans="18:18">
      <c r="R2497" s="483"/>
    </row>
    <row r="2498" spans="18:18">
      <c r="R2498" s="483"/>
    </row>
    <row r="2499" spans="18:18">
      <c r="R2499" s="483"/>
    </row>
    <row r="2500" spans="18:18">
      <c r="R2500" s="483"/>
    </row>
    <row r="2501" spans="18:18">
      <c r="R2501" s="483"/>
    </row>
    <row r="2502" spans="18:18">
      <c r="R2502" s="483"/>
    </row>
    <row r="2503" spans="18:18">
      <c r="R2503" s="483"/>
    </row>
    <row r="2504" spans="18:18">
      <c r="R2504" s="483"/>
    </row>
    <row r="2505" spans="18:18">
      <c r="R2505" s="483"/>
    </row>
    <row r="2506" spans="18:18">
      <c r="R2506" s="483"/>
    </row>
    <row r="2507" spans="18:18">
      <c r="R2507" s="483"/>
    </row>
    <row r="2508" spans="18:18">
      <c r="R2508" s="483"/>
    </row>
    <row r="2509" spans="18:18">
      <c r="R2509" s="483"/>
    </row>
    <row r="2510" spans="18:18">
      <c r="R2510" s="483"/>
    </row>
    <row r="2511" spans="18:18">
      <c r="R2511" s="483"/>
    </row>
    <row r="2512" spans="18:18">
      <c r="R2512" s="483"/>
    </row>
    <row r="2513" spans="18:18">
      <c r="R2513" s="483"/>
    </row>
    <row r="2514" spans="18:18">
      <c r="R2514" s="483"/>
    </row>
    <row r="2515" spans="18:18">
      <c r="R2515" s="483"/>
    </row>
    <row r="2516" spans="18:18">
      <c r="R2516" s="483"/>
    </row>
    <row r="2517" spans="18:18">
      <c r="R2517" s="483"/>
    </row>
    <row r="2518" spans="18:18">
      <c r="R2518" s="483"/>
    </row>
    <row r="2519" spans="18:18">
      <c r="R2519" s="483"/>
    </row>
    <row r="2520" spans="18:18">
      <c r="R2520" s="483"/>
    </row>
    <row r="2521" spans="18:18">
      <c r="R2521" s="483"/>
    </row>
    <row r="2522" spans="18:18">
      <c r="R2522" s="483"/>
    </row>
    <row r="2523" spans="18:18">
      <c r="R2523" s="483"/>
    </row>
    <row r="2524" spans="18:18">
      <c r="R2524" s="483"/>
    </row>
    <row r="2525" spans="18:18">
      <c r="R2525" s="483"/>
    </row>
    <row r="2526" spans="18:18">
      <c r="R2526" s="483"/>
    </row>
    <row r="2527" spans="18:18">
      <c r="R2527" s="483"/>
    </row>
    <row r="2528" spans="18:18">
      <c r="R2528" s="483"/>
    </row>
    <row r="2529" spans="18:18">
      <c r="R2529" s="483"/>
    </row>
    <row r="2530" spans="18:18">
      <c r="R2530" s="483"/>
    </row>
    <row r="2531" spans="18:18">
      <c r="R2531" s="483"/>
    </row>
    <row r="2532" spans="18:18">
      <c r="R2532" s="483"/>
    </row>
    <row r="2533" spans="18:18">
      <c r="R2533" s="483"/>
    </row>
    <row r="2534" spans="18:18">
      <c r="R2534" s="483"/>
    </row>
    <row r="2535" spans="18:18">
      <c r="R2535" s="483"/>
    </row>
    <row r="2536" spans="18:18">
      <c r="R2536" s="483"/>
    </row>
    <row r="2537" spans="18:18">
      <c r="R2537" s="483"/>
    </row>
    <row r="2538" spans="18:18">
      <c r="R2538" s="483"/>
    </row>
    <row r="2539" spans="18:18">
      <c r="R2539" s="483"/>
    </row>
    <row r="2540" spans="18:18">
      <c r="R2540" s="483"/>
    </row>
    <row r="2541" spans="18:18">
      <c r="R2541" s="483"/>
    </row>
    <row r="2542" spans="18:18">
      <c r="R2542" s="483"/>
    </row>
    <row r="2543" spans="18:18">
      <c r="R2543" s="483"/>
    </row>
    <row r="2544" spans="18:18">
      <c r="R2544" s="483"/>
    </row>
    <row r="2545" spans="18:18">
      <c r="R2545" s="483"/>
    </row>
    <row r="2546" spans="18:18">
      <c r="R2546" s="483"/>
    </row>
    <row r="2547" spans="18:18">
      <c r="R2547" s="483"/>
    </row>
    <row r="2548" spans="18:18">
      <c r="R2548" s="483"/>
    </row>
    <row r="2549" spans="18:18">
      <c r="R2549" s="483"/>
    </row>
    <row r="2550" spans="18:18">
      <c r="R2550" s="483"/>
    </row>
    <row r="2551" spans="18:18">
      <c r="R2551" s="483"/>
    </row>
    <row r="2552" spans="18:18">
      <c r="R2552" s="483"/>
    </row>
    <row r="2553" spans="18:18">
      <c r="R2553" s="483"/>
    </row>
    <row r="2554" spans="18:18">
      <c r="R2554" s="483"/>
    </row>
    <row r="2555" spans="18:18">
      <c r="R2555" s="483"/>
    </row>
    <row r="2556" spans="18:18">
      <c r="R2556" s="483"/>
    </row>
    <row r="2557" spans="18:18">
      <c r="R2557" s="483"/>
    </row>
    <row r="2558" spans="18:18">
      <c r="R2558" s="483"/>
    </row>
    <row r="2559" spans="18:18">
      <c r="R2559" s="483"/>
    </row>
    <row r="2560" spans="18:18">
      <c r="R2560" s="483"/>
    </row>
    <row r="2561" spans="18:18">
      <c r="R2561" s="483"/>
    </row>
    <row r="2562" spans="18:18">
      <c r="R2562" s="483"/>
    </row>
    <row r="2563" spans="18:18">
      <c r="R2563" s="483"/>
    </row>
    <row r="2564" spans="18:18">
      <c r="R2564" s="483"/>
    </row>
    <row r="2565" spans="18:18">
      <c r="R2565" s="483"/>
    </row>
    <row r="2566" spans="18:18">
      <c r="R2566" s="483"/>
    </row>
    <row r="2567" spans="18:18">
      <c r="R2567" s="483"/>
    </row>
    <row r="2568" spans="18:18">
      <c r="R2568" s="483"/>
    </row>
    <row r="2569" spans="18:18">
      <c r="R2569" s="483"/>
    </row>
    <row r="2570" spans="18:18">
      <c r="R2570" s="483"/>
    </row>
    <row r="2571" spans="18:18">
      <c r="R2571" s="483"/>
    </row>
    <row r="2572" spans="18:18">
      <c r="R2572" s="483"/>
    </row>
    <row r="2573" spans="18:18">
      <c r="R2573" s="483"/>
    </row>
    <row r="2574" spans="18:18">
      <c r="R2574" s="483"/>
    </row>
    <row r="2575" spans="18:18">
      <c r="R2575" s="483"/>
    </row>
    <row r="2576" spans="18:18">
      <c r="R2576" s="483"/>
    </row>
    <row r="2577" spans="18:18">
      <c r="R2577" s="483"/>
    </row>
    <row r="2578" spans="18:18">
      <c r="R2578" s="483"/>
    </row>
    <row r="2579" spans="18:18">
      <c r="R2579" s="483"/>
    </row>
    <row r="2580" spans="18:18">
      <c r="R2580" s="483"/>
    </row>
    <row r="2581" spans="18:18">
      <c r="R2581" s="483"/>
    </row>
    <row r="2582" spans="18:18">
      <c r="R2582" s="483"/>
    </row>
    <row r="2583" spans="18:18">
      <c r="R2583" s="483"/>
    </row>
    <row r="2584" spans="18:18">
      <c r="R2584" s="483"/>
    </row>
    <row r="2585" spans="18:18">
      <c r="R2585" s="483"/>
    </row>
    <row r="2586" spans="18:18">
      <c r="R2586" s="483"/>
    </row>
    <row r="2587" spans="18:18">
      <c r="R2587" s="483"/>
    </row>
    <row r="2588" spans="18:18">
      <c r="R2588" s="483"/>
    </row>
    <row r="2589" spans="18:18">
      <c r="R2589" s="483"/>
    </row>
    <row r="2590" spans="18:18">
      <c r="R2590" s="483"/>
    </row>
    <row r="2591" spans="18:18">
      <c r="R2591" s="483"/>
    </row>
    <row r="2592" spans="18:18">
      <c r="R2592" s="483"/>
    </row>
    <row r="2593" spans="18:18">
      <c r="R2593" s="483"/>
    </row>
    <row r="2594" spans="18:18">
      <c r="R2594" s="483"/>
    </row>
    <row r="2595" spans="18:18">
      <c r="R2595" s="483"/>
    </row>
    <row r="2596" spans="18:18">
      <c r="R2596" s="483"/>
    </row>
    <row r="2597" spans="18:18">
      <c r="R2597" s="483"/>
    </row>
    <row r="2598" spans="18:18">
      <c r="R2598" s="483"/>
    </row>
    <row r="2599" spans="18:18">
      <c r="R2599" s="483"/>
    </row>
    <row r="2600" spans="18:18">
      <c r="R2600" s="483"/>
    </row>
    <row r="2601" spans="18:18">
      <c r="R2601" s="483"/>
    </row>
    <row r="2602" spans="18:18">
      <c r="R2602" s="483"/>
    </row>
    <row r="2603" spans="18:18">
      <c r="R2603" s="483"/>
    </row>
    <row r="2604" spans="18:18">
      <c r="R2604" s="483"/>
    </row>
    <row r="2605" spans="18:18">
      <c r="R2605" s="483"/>
    </row>
    <row r="2606" spans="18:18">
      <c r="R2606" s="483"/>
    </row>
    <row r="2607" spans="18:18">
      <c r="R2607" s="483"/>
    </row>
    <row r="2608" spans="18:18">
      <c r="R2608" s="483"/>
    </row>
    <row r="2609" spans="18:18">
      <c r="R2609" s="483"/>
    </row>
    <row r="2610" spans="18:18">
      <c r="R2610" s="483"/>
    </row>
    <row r="2611" spans="18:18">
      <c r="R2611" s="483"/>
    </row>
    <row r="2612" spans="18:18">
      <c r="R2612" s="483"/>
    </row>
    <row r="2613" spans="18:18">
      <c r="R2613" s="483"/>
    </row>
    <row r="2614" spans="18:18">
      <c r="R2614" s="483"/>
    </row>
    <row r="2615" spans="18:18">
      <c r="R2615" s="483"/>
    </row>
    <row r="2616" spans="18:18">
      <c r="R2616" s="483"/>
    </row>
    <row r="2617" spans="18:18">
      <c r="R2617" s="483"/>
    </row>
    <row r="2618" spans="18:18">
      <c r="R2618" s="483"/>
    </row>
    <row r="2619" spans="18:18">
      <c r="R2619" s="483"/>
    </row>
    <row r="2620" spans="18:18">
      <c r="R2620" s="483"/>
    </row>
    <row r="2621" spans="18:18">
      <c r="R2621" s="483"/>
    </row>
    <row r="2622" spans="18:18">
      <c r="R2622" s="483"/>
    </row>
    <row r="2623" spans="18:18">
      <c r="R2623" s="483"/>
    </row>
    <row r="2624" spans="18:18">
      <c r="R2624" s="483"/>
    </row>
    <row r="2625" spans="18:18">
      <c r="R2625" s="483"/>
    </row>
    <row r="2626" spans="18:18">
      <c r="R2626" s="483"/>
    </row>
    <row r="2627" spans="18:18">
      <c r="R2627" s="483"/>
    </row>
    <row r="2628" spans="18:18">
      <c r="R2628" s="483"/>
    </row>
    <row r="2629" spans="18:18">
      <c r="R2629" s="483"/>
    </row>
    <row r="2630" spans="18:18">
      <c r="R2630" s="483"/>
    </row>
    <row r="2631" spans="18:18">
      <c r="R2631" s="483"/>
    </row>
    <row r="2632" spans="18:18">
      <c r="R2632" s="483"/>
    </row>
    <row r="2633" spans="18:18">
      <c r="R2633" s="483"/>
    </row>
    <row r="2634" spans="18:18">
      <c r="R2634" s="483"/>
    </row>
    <row r="2635" spans="18:18">
      <c r="R2635" s="483"/>
    </row>
    <row r="2636" spans="18:18">
      <c r="R2636" s="483"/>
    </row>
    <row r="2637" spans="18:18">
      <c r="R2637" s="483"/>
    </row>
    <row r="2638" spans="18:18">
      <c r="R2638" s="483"/>
    </row>
    <row r="2639" spans="18:18">
      <c r="R2639" s="483"/>
    </row>
    <row r="2640" spans="18:18">
      <c r="R2640" s="483"/>
    </row>
    <row r="2641" spans="18:18">
      <c r="R2641" s="483"/>
    </row>
    <row r="2642" spans="18:18">
      <c r="R2642" s="483"/>
    </row>
    <row r="2643" spans="18:18">
      <c r="R2643" s="483"/>
    </row>
    <row r="2644" spans="18:18">
      <c r="R2644" s="483"/>
    </row>
    <row r="2645" spans="18:18">
      <c r="R2645" s="483"/>
    </row>
    <row r="2646" spans="18:18">
      <c r="R2646" s="483"/>
    </row>
    <row r="2647" spans="18:18">
      <c r="R2647" s="483"/>
    </row>
    <row r="2648" spans="18:18">
      <c r="R2648" s="483"/>
    </row>
    <row r="2649" spans="18:18">
      <c r="R2649" s="483"/>
    </row>
    <row r="2650" spans="18:18">
      <c r="R2650" s="483"/>
    </row>
    <row r="2651" spans="18:18">
      <c r="R2651" s="483"/>
    </row>
    <row r="2652" spans="18:18">
      <c r="R2652" s="483"/>
    </row>
    <row r="2653" spans="18:18">
      <c r="R2653" s="483"/>
    </row>
    <row r="2654" spans="18:18">
      <c r="R2654" s="483"/>
    </row>
    <row r="2655" spans="18:18">
      <c r="R2655" s="483"/>
    </row>
    <row r="2656" spans="18:18">
      <c r="R2656" s="483"/>
    </row>
    <row r="2657" spans="18:18">
      <c r="R2657" s="483"/>
    </row>
    <row r="2658" spans="18:18">
      <c r="R2658" s="483"/>
    </row>
    <row r="2659" spans="18:18">
      <c r="R2659" s="483"/>
    </row>
    <row r="2660" spans="18:18">
      <c r="R2660" s="483"/>
    </row>
    <row r="2661" spans="18:18">
      <c r="R2661" s="483"/>
    </row>
    <row r="2662" spans="18:18">
      <c r="R2662" s="483"/>
    </row>
    <row r="2663" spans="18:18">
      <c r="R2663" s="483"/>
    </row>
    <row r="2664" spans="18:18">
      <c r="R2664" s="483"/>
    </row>
    <row r="2665" spans="18:18">
      <c r="R2665" s="483"/>
    </row>
    <row r="2666" spans="18:18">
      <c r="R2666" s="483"/>
    </row>
    <row r="2667" spans="18:18">
      <c r="R2667" s="483"/>
    </row>
    <row r="2668" spans="18:18">
      <c r="R2668" s="483"/>
    </row>
    <row r="2669" spans="18:18">
      <c r="R2669" s="483"/>
    </row>
    <row r="2670" spans="18:18">
      <c r="R2670" s="483"/>
    </row>
    <row r="2671" spans="18:18">
      <c r="R2671" s="483"/>
    </row>
    <row r="2672" spans="18:18">
      <c r="R2672" s="483"/>
    </row>
    <row r="2673" spans="18:18">
      <c r="R2673" s="483"/>
    </row>
    <row r="2674" spans="18:18">
      <c r="R2674" s="483"/>
    </row>
    <row r="2675" spans="18:18">
      <c r="R2675" s="483"/>
    </row>
    <row r="2676" spans="18:18">
      <c r="R2676" s="483"/>
    </row>
    <row r="2677" spans="18:18">
      <c r="R2677" s="483"/>
    </row>
    <row r="2678" spans="18:18">
      <c r="R2678" s="483"/>
    </row>
    <row r="2679" spans="18:18">
      <c r="R2679" s="483"/>
    </row>
    <row r="2680" spans="18:18">
      <c r="R2680" s="483"/>
    </row>
    <row r="2681" spans="18:18">
      <c r="R2681" s="483"/>
    </row>
    <row r="2682" spans="18:18">
      <c r="R2682" s="483"/>
    </row>
    <row r="2683" spans="18:18">
      <c r="R2683" s="483"/>
    </row>
    <row r="2684" spans="18:18">
      <c r="R2684" s="483"/>
    </row>
    <row r="2685" spans="18:18">
      <c r="R2685" s="483"/>
    </row>
    <row r="2686" spans="18:18">
      <c r="R2686" s="483"/>
    </row>
    <row r="2687" spans="18:18">
      <c r="R2687" s="483"/>
    </row>
    <row r="2688" spans="18:18">
      <c r="R2688" s="483"/>
    </row>
    <row r="2689" spans="18:18">
      <c r="R2689" s="483"/>
    </row>
    <row r="2690" spans="18:18">
      <c r="R2690" s="483"/>
    </row>
    <row r="2691" spans="18:18">
      <c r="R2691" s="483"/>
    </row>
    <row r="2692" spans="18:18">
      <c r="R2692" s="483"/>
    </row>
    <row r="2693" spans="18:18">
      <c r="R2693" s="483"/>
    </row>
    <row r="2694" spans="18:18">
      <c r="R2694" s="483"/>
    </row>
    <row r="2695" spans="18:18">
      <c r="R2695" s="483"/>
    </row>
    <row r="2696" spans="18:18">
      <c r="R2696" s="483"/>
    </row>
    <row r="2697" spans="18:18">
      <c r="R2697" s="483"/>
    </row>
    <row r="2698" spans="18:18">
      <c r="R2698" s="483"/>
    </row>
    <row r="2699" spans="18:18">
      <c r="R2699" s="483"/>
    </row>
    <row r="2700" spans="18:18">
      <c r="R2700" s="483"/>
    </row>
    <row r="2701" spans="18:18">
      <c r="R2701" s="483"/>
    </row>
    <row r="2702" spans="18:18">
      <c r="R2702" s="483"/>
    </row>
    <row r="2703" spans="18:18">
      <c r="R2703" s="483"/>
    </row>
    <row r="2704" spans="18:18">
      <c r="R2704" s="483"/>
    </row>
    <row r="2705" spans="18:18">
      <c r="R2705" s="483"/>
    </row>
    <row r="2706" spans="18:18">
      <c r="R2706" s="483"/>
    </row>
    <row r="2707" spans="18:18">
      <c r="R2707" s="483"/>
    </row>
    <row r="2708" spans="18:18">
      <c r="R2708" s="483"/>
    </row>
    <row r="2709" spans="18:18">
      <c r="R2709" s="483"/>
    </row>
    <row r="2710" spans="18:18">
      <c r="R2710" s="483"/>
    </row>
    <row r="2711" spans="18:18">
      <c r="R2711" s="483"/>
    </row>
    <row r="2712" spans="18:18">
      <c r="R2712" s="483"/>
    </row>
    <row r="2713" spans="18:18">
      <c r="R2713" s="483"/>
    </row>
    <row r="2714" spans="18:18">
      <c r="R2714" s="483"/>
    </row>
    <row r="2715" spans="18:18">
      <c r="R2715" s="483"/>
    </row>
    <row r="2716" spans="18:18">
      <c r="R2716" s="483"/>
    </row>
    <row r="2717" spans="18:18">
      <c r="R2717" s="483"/>
    </row>
    <row r="2718" spans="18:18">
      <c r="R2718" s="483"/>
    </row>
    <row r="2719" spans="18:18">
      <c r="R2719" s="483"/>
    </row>
    <row r="2720" spans="18:18">
      <c r="R2720" s="483"/>
    </row>
    <row r="2721" spans="18:18">
      <c r="R2721" s="483"/>
    </row>
    <row r="2722" spans="18:18">
      <c r="R2722" s="483"/>
    </row>
    <row r="2723" spans="18:18">
      <c r="R2723" s="483"/>
    </row>
    <row r="2724" spans="18:18">
      <c r="R2724" s="483"/>
    </row>
    <row r="2725" spans="18:18">
      <c r="R2725" s="483"/>
    </row>
    <row r="2726" spans="18:18">
      <c r="R2726" s="483"/>
    </row>
    <row r="2727" spans="18:18">
      <c r="R2727" s="483"/>
    </row>
    <row r="2728" spans="18:18">
      <c r="R2728" s="483"/>
    </row>
    <row r="2729" spans="18:18">
      <c r="R2729" s="483"/>
    </row>
    <row r="2730" spans="18:18">
      <c r="R2730" s="483"/>
    </row>
    <row r="2731" spans="18:18">
      <c r="R2731" s="483"/>
    </row>
    <row r="2732" spans="18:18">
      <c r="R2732" s="483"/>
    </row>
    <row r="2733" spans="18:18">
      <c r="R2733" s="483"/>
    </row>
    <row r="2734" spans="18:18">
      <c r="R2734" s="483"/>
    </row>
    <row r="2735" spans="18:18">
      <c r="R2735" s="483"/>
    </row>
    <row r="2736" spans="18:18">
      <c r="R2736" s="483"/>
    </row>
    <row r="2737" spans="18:18">
      <c r="R2737" s="483"/>
    </row>
    <row r="2738" spans="18:18">
      <c r="R2738" s="483"/>
    </row>
    <row r="2739" spans="18:18">
      <c r="R2739" s="483"/>
    </row>
    <row r="2740" spans="18:18">
      <c r="R2740" s="483"/>
    </row>
    <row r="2741" spans="18:18">
      <c r="R2741" s="483"/>
    </row>
    <row r="2742" spans="18:18">
      <c r="R2742" s="483"/>
    </row>
    <row r="2743" spans="18:18">
      <c r="R2743" s="483"/>
    </row>
    <row r="2744" spans="18:18">
      <c r="R2744" s="483"/>
    </row>
    <row r="2745" spans="18:18">
      <c r="R2745" s="483"/>
    </row>
    <row r="2746" spans="18:18">
      <c r="R2746" s="483"/>
    </row>
    <row r="2747" spans="18:18">
      <c r="R2747" s="483"/>
    </row>
    <row r="2748" spans="18:18">
      <c r="R2748" s="483"/>
    </row>
    <row r="2749" spans="18:18">
      <c r="R2749" s="483"/>
    </row>
    <row r="2750" spans="18:18">
      <c r="R2750" s="483"/>
    </row>
    <row r="2751" spans="18:18">
      <c r="R2751" s="483"/>
    </row>
    <row r="2752" spans="18:18">
      <c r="R2752" s="483"/>
    </row>
    <row r="2753" spans="18:18">
      <c r="R2753" s="483"/>
    </row>
    <row r="2754" spans="18:18">
      <c r="R2754" s="483"/>
    </row>
    <row r="2755" spans="18:18">
      <c r="R2755" s="483"/>
    </row>
    <row r="2756" spans="18:18">
      <c r="R2756" s="483"/>
    </row>
    <row r="2757" spans="18:18">
      <c r="R2757" s="483"/>
    </row>
    <row r="2758" spans="18:18">
      <c r="R2758" s="483"/>
    </row>
    <row r="2759" spans="18:18">
      <c r="R2759" s="483"/>
    </row>
    <row r="2760" spans="18:18">
      <c r="R2760" s="483"/>
    </row>
    <row r="2761" spans="18:18">
      <c r="R2761" s="483"/>
    </row>
    <row r="2762" spans="18:18">
      <c r="R2762" s="483"/>
    </row>
    <row r="2763" spans="18:18">
      <c r="R2763" s="483"/>
    </row>
    <row r="2764" spans="18:18">
      <c r="R2764" s="483"/>
    </row>
    <row r="2765" spans="18:18">
      <c r="R2765" s="483"/>
    </row>
    <row r="2766" spans="18:18">
      <c r="R2766" s="483"/>
    </row>
    <row r="2767" spans="18:18">
      <c r="R2767" s="483"/>
    </row>
    <row r="2768" spans="18:18">
      <c r="R2768" s="483"/>
    </row>
    <row r="2769" spans="18:18">
      <c r="R2769" s="483"/>
    </row>
    <row r="2770" spans="18:18">
      <c r="R2770" s="483"/>
    </row>
    <row r="2771" spans="18:18">
      <c r="R2771" s="483"/>
    </row>
    <row r="2772" spans="18:18">
      <c r="R2772" s="483"/>
    </row>
    <row r="2773" spans="18:18">
      <c r="R2773" s="483"/>
    </row>
    <row r="2774" spans="18:18">
      <c r="R2774" s="483"/>
    </row>
    <row r="2775" spans="18:18">
      <c r="R2775" s="483"/>
    </row>
    <row r="2776" spans="18:18">
      <c r="R2776" s="483"/>
    </row>
    <row r="2777" spans="18:18">
      <c r="R2777" s="483"/>
    </row>
    <row r="2778" spans="18:18">
      <c r="R2778" s="483"/>
    </row>
    <row r="2779" spans="18:18">
      <c r="R2779" s="483"/>
    </row>
    <row r="2780" spans="18:18">
      <c r="R2780" s="483"/>
    </row>
    <row r="2781" spans="18:18">
      <c r="R2781" s="483"/>
    </row>
    <row r="2782" spans="18:18">
      <c r="R2782" s="483"/>
    </row>
    <row r="2783" spans="18:18">
      <c r="R2783" s="483"/>
    </row>
    <row r="2784" spans="18:18">
      <c r="R2784" s="483"/>
    </row>
    <row r="2785" spans="18:18">
      <c r="R2785" s="483"/>
    </row>
    <row r="2786" spans="18:18">
      <c r="R2786" s="483"/>
    </row>
    <row r="2787" spans="18:18">
      <c r="R2787" s="483"/>
    </row>
    <row r="2788" spans="18:18">
      <c r="R2788" s="483"/>
    </row>
    <row r="2789" spans="18:18">
      <c r="R2789" s="483"/>
    </row>
    <row r="2790" spans="18:18">
      <c r="R2790" s="483"/>
    </row>
    <row r="2791" spans="18:18">
      <c r="R2791" s="483"/>
    </row>
    <row r="2792" spans="18:18">
      <c r="R2792" s="483"/>
    </row>
    <row r="2793" spans="18:18">
      <c r="R2793" s="483"/>
    </row>
    <row r="2794" spans="18:18">
      <c r="R2794" s="483"/>
    </row>
    <row r="2795" spans="18:18">
      <c r="R2795" s="483"/>
    </row>
    <row r="2796" spans="18:18">
      <c r="R2796" s="483"/>
    </row>
    <row r="2797" spans="18:18">
      <c r="R2797" s="483"/>
    </row>
    <row r="2798" spans="18:18">
      <c r="R2798" s="483"/>
    </row>
    <row r="2799" spans="18:18">
      <c r="R2799" s="483"/>
    </row>
    <row r="2800" spans="18:18">
      <c r="R2800" s="483"/>
    </row>
    <row r="2801" spans="18:18">
      <c r="R2801" s="483"/>
    </row>
    <row r="2802" spans="18:18">
      <c r="R2802" s="483"/>
    </row>
    <row r="2803" spans="18:18">
      <c r="R2803" s="483"/>
    </row>
    <row r="2804" spans="18:18">
      <c r="R2804" s="483"/>
    </row>
    <row r="2805" spans="18:18">
      <c r="R2805" s="483"/>
    </row>
    <row r="2806" spans="18:18">
      <c r="R2806" s="483"/>
    </row>
    <row r="2807" spans="18:18">
      <c r="R2807" s="483"/>
    </row>
    <row r="2808" spans="18:18">
      <c r="R2808" s="483"/>
    </row>
    <row r="2809" spans="18:18">
      <c r="R2809" s="483"/>
    </row>
    <row r="2810" spans="18:18">
      <c r="R2810" s="483"/>
    </row>
    <row r="2811" spans="18:18">
      <c r="R2811" s="483"/>
    </row>
    <row r="2812" spans="18:18">
      <c r="R2812" s="483"/>
    </row>
    <row r="2813" spans="18:18">
      <c r="R2813" s="483"/>
    </row>
    <row r="2814" spans="18:18">
      <c r="R2814" s="483"/>
    </row>
    <row r="2815" spans="18:18">
      <c r="R2815" s="483"/>
    </row>
    <row r="2816" spans="18:18">
      <c r="R2816" s="483"/>
    </row>
    <row r="2817" spans="18:18">
      <c r="R2817" s="483"/>
    </row>
    <row r="2818" spans="18:18">
      <c r="R2818" s="483"/>
    </row>
    <row r="2819" spans="18:18">
      <c r="R2819" s="483"/>
    </row>
    <row r="2820" spans="18:18">
      <c r="R2820" s="483"/>
    </row>
    <row r="2821" spans="18:18">
      <c r="R2821" s="483"/>
    </row>
    <row r="2822" spans="18:18">
      <c r="R2822" s="483"/>
    </row>
    <row r="2823" spans="18:18">
      <c r="R2823" s="483"/>
    </row>
    <row r="2824" spans="18:18">
      <c r="R2824" s="483"/>
    </row>
    <row r="2825" spans="18:18">
      <c r="R2825" s="483"/>
    </row>
    <row r="2826" spans="18:18">
      <c r="R2826" s="483"/>
    </row>
    <row r="2827" spans="18:18">
      <c r="R2827" s="483"/>
    </row>
    <row r="2828" spans="18:18">
      <c r="R2828" s="483"/>
    </row>
    <row r="2829" spans="18:18">
      <c r="R2829" s="483"/>
    </row>
    <row r="2830" spans="18:18">
      <c r="R2830" s="483"/>
    </row>
    <row r="2831" spans="18:18">
      <c r="R2831" s="483"/>
    </row>
    <row r="2832" spans="18:18">
      <c r="R2832" s="483"/>
    </row>
    <row r="2833" spans="18:18">
      <c r="R2833" s="483"/>
    </row>
    <row r="2834" spans="18:18">
      <c r="R2834" s="483"/>
    </row>
    <row r="2835" spans="18:18">
      <c r="R2835" s="483"/>
    </row>
    <row r="2836" spans="18:18">
      <c r="R2836" s="483"/>
    </row>
    <row r="2837" spans="18:18">
      <c r="R2837" s="483"/>
    </row>
    <row r="2838" spans="18:18">
      <c r="R2838" s="483"/>
    </row>
    <row r="2839" spans="18:18">
      <c r="R2839" s="483"/>
    </row>
    <row r="2840" spans="18:18">
      <c r="R2840" s="483"/>
    </row>
    <row r="2841" spans="18:18">
      <c r="R2841" s="483"/>
    </row>
    <row r="2842" spans="18:18">
      <c r="R2842" s="483"/>
    </row>
    <row r="2843" spans="18:18">
      <c r="R2843" s="483"/>
    </row>
    <row r="2844" spans="18:18">
      <c r="R2844" s="483"/>
    </row>
    <row r="2845" spans="18:18">
      <c r="R2845" s="483"/>
    </row>
    <row r="2846" spans="18:18">
      <c r="R2846" s="483"/>
    </row>
    <row r="2847" spans="18:18">
      <c r="R2847" s="483"/>
    </row>
    <row r="2848" spans="18:18">
      <c r="R2848" s="483"/>
    </row>
    <row r="2849" spans="18:18">
      <c r="R2849" s="483"/>
    </row>
    <row r="2850" spans="18:18">
      <c r="R2850" s="483"/>
    </row>
    <row r="2851" spans="18:18">
      <c r="R2851" s="483"/>
    </row>
    <row r="2852" spans="18:18">
      <c r="R2852" s="483"/>
    </row>
    <row r="2853" spans="18:18">
      <c r="R2853" s="483"/>
    </row>
    <row r="2854" spans="18:18">
      <c r="R2854" s="483"/>
    </row>
    <row r="2855" spans="18:18">
      <c r="R2855" s="483"/>
    </row>
    <row r="2856" spans="18:18">
      <c r="R2856" s="483"/>
    </row>
    <row r="2857" spans="18:18">
      <c r="R2857" s="483"/>
    </row>
    <row r="2858" spans="18:18">
      <c r="R2858" s="483"/>
    </row>
    <row r="2859" spans="18:18">
      <c r="R2859" s="483"/>
    </row>
    <row r="2860" spans="18:18">
      <c r="R2860" s="483"/>
    </row>
    <row r="2861" spans="18:18">
      <c r="R2861" s="483"/>
    </row>
    <row r="2862" spans="18:18">
      <c r="R2862" s="483"/>
    </row>
    <row r="2863" spans="18:18">
      <c r="R2863" s="483"/>
    </row>
    <row r="2864" spans="18:18">
      <c r="R2864" s="483"/>
    </row>
    <row r="2865" spans="18:18">
      <c r="R2865" s="483"/>
    </row>
    <row r="2866" spans="18:18">
      <c r="R2866" s="483"/>
    </row>
    <row r="2867" spans="18:18">
      <c r="R2867" s="483"/>
    </row>
    <row r="2868" spans="18:18">
      <c r="R2868" s="483"/>
    </row>
    <row r="2869" spans="18:18">
      <c r="R2869" s="483"/>
    </row>
    <row r="2870" spans="18:18">
      <c r="R2870" s="483"/>
    </row>
    <row r="2871" spans="18:18">
      <c r="R2871" s="483"/>
    </row>
    <row r="2872" spans="18:18">
      <c r="R2872" s="483"/>
    </row>
    <row r="2873" spans="18:18">
      <c r="R2873" s="483"/>
    </row>
    <row r="2874" spans="18:18">
      <c r="R2874" s="483"/>
    </row>
    <row r="2875" spans="18:18">
      <c r="R2875" s="483"/>
    </row>
    <row r="2876" spans="18:18">
      <c r="R2876" s="483"/>
    </row>
    <row r="2877" spans="18:18">
      <c r="R2877" s="483"/>
    </row>
    <row r="2878" spans="18:18">
      <c r="R2878" s="483"/>
    </row>
    <row r="2879" spans="18:18">
      <c r="R2879" s="483"/>
    </row>
    <row r="2880" spans="18:18">
      <c r="R2880" s="483"/>
    </row>
    <row r="2881" spans="18:18">
      <c r="R2881" s="483"/>
    </row>
    <row r="2882" spans="18:18">
      <c r="R2882" s="483"/>
    </row>
    <row r="2883" spans="18:18">
      <c r="R2883" s="483"/>
    </row>
    <row r="2884" spans="18:18">
      <c r="R2884" s="483"/>
    </row>
    <row r="2885" spans="18:18">
      <c r="R2885" s="483"/>
    </row>
    <row r="2886" spans="18:18">
      <c r="R2886" s="483"/>
    </row>
    <row r="2887" spans="18:18">
      <c r="R2887" s="483"/>
    </row>
    <row r="2888" spans="18:18">
      <c r="R2888" s="483"/>
    </row>
    <row r="2889" spans="18:18">
      <c r="R2889" s="483"/>
    </row>
    <row r="2890" spans="18:18">
      <c r="R2890" s="483"/>
    </row>
    <row r="2891" spans="18:18">
      <c r="R2891" s="483"/>
    </row>
    <row r="2892" spans="18:18">
      <c r="R2892" s="483"/>
    </row>
    <row r="2893" spans="18:18">
      <c r="R2893" s="483"/>
    </row>
    <row r="2894" spans="18:18">
      <c r="R2894" s="483"/>
    </row>
    <row r="2895" spans="18:18">
      <c r="R2895" s="483"/>
    </row>
    <row r="2896" spans="18:18">
      <c r="R2896" s="483"/>
    </row>
    <row r="2897" spans="18:18">
      <c r="R2897" s="483"/>
    </row>
    <row r="2898" spans="18:18">
      <c r="R2898" s="483"/>
    </row>
    <row r="2899" spans="18:18">
      <c r="R2899" s="483"/>
    </row>
    <row r="2900" spans="18:18">
      <c r="R2900" s="483"/>
    </row>
    <row r="2901" spans="18:18">
      <c r="R2901" s="483"/>
    </row>
    <row r="2902" spans="18:18">
      <c r="R2902" s="483"/>
    </row>
    <row r="2903" spans="18:18">
      <c r="R2903" s="483"/>
    </row>
    <row r="2904" spans="18:18">
      <c r="R2904" s="483"/>
    </row>
    <row r="2905" spans="18:18">
      <c r="R2905" s="483"/>
    </row>
    <row r="2906" spans="18:18">
      <c r="R2906" s="483"/>
    </row>
    <row r="2907" spans="18:18">
      <c r="R2907" s="483"/>
    </row>
    <row r="2908" spans="18:18">
      <c r="R2908" s="483"/>
    </row>
    <row r="2909" spans="18:18">
      <c r="R2909" s="483"/>
    </row>
    <row r="2910" spans="18:18">
      <c r="R2910" s="483"/>
    </row>
    <row r="2911" spans="18:18">
      <c r="R2911" s="483"/>
    </row>
    <row r="2912" spans="18:18">
      <c r="R2912" s="483"/>
    </row>
    <row r="2913" spans="18:18">
      <c r="R2913" s="483"/>
    </row>
    <row r="2914" spans="18:18">
      <c r="R2914" s="483"/>
    </row>
    <row r="2915" spans="18:18">
      <c r="R2915" s="483"/>
    </row>
    <row r="2916" spans="18:18">
      <c r="R2916" s="483"/>
    </row>
    <row r="2917" spans="18:18">
      <c r="R2917" s="483"/>
    </row>
    <row r="2918" spans="18:18">
      <c r="R2918" s="483"/>
    </row>
    <row r="2919" spans="18:18">
      <c r="R2919" s="483"/>
    </row>
    <row r="2920" spans="18:18">
      <c r="R2920" s="483"/>
    </row>
    <row r="2921" spans="18:18">
      <c r="R2921" s="483"/>
    </row>
    <row r="2922" spans="18:18">
      <c r="R2922" s="483"/>
    </row>
    <row r="2923" spans="18:18">
      <c r="R2923" s="483"/>
    </row>
    <row r="2924" spans="18:18">
      <c r="R2924" s="483"/>
    </row>
    <row r="2925" spans="18:18">
      <c r="R2925" s="483"/>
    </row>
    <row r="2926" spans="18:18">
      <c r="R2926" s="483"/>
    </row>
    <row r="2927" spans="18:18">
      <c r="R2927" s="483"/>
    </row>
    <row r="2928" spans="18:18">
      <c r="R2928" s="483"/>
    </row>
    <row r="2929" spans="18:18">
      <c r="R2929" s="483"/>
    </row>
    <row r="2930" spans="18:18">
      <c r="R2930" s="483"/>
    </row>
    <row r="2931" spans="18:18">
      <c r="R2931" s="483"/>
    </row>
    <row r="2932" spans="18:18">
      <c r="R2932" s="483"/>
    </row>
    <row r="2933" spans="18:18">
      <c r="R2933" s="483"/>
    </row>
    <row r="2934" spans="18:18">
      <c r="R2934" s="483"/>
    </row>
    <row r="2935" spans="18:18">
      <c r="R2935" s="483"/>
    </row>
    <row r="2936" spans="18:18">
      <c r="R2936" s="483"/>
    </row>
    <row r="2937" spans="18:18">
      <c r="R2937" s="483"/>
    </row>
    <row r="2938" spans="18:18">
      <c r="R2938" s="483"/>
    </row>
    <row r="2939" spans="18:18">
      <c r="R2939" s="483"/>
    </row>
    <row r="2940" spans="18:18">
      <c r="R2940" s="483"/>
    </row>
    <row r="2941" spans="18:18">
      <c r="R2941" s="483"/>
    </row>
    <row r="2942" spans="18:18">
      <c r="R2942" s="483"/>
    </row>
    <row r="2943" spans="18:18">
      <c r="R2943" s="483"/>
    </row>
    <row r="2944" spans="18:18">
      <c r="R2944" s="483"/>
    </row>
    <row r="2945" spans="18:18">
      <c r="R2945" s="483"/>
    </row>
    <row r="2946" spans="18:18">
      <c r="R2946" s="483"/>
    </row>
    <row r="2947" spans="18:18">
      <c r="R2947" s="483"/>
    </row>
    <row r="2948" spans="18:18">
      <c r="R2948" s="483"/>
    </row>
    <row r="2949" spans="18:18">
      <c r="R2949" s="483"/>
    </row>
    <row r="2950" spans="18:18">
      <c r="R2950" s="483"/>
    </row>
    <row r="2951" spans="18:18">
      <c r="R2951" s="483"/>
    </row>
    <row r="2952" spans="18:18">
      <c r="R2952" s="483"/>
    </row>
    <row r="2953" spans="18:18">
      <c r="R2953" s="483"/>
    </row>
    <row r="2954" spans="18:18">
      <c r="R2954" s="483"/>
    </row>
    <row r="2955" spans="18:18">
      <c r="R2955" s="483"/>
    </row>
    <row r="2956" spans="18:18">
      <c r="R2956" s="483"/>
    </row>
    <row r="2957" spans="18:18">
      <c r="R2957" s="483"/>
    </row>
    <row r="2958" spans="18:18">
      <c r="R2958" s="483"/>
    </row>
    <row r="2959" spans="18:18">
      <c r="R2959" s="483"/>
    </row>
    <row r="2960" spans="18:18">
      <c r="R2960" s="483"/>
    </row>
    <row r="2961" spans="18:18">
      <c r="R2961" s="483"/>
    </row>
    <row r="2962" spans="18:18">
      <c r="R2962" s="483"/>
    </row>
    <row r="2963" spans="18:18">
      <c r="R2963" s="483"/>
    </row>
    <row r="2964" spans="18:18">
      <c r="R2964" s="483"/>
    </row>
    <row r="2965" spans="18:18">
      <c r="R2965" s="483"/>
    </row>
    <row r="2966" spans="18:18">
      <c r="R2966" s="483"/>
    </row>
    <row r="2967" spans="18:18">
      <c r="R2967" s="483"/>
    </row>
    <row r="2968" spans="18:18">
      <c r="R2968" s="483"/>
    </row>
    <row r="2969" spans="18:18">
      <c r="R2969" s="483"/>
    </row>
    <row r="2970" spans="18:18">
      <c r="R2970" s="483"/>
    </row>
    <row r="2971" spans="18:18">
      <c r="R2971" s="483"/>
    </row>
    <row r="2972" spans="18:18">
      <c r="R2972" s="483"/>
    </row>
    <row r="2973" spans="18:18">
      <c r="R2973" s="483"/>
    </row>
    <row r="2974" spans="18:18">
      <c r="R2974" s="483"/>
    </row>
    <row r="2975" spans="18:18">
      <c r="R2975" s="483"/>
    </row>
    <row r="2976" spans="18:18">
      <c r="R2976" s="483"/>
    </row>
    <row r="2977" spans="18:18">
      <c r="R2977" s="483"/>
    </row>
    <row r="2978" spans="18:18">
      <c r="R2978" s="483"/>
    </row>
    <row r="2979" spans="18:18">
      <c r="R2979" s="483"/>
    </row>
    <row r="2980" spans="18:18">
      <c r="R2980" s="483"/>
    </row>
    <row r="2981" spans="18:18">
      <c r="R2981" s="483"/>
    </row>
    <row r="2982" spans="18:18">
      <c r="R2982" s="483"/>
    </row>
    <row r="2983" spans="18:18">
      <c r="R2983" s="483"/>
    </row>
    <row r="2984" spans="18:18">
      <c r="R2984" s="483"/>
    </row>
    <row r="2985" spans="18:18">
      <c r="R2985" s="483"/>
    </row>
    <row r="2986" spans="18:18">
      <c r="R2986" s="483"/>
    </row>
    <row r="2987" spans="18:18">
      <c r="R2987" s="483"/>
    </row>
    <row r="2988" spans="18:18">
      <c r="R2988" s="483"/>
    </row>
    <row r="2989" spans="18:18">
      <c r="R2989" s="483"/>
    </row>
    <row r="2990" spans="18:18">
      <c r="R2990" s="483"/>
    </row>
    <row r="2991" spans="18:18">
      <c r="R2991" s="483"/>
    </row>
    <row r="2992" spans="18:18">
      <c r="R2992" s="483"/>
    </row>
    <row r="2993" spans="18:18">
      <c r="R2993" s="483"/>
    </row>
    <row r="2994" spans="18:18">
      <c r="R2994" s="483"/>
    </row>
    <row r="2995" spans="18:18">
      <c r="R2995" s="483"/>
    </row>
    <row r="2996" spans="18:18">
      <c r="R2996" s="483"/>
    </row>
    <row r="2997" spans="18:18">
      <c r="R2997" s="483"/>
    </row>
    <row r="2998" spans="18:18">
      <c r="R2998" s="483"/>
    </row>
    <row r="2999" spans="18:18">
      <c r="R2999" s="483"/>
    </row>
    <row r="3000" spans="18:18">
      <c r="R3000" s="483"/>
    </row>
    <row r="3001" spans="18:18">
      <c r="R3001" s="483"/>
    </row>
    <row r="3002" spans="18:18">
      <c r="R3002" s="483"/>
    </row>
    <row r="3003" spans="18:18">
      <c r="R3003" s="483"/>
    </row>
    <row r="3004" spans="18:18">
      <c r="R3004" s="483"/>
    </row>
    <row r="3005" spans="18:18">
      <c r="R3005" s="483"/>
    </row>
    <row r="3006" spans="18:18">
      <c r="R3006" s="483"/>
    </row>
    <row r="3007" spans="18:18">
      <c r="R3007" s="483"/>
    </row>
    <row r="3008" spans="18:18">
      <c r="R3008" s="483"/>
    </row>
    <row r="3009" spans="18:18">
      <c r="R3009" s="483"/>
    </row>
    <row r="3010" spans="18:18">
      <c r="R3010" s="483"/>
    </row>
    <row r="3011" spans="18:18">
      <c r="R3011" s="483"/>
    </row>
    <row r="3012" spans="18:18">
      <c r="R3012" s="483"/>
    </row>
    <row r="3013" spans="18:18">
      <c r="R3013" s="483"/>
    </row>
    <row r="3014" spans="18:18">
      <c r="R3014" s="483"/>
    </row>
    <row r="3015" spans="18:18">
      <c r="R3015" s="483"/>
    </row>
    <row r="3016" spans="18:18">
      <c r="R3016" s="483"/>
    </row>
    <row r="3017" spans="18:18">
      <c r="R3017" s="483"/>
    </row>
    <row r="3018" spans="18:18">
      <c r="R3018" s="483"/>
    </row>
    <row r="3019" spans="18:18">
      <c r="R3019" s="483"/>
    </row>
    <row r="3020" spans="18:18">
      <c r="R3020" s="483"/>
    </row>
    <row r="3021" spans="18:18">
      <c r="R3021" s="483"/>
    </row>
    <row r="3022" spans="18:18">
      <c r="R3022" s="483"/>
    </row>
    <row r="3023" spans="18:18">
      <c r="R3023" s="483"/>
    </row>
    <row r="3024" spans="18:18">
      <c r="R3024" s="483"/>
    </row>
    <row r="3025" spans="18:18">
      <c r="R3025" s="483"/>
    </row>
    <row r="3026" spans="18:18">
      <c r="R3026" s="483"/>
    </row>
    <row r="3027" spans="18:18">
      <c r="R3027" s="483"/>
    </row>
    <row r="3028" spans="18:18">
      <c r="R3028" s="483"/>
    </row>
    <row r="3029" spans="18:18">
      <c r="R3029" s="483"/>
    </row>
    <row r="3030" spans="18:18">
      <c r="R3030" s="483"/>
    </row>
    <row r="3031" spans="18:18">
      <c r="R3031" s="483"/>
    </row>
    <row r="3032" spans="18:18">
      <c r="R3032" s="483"/>
    </row>
    <row r="3033" spans="18:18">
      <c r="R3033" s="483"/>
    </row>
    <row r="3034" spans="18:18">
      <c r="R3034" s="483"/>
    </row>
    <row r="3035" spans="18:18">
      <c r="R3035" s="483"/>
    </row>
    <row r="3036" spans="18:18">
      <c r="R3036" s="483"/>
    </row>
    <row r="3037" spans="18:18">
      <c r="R3037" s="483"/>
    </row>
    <row r="3038" spans="18:18">
      <c r="R3038" s="483"/>
    </row>
    <row r="3039" spans="18:18">
      <c r="R3039" s="483"/>
    </row>
    <row r="3040" spans="18:18">
      <c r="R3040" s="483"/>
    </row>
    <row r="3041" spans="18:18">
      <c r="R3041" s="483"/>
    </row>
    <row r="3042" spans="18:18">
      <c r="R3042" s="483"/>
    </row>
    <row r="3043" spans="18:18">
      <c r="R3043" s="483"/>
    </row>
    <row r="3044" spans="18:18">
      <c r="R3044" s="483"/>
    </row>
    <row r="3045" spans="18:18">
      <c r="R3045" s="483"/>
    </row>
    <row r="3046" spans="18:18">
      <c r="R3046" s="483"/>
    </row>
    <row r="3047" spans="18:18">
      <c r="R3047" s="483"/>
    </row>
    <row r="3048" spans="18:18">
      <c r="R3048" s="483"/>
    </row>
    <row r="3049" spans="18:18">
      <c r="R3049" s="483"/>
    </row>
    <row r="3050" spans="18:18">
      <c r="R3050" s="483"/>
    </row>
    <row r="3051" spans="18:18">
      <c r="R3051" s="483"/>
    </row>
    <row r="3052" spans="18:18">
      <c r="R3052" s="483"/>
    </row>
    <row r="3053" spans="18:18">
      <c r="R3053" s="483"/>
    </row>
    <row r="3054" spans="18:18">
      <c r="R3054" s="483"/>
    </row>
    <row r="3055" spans="18:18">
      <c r="R3055" s="483"/>
    </row>
    <row r="3056" spans="18:18">
      <c r="R3056" s="483"/>
    </row>
    <row r="3057" spans="18:18">
      <c r="R3057" s="483"/>
    </row>
    <row r="3058" spans="18:18">
      <c r="R3058" s="483"/>
    </row>
    <row r="3059" spans="18:18">
      <c r="R3059" s="483"/>
    </row>
    <row r="3060" spans="18:18">
      <c r="R3060" s="483"/>
    </row>
    <row r="3061" spans="18:18">
      <c r="R3061" s="483"/>
    </row>
    <row r="3062" spans="18:18">
      <c r="R3062" s="483"/>
    </row>
    <row r="3063" spans="18:18">
      <c r="R3063" s="483"/>
    </row>
    <row r="3064" spans="18:18">
      <c r="R3064" s="483"/>
    </row>
    <row r="3065" spans="18:18">
      <c r="R3065" s="483"/>
    </row>
    <row r="3066" spans="18:18">
      <c r="R3066" s="483"/>
    </row>
    <row r="3067" spans="18:18">
      <c r="R3067" s="483"/>
    </row>
    <row r="3068" spans="18:18">
      <c r="R3068" s="483"/>
    </row>
    <row r="3069" spans="18:18">
      <c r="R3069" s="483"/>
    </row>
    <row r="3070" spans="18:18">
      <c r="R3070" s="483"/>
    </row>
    <row r="3071" spans="18:18">
      <c r="R3071" s="483"/>
    </row>
    <row r="3072" spans="18:18">
      <c r="R3072" s="483"/>
    </row>
    <row r="3073" spans="18:18">
      <c r="R3073" s="483"/>
    </row>
    <row r="3074" spans="18:18">
      <c r="R3074" s="483"/>
    </row>
    <row r="3075" spans="18:18">
      <c r="R3075" s="483"/>
    </row>
    <row r="3076" spans="18:18">
      <c r="R3076" s="483"/>
    </row>
    <row r="3077" spans="18:18">
      <c r="R3077" s="483"/>
    </row>
    <row r="3078" spans="18:18">
      <c r="R3078" s="483"/>
    </row>
    <row r="3079" spans="18:18">
      <c r="R3079" s="483"/>
    </row>
    <row r="3080" spans="18:18">
      <c r="R3080" s="483"/>
    </row>
    <row r="3081" spans="18:18">
      <c r="R3081" s="483"/>
    </row>
    <row r="3082" spans="18:18">
      <c r="R3082" s="483"/>
    </row>
    <row r="3083" spans="18:18">
      <c r="R3083" s="483"/>
    </row>
    <row r="3084" spans="18:18">
      <c r="R3084" s="483"/>
    </row>
    <row r="3085" spans="18:18">
      <c r="R3085" s="483"/>
    </row>
    <row r="3086" spans="18:18">
      <c r="R3086" s="483"/>
    </row>
    <row r="3087" spans="18:18">
      <c r="R3087" s="483"/>
    </row>
    <row r="3088" spans="18:18">
      <c r="R3088" s="483"/>
    </row>
    <row r="3089" spans="18:18">
      <c r="R3089" s="483"/>
    </row>
    <row r="3090" spans="18:18">
      <c r="R3090" s="483"/>
    </row>
    <row r="3091" spans="18:18">
      <c r="R3091" s="483"/>
    </row>
    <row r="3092" spans="18:18">
      <c r="R3092" s="483"/>
    </row>
    <row r="3093" spans="18:18">
      <c r="R3093" s="483"/>
    </row>
    <row r="3094" spans="18:18">
      <c r="R3094" s="483"/>
    </row>
    <row r="3095" spans="18:18">
      <c r="R3095" s="483"/>
    </row>
    <row r="3096" spans="18:18">
      <c r="R3096" s="483"/>
    </row>
    <row r="3097" spans="18:18">
      <c r="R3097" s="483"/>
    </row>
    <row r="3098" spans="18:18">
      <c r="R3098" s="483"/>
    </row>
    <row r="3099" spans="18:18">
      <c r="R3099" s="483"/>
    </row>
    <row r="3100" spans="18:18">
      <c r="R3100" s="483"/>
    </row>
    <row r="3101" spans="18:18">
      <c r="R3101" s="483"/>
    </row>
    <row r="3102" spans="18:18">
      <c r="R3102" s="483"/>
    </row>
    <row r="3103" spans="18:18">
      <c r="R3103" s="483"/>
    </row>
    <row r="3104" spans="18:18">
      <c r="R3104" s="483"/>
    </row>
    <row r="3105" spans="18:18">
      <c r="R3105" s="483"/>
    </row>
    <row r="3106" spans="18:18">
      <c r="R3106" s="483"/>
    </row>
    <row r="3107" spans="18:18">
      <c r="R3107" s="483"/>
    </row>
    <row r="3108" spans="18:18">
      <c r="R3108" s="483"/>
    </row>
    <row r="3109" spans="18:18">
      <c r="R3109" s="483"/>
    </row>
    <row r="3110" spans="18:18">
      <c r="R3110" s="483"/>
    </row>
    <row r="3111" spans="18:18">
      <c r="R3111" s="483"/>
    </row>
    <row r="3112" spans="18:18">
      <c r="R3112" s="483"/>
    </row>
    <row r="3113" spans="18:18">
      <c r="R3113" s="483"/>
    </row>
    <row r="3114" spans="18:18">
      <c r="R3114" s="483"/>
    </row>
    <row r="3115" spans="18:18">
      <c r="R3115" s="483"/>
    </row>
    <row r="3116" spans="18:18">
      <c r="R3116" s="483"/>
    </row>
    <row r="3117" spans="18:18">
      <c r="R3117" s="483"/>
    </row>
    <row r="3118" spans="18:18">
      <c r="R3118" s="483"/>
    </row>
    <row r="3119" spans="18:18">
      <c r="R3119" s="483"/>
    </row>
    <row r="3120" spans="18:18">
      <c r="R3120" s="483"/>
    </row>
    <row r="3121" spans="18:18">
      <c r="R3121" s="483"/>
    </row>
    <row r="3122" spans="18:18">
      <c r="R3122" s="483"/>
    </row>
    <row r="3123" spans="18:18">
      <c r="R3123" s="483"/>
    </row>
    <row r="3124" spans="18:18">
      <c r="R3124" s="483"/>
    </row>
    <row r="3125" spans="18:18">
      <c r="R3125" s="483"/>
    </row>
    <row r="3126" spans="18:18">
      <c r="R3126" s="483"/>
    </row>
    <row r="3127" spans="18:18">
      <c r="R3127" s="483"/>
    </row>
    <row r="3128" spans="18:18">
      <c r="R3128" s="483"/>
    </row>
    <row r="3129" spans="18:18">
      <c r="R3129" s="483"/>
    </row>
    <row r="3130" spans="18:18">
      <c r="R3130" s="483"/>
    </row>
    <row r="3131" spans="18:18">
      <c r="R3131" s="483"/>
    </row>
    <row r="3132" spans="18:18">
      <c r="R3132" s="483"/>
    </row>
    <row r="3133" spans="18:18">
      <c r="R3133" s="483"/>
    </row>
    <row r="3134" spans="18:18">
      <c r="R3134" s="483"/>
    </row>
    <row r="3135" spans="18:18">
      <c r="R3135" s="483"/>
    </row>
    <row r="3136" spans="18:18">
      <c r="R3136" s="483"/>
    </row>
    <row r="3137" spans="18:18">
      <c r="R3137" s="483"/>
    </row>
    <row r="3138" spans="18:18">
      <c r="R3138" s="483"/>
    </row>
    <row r="3139" spans="18:18">
      <c r="R3139" s="483"/>
    </row>
    <row r="3140" spans="18:18">
      <c r="R3140" s="483"/>
    </row>
    <row r="3141" spans="18:18">
      <c r="R3141" s="483"/>
    </row>
    <row r="3142" spans="18:18">
      <c r="R3142" s="483"/>
    </row>
    <row r="3143" spans="18:18">
      <c r="R3143" s="483"/>
    </row>
    <row r="3144" spans="18:18">
      <c r="R3144" s="483"/>
    </row>
    <row r="3145" spans="18:18">
      <c r="R3145" s="483"/>
    </row>
    <row r="3146" spans="18:18">
      <c r="R3146" s="483"/>
    </row>
    <row r="3147" spans="18:18">
      <c r="R3147" s="483"/>
    </row>
    <row r="3148" spans="18:18">
      <c r="R3148" s="483"/>
    </row>
    <row r="3149" spans="18:18">
      <c r="R3149" s="483"/>
    </row>
    <row r="3150" spans="18:18">
      <c r="R3150" s="483"/>
    </row>
    <row r="3151" spans="18:18">
      <c r="R3151" s="483"/>
    </row>
    <row r="3152" spans="18:18">
      <c r="R3152" s="483"/>
    </row>
    <row r="3153" spans="18:18">
      <c r="R3153" s="483"/>
    </row>
    <row r="3154" spans="18:18">
      <c r="R3154" s="483"/>
    </row>
    <row r="3155" spans="18:18">
      <c r="R3155" s="483"/>
    </row>
    <row r="3156" spans="18:18">
      <c r="R3156" s="483"/>
    </row>
    <row r="3157" spans="18:18">
      <c r="R3157" s="483"/>
    </row>
    <row r="3158" spans="18:18">
      <c r="R3158" s="483"/>
    </row>
    <row r="3159" spans="18:18">
      <c r="R3159" s="483"/>
    </row>
    <row r="3160" spans="18:18">
      <c r="R3160" s="483"/>
    </row>
    <row r="3161" spans="18:18">
      <c r="R3161" s="483"/>
    </row>
    <row r="3162" spans="18:18">
      <c r="R3162" s="483"/>
    </row>
    <row r="3163" spans="18:18">
      <c r="R3163" s="483"/>
    </row>
    <row r="3164" spans="18:18">
      <c r="R3164" s="483"/>
    </row>
    <row r="3165" spans="18:18">
      <c r="R3165" s="483"/>
    </row>
    <row r="3166" spans="18:18">
      <c r="R3166" s="483"/>
    </row>
    <row r="3167" spans="18:18">
      <c r="R3167" s="483"/>
    </row>
    <row r="3168" spans="18:18">
      <c r="R3168" s="483"/>
    </row>
    <row r="3169" spans="18:18">
      <c r="R3169" s="483"/>
    </row>
    <row r="3170" spans="18:18">
      <c r="R3170" s="483"/>
    </row>
    <row r="3171" spans="18:18">
      <c r="R3171" s="483"/>
    </row>
    <row r="3172" spans="18:18">
      <c r="R3172" s="483"/>
    </row>
    <row r="3173" spans="18:18">
      <c r="R3173" s="483"/>
    </row>
    <row r="3174" spans="18:18">
      <c r="R3174" s="483"/>
    </row>
    <row r="3175" spans="18:18">
      <c r="R3175" s="483"/>
    </row>
    <row r="3176" spans="18:18">
      <c r="R3176" s="483"/>
    </row>
    <row r="3177" spans="18:18">
      <c r="R3177" s="483"/>
    </row>
    <row r="3178" spans="18:18">
      <c r="R3178" s="483"/>
    </row>
    <row r="3179" spans="18:18">
      <c r="R3179" s="483"/>
    </row>
    <row r="3180" spans="18:18">
      <c r="R3180" s="483"/>
    </row>
    <row r="3181" spans="18:18">
      <c r="R3181" s="483"/>
    </row>
    <row r="3182" spans="18:18">
      <c r="R3182" s="483"/>
    </row>
    <row r="3183" spans="18:18">
      <c r="R3183" s="483"/>
    </row>
    <row r="3184" spans="18:18">
      <c r="R3184" s="483"/>
    </row>
    <row r="3185" spans="18:18">
      <c r="R3185" s="483"/>
    </row>
    <row r="3186" spans="18:18">
      <c r="R3186" s="483"/>
    </row>
    <row r="3187" spans="18:18">
      <c r="R3187" s="483"/>
    </row>
    <row r="3188" spans="18:18">
      <c r="R3188" s="483"/>
    </row>
    <row r="3189" spans="18:18">
      <c r="R3189" s="483"/>
    </row>
    <row r="3190" spans="18:18">
      <c r="R3190" s="483"/>
    </row>
    <row r="3191" spans="18:18">
      <c r="R3191" s="483"/>
    </row>
    <row r="3192" spans="18:18">
      <c r="R3192" s="483"/>
    </row>
    <row r="3193" spans="18:18">
      <c r="R3193" s="483"/>
    </row>
    <row r="3194" spans="18:18">
      <c r="R3194" s="483"/>
    </row>
    <row r="3195" spans="18:18">
      <c r="R3195" s="483"/>
    </row>
    <row r="3196" spans="18:18">
      <c r="R3196" s="483"/>
    </row>
    <row r="3197" spans="18:18">
      <c r="R3197" s="483"/>
    </row>
    <row r="3198" spans="18:18">
      <c r="R3198" s="483"/>
    </row>
    <row r="3199" spans="18:18">
      <c r="R3199" s="483"/>
    </row>
    <row r="3200" spans="18:18">
      <c r="R3200" s="483"/>
    </row>
    <row r="3201" spans="18:18">
      <c r="R3201" s="483"/>
    </row>
    <row r="3202" spans="18:18">
      <c r="R3202" s="483"/>
    </row>
    <row r="3203" spans="18:18">
      <c r="R3203" s="483"/>
    </row>
    <row r="3204" spans="18:18">
      <c r="R3204" s="483"/>
    </row>
    <row r="3205" spans="18:18">
      <c r="R3205" s="483"/>
    </row>
    <row r="3206" spans="18:18">
      <c r="R3206" s="483"/>
    </row>
    <row r="3207" spans="18:18">
      <c r="R3207" s="483"/>
    </row>
    <row r="3208" spans="18:18">
      <c r="R3208" s="483"/>
    </row>
    <row r="3209" spans="18:18">
      <c r="R3209" s="483"/>
    </row>
    <row r="3210" spans="18:18">
      <c r="R3210" s="483"/>
    </row>
    <row r="3211" spans="18:18">
      <c r="R3211" s="483"/>
    </row>
    <row r="3212" spans="18:18">
      <c r="R3212" s="483"/>
    </row>
    <row r="3213" spans="18:18">
      <c r="R3213" s="483"/>
    </row>
    <row r="3214" spans="18:18">
      <c r="R3214" s="483"/>
    </row>
    <row r="3215" spans="18:18">
      <c r="R3215" s="483"/>
    </row>
    <row r="3216" spans="18:18">
      <c r="R3216" s="483"/>
    </row>
    <row r="3217" spans="18:18">
      <c r="R3217" s="483"/>
    </row>
    <row r="3218" spans="18:18">
      <c r="R3218" s="483"/>
    </row>
    <row r="3219" spans="18:18">
      <c r="R3219" s="483"/>
    </row>
    <row r="3220" spans="18:18">
      <c r="R3220" s="483"/>
    </row>
    <row r="3221" spans="18:18">
      <c r="R3221" s="483"/>
    </row>
    <row r="3222" spans="18:18">
      <c r="R3222" s="483"/>
    </row>
    <row r="3223" spans="18:18">
      <c r="R3223" s="483"/>
    </row>
    <row r="3224" spans="18:18">
      <c r="R3224" s="483"/>
    </row>
    <row r="3225" spans="18:18">
      <c r="R3225" s="483"/>
    </row>
    <row r="3226" spans="18:18">
      <c r="R3226" s="483"/>
    </row>
    <row r="3227" spans="18:18">
      <c r="R3227" s="483"/>
    </row>
    <row r="3228" spans="18:18">
      <c r="R3228" s="483"/>
    </row>
    <row r="3229" spans="18:18">
      <c r="R3229" s="483"/>
    </row>
    <row r="3230" spans="18:18">
      <c r="R3230" s="483"/>
    </row>
    <row r="3231" spans="18:18">
      <c r="R3231" s="483"/>
    </row>
    <row r="3232" spans="18:18">
      <c r="R3232" s="483"/>
    </row>
    <row r="3233" spans="18:18">
      <c r="R3233" s="483"/>
    </row>
    <row r="3234" spans="18:18">
      <c r="R3234" s="483"/>
    </row>
    <row r="3235" spans="18:18">
      <c r="R3235" s="483"/>
    </row>
    <row r="3236" spans="18:18">
      <c r="R3236" s="483"/>
    </row>
    <row r="3237" spans="18:18">
      <c r="R3237" s="483"/>
    </row>
    <row r="3238" spans="18:18">
      <c r="R3238" s="483"/>
    </row>
    <row r="3239" spans="18:18">
      <c r="R3239" s="483"/>
    </row>
    <row r="3240" spans="18:18">
      <c r="R3240" s="483"/>
    </row>
    <row r="3241" spans="18:18">
      <c r="R3241" s="483"/>
    </row>
    <row r="3242" spans="18:18">
      <c r="R3242" s="483"/>
    </row>
    <row r="3243" spans="18:18">
      <c r="R3243" s="483"/>
    </row>
    <row r="3244" spans="18:18">
      <c r="R3244" s="483"/>
    </row>
    <row r="3245" spans="18:18">
      <c r="R3245" s="483"/>
    </row>
    <row r="3246" spans="18:18">
      <c r="R3246" s="483"/>
    </row>
    <row r="3247" spans="18:18">
      <c r="R3247" s="483"/>
    </row>
    <row r="3248" spans="18:18">
      <c r="R3248" s="483"/>
    </row>
    <row r="3249" spans="18:18">
      <c r="R3249" s="483"/>
    </row>
    <row r="3250" spans="18:18">
      <c r="R3250" s="483"/>
    </row>
    <row r="3251" spans="18:18">
      <c r="R3251" s="483"/>
    </row>
    <row r="3252" spans="18:18">
      <c r="R3252" s="483"/>
    </row>
    <row r="3253" spans="18:18">
      <c r="R3253" s="483"/>
    </row>
    <row r="3254" spans="18:18">
      <c r="R3254" s="483"/>
    </row>
    <row r="3255" spans="18:18">
      <c r="R3255" s="483"/>
    </row>
    <row r="3256" spans="18:18">
      <c r="R3256" s="483"/>
    </row>
    <row r="3257" spans="18:18">
      <c r="R3257" s="483"/>
    </row>
    <row r="3258" spans="18:18">
      <c r="R3258" s="483"/>
    </row>
    <row r="3259" spans="18:18">
      <c r="R3259" s="483"/>
    </row>
    <row r="3260" spans="18:18">
      <c r="R3260" s="483"/>
    </row>
    <row r="3261" spans="18:18">
      <c r="R3261" s="483"/>
    </row>
    <row r="3262" spans="18:18">
      <c r="R3262" s="483"/>
    </row>
    <row r="3263" spans="18:18">
      <c r="R3263" s="483"/>
    </row>
    <row r="3264" spans="18:18">
      <c r="R3264" s="483"/>
    </row>
    <row r="3265" spans="18:18">
      <c r="R3265" s="483"/>
    </row>
    <row r="3266" spans="18:18">
      <c r="R3266" s="483"/>
    </row>
    <row r="3267" spans="18:18">
      <c r="R3267" s="483"/>
    </row>
    <row r="3268" spans="18:18">
      <c r="R3268" s="483"/>
    </row>
    <row r="3269" spans="18:18">
      <c r="R3269" s="483"/>
    </row>
    <row r="3270" spans="18:18">
      <c r="R3270" s="483"/>
    </row>
    <row r="3271" spans="18:18">
      <c r="R3271" s="483"/>
    </row>
    <row r="3272" spans="18:18">
      <c r="R3272" s="483"/>
    </row>
    <row r="3273" spans="18:18">
      <c r="R3273" s="483"/>
    </row>
    <row r="3274" spans="18:18">
      <c r="R3274" s="483"/>
    </row>
    <row r="3275" spans="18:18">
      <c r="R3275" s="483"/>
    </row>
    <row r="3276" spans="18:18">
      <c r="R3276" s="483"/>
    </row>
    <row r="3277" spans="18:18">
      <c r="R3277" s="483"/>
    </row>
    <row r="3278" spans="18:18">
      <c r="R3278" s="483"/>
    </row>
    <row r="3279" spans="18:18">
      <c r="R3279" s="483"/>
    </row>
    <row r="3280" spans="18:18">
      <c r="R3280" s="483"/>
    </row>
    <row r="3281" spans="18:18">
      <c r="R3281" s="483"/>
    </row>
    <row r="3282" spans="18:18">
      <c r="R3282" s="483"/>
    </row>
    <row r="3283" spans="18:18">
      <c r="R3283" s="483"/>
    </row>
    <row r="3284" spans="18:18">
      <c r="R3284" s="483"/>
    </row>
    <row r="3285" spans="18:18">
      <c r="R3285" s="483"/>
    </row>
    <row r="3286" spans="18:18">
      <c r="R3286" s="483"/>
    </row>
    <row r="3287" spans="18:18">
      <c r="R3287" s="483"/>
    </row>
    <row r="3288" spans="18:18">
      <c r="R3288" s="483"/>
    </row>
    <row r="3289" spans="18:18">
      <c r="R3289" s="483"/>
    </row>
    <row r="3290" spans="18:18">
      <c r="R3290" s="483"/>
    </row>
    <row r="3291" spans="18:18">
      <c r="R3291" s="483"/>
    </row>
    <row r="3292" spans="18:18">
      <c r="R3292" s="483"/>
    </row>
    <row r="3293" spans="18:18">
      <c r="R3293" s="483"/>
    </row>
    <row r="3294" spans="18:18">
      <c r="R3294" s="483"/>
    </row>
    <row r="3295" spans="18:18">
      <c r="R3295" s="483"/>
    </row>
    <row r="3296" spans="18:18">
      <c r="R3296" s="483"/>
    </row>
    <row r="3297" spans="18:18">
      <c r="R3297" s="483"/>
    </row>
    <row r="3298" spans="18:18">
      <c r="R3298" s="483"/>
    </row>
    <row r="3299" spans="18:18">
      <c r="R3299" s="483"/>
    </row>
    <row r="3300" spans="18:18">
      <c r="R3300" s="483"/>
    </row>
    <row r="3301" spans="18:18">
      <c r="R3301" s="483"/>
    </row>
    <row r="3302" spans="18:18">
      <c r="R3302" s="483"/>
    </row>
    <row r="3303" spans="18:18">
      <c r="R3303" s="483"/>
    </row>
    <row r="3304" spans="18:18">
      <c r="R3304" s="483"/>
    </row>
    <row r="3305" spans="18:18">
      <c r="R3305" s="483"/>
    </row>
    <row r="3306" spans="18:18">
      <c r="R3306" s="483"/>
    </row>
    <row r="3307" spans="18:18">
      <c r="R3307" s="483"/>
    </row>
    <row r="3308" spans="18:18">
      <c r="R3308" s="483"/>
    </row>
    <row r="3309" spans="18:18">
      <c r="R3309" s="483"/>
    </row>
    <row r="3310" spans="18:18">
      <c r="R3310" s="483"/>
    </row>
    <row r="3311" spans="18:18">
      <c r="R3311" s="483"/>
    </row>
    <row r="3312" spans="18:18">
      <c r="R3312" s="483"/>
    </row>
    <row r="3313" spans="18:18">
      <c r="R3313" s="483"/>
    </row>
    <row r="3314" spans="18:18">
      <c r="R3314" s="483"/>
    </row>
    <row r="3315" spans="18:18">
      <c r="R3315" s="483"/>
    </row>
    <row r="3316" spans="18:18">
      <c r="R3316" s="483"/>
    </row>
    <row r="3317" spans="18:18">
      <c r="R3317" s="483"/>
    </row>
    <row r="3318" spans="18:18">
      <c r="R3318" s="483"/>
    </row>
    <row r="3319" spans="18:18">
      <c r="R3319" s="483"/>
    </row>
    <row r="3320" spans="18:18">
      <c r="R3320" s="483"/>
    </row>
    <row r="3321" spans="18:18">
      <c r="R3321" s="483"/>
    </row>
    <row r="3322" spans="18:18">
      <c r="R3322" s="483"/>
    </row>
    <row r="3323" spans="18:18">
      <c r="R3323" s="483"/>
    </row>
    <row r="3324" spans="18:18">
      <c r="R3324" s="483"/>
    </row>
    <row r="3325" spans="18:18">
      <c r="R3325" s="483"/>
    </row>
    <row r="3326" spans="18:18">
      <c r="R3326" s="483"/>
    </row>
    <row r="3327" spans="18:18">
      <c r="R3327" s="483"/>
    </row>
    <row r="3328" spans="18:18">
      <c r="R3328" s="483"/>
    </row>
    <row r="3329" spans="18:18">
      <c r="R3329" s="483"/>
    </row>
    <row r="3330" spans="18:18">
      <c r="R3330" s="483"/>
    </row>
    <row r="3331" spans="18:18">
      <c r="R3331" s="483"/>
    </row>
    <row r="3332" spans="18:18">
      <c r="R3332" s="483"/>
    </row>
    <row r="3333" spans="18:18">
      <c r="R3333" s="483"/>
    </row>
    <row r="3334" spans="18:18">
      <c r="R3334" s="483"/>
    </row>
    <row r="3335" spans="18:18">
      <c r="R3335" s="483"/>
    </row>
    <row r="3336" spans="18:18">
      <c r="R3336" s="483"/>
    </row>
    <row r="3337" spans="18:18">
      <c r="R3337" s="483"/>
    </row>
    <row r="3338" spans="18:18">
      <c r="R3338" s="483"/>
    </row>
    <row r="3339" spans="18:18">
      <c r="R3339" s="483"/>
    </row>
    <row r="3340" spans="18:18">
      <c r="R3340" s="483"/>
    </row>
    <row r="3341" spans="18:18">
      <c r="R3341" s="483"/>
    </row>
    <row r="3342" spans="18:18">
      <c r="R3342" s="483"/>
    </row>
    <row r="3343" spans="18:18">
      <c r="R3343" s="483"/>
    </row>
    <row r="3344" spans="18:18">
      <c r="R3344" s="483"/>
    </row>
    <row r="3345" spans="18:18">
      <c r="R3345" s="483"/>
    </row>
    <row r="3346" spans="18:18">
      <c r="R3346" s="483"/>
    </row>
    <row r="3347" spans="18:18">
      <c r="R3347" s="483"/>
    </row>
    <row r="3348" spans="18:18">
      <c r="R3348" s="483"/>
    </row>
    <row r="3349" spans="18:18">
      <c r="R3349" s="483"/>
    </row>
    <row r="3350" spans="18:18">
      <c r="R3350" s="483"/>
    </row>
    <row r="3351" spans="18:18">
      <c r="R3351" s="483"/>
    </row>
    <row r="3352" spans="18:18">
      <c r="R3352" s="483"/>
    </row>
    <row r="3353" spans="18:18">
      <c r="R3353" s="483"/>
    </row>
    <row r="3354" spans="18:18">
      <c r="R3354" s="483"/>
    </row>
    <row r="3355" spans="18:18">
      <c r="R3355" s="483"/>
    </row>
    <row r="3356" spans="18:18">
      <c r="R3356" s="483"/>
    </row>
    <row r="3357" spans="18:18">
      <c r="R3357" s="483"/>
    </row>
    <row r="3358" spans="18:18">
      <c r="R3358" s="483"/>
    </row>
    <row r="3359" spans="18:18">
      <c r="R3359" s="483"/>
    </row>
    <row r="3360" spans="18:18">
      <c r="R3360" s="483"/>
    </row>
    <row r="3361" spans="18:18">
      <c r="R3361" s="483"/>
    </row>
    <row r="3362" spans="18:18">
      <c r="R3362" s="483"/>
    </row>
    <row r="3363" spans="18:18">
      <c r="R3363" s="483"/>
    </row>
    <row r="3364" spans="18:18">
      <c r="R3364" s="483"/>
    </row>
    <row r="3365" spans="18:18">
      <c r="R3365" s="483"/>
    </row>
    <row r="3366" spans="18:18">
      <c r="R3366" s="483"/>
    </row>
    <row r="3367" spans="18:18">
      <c r="R3367" s="483"/>
    </row>
    <row r="3368" spans="18:18">
      <c r="R3368" s="483"/>
    </row>
    <row r="3369" spans="18:18">
      <c r="R3369" s="483"/>
    </row>
    <row r="3370" spans="18:18">
      <c r="R3370" s="483"/>
    </row>
    <row r="3371" spans="18:18">
      <c r="R3371" s="483"/>
    </row>
    <row r="3372" spans="18:18">
      <c r="R3372" s="483"/>
    </row>
    <row r="3373" spans="18:18">
      <c r="R3373" s="483"/>
    </row>
    <row r="3374" spans="18:18">
      <c r="R3374" s="483"/>
    </row>
    <row r="3375" spans="18:18">
      <c r="R3375" s="483"/>
    </row>
    <row r="3376" spans="18:18">
      <c r="R3376" s="483"/>
    </row>
    <row r="3377" spans="18:18">
      <c r="R3377" s="483"/>
    </row>
    <row r="3378" spans="18:18">
      <c r="R3378" s="483"/>
    </row>
    <row r="3379" spans="18:18">
      <c r="R3379" s="483"/>
    </row>
    <row r="3380" spans="18:18">
      <c r="R3380" s="483"/>
    </row>
    <row r="3381" spans="18:18">
      <c r="R3381" s="483"/>
    </row>
    <row r="3382" spans="18:18">
      <c r="R3382" s="483"/>
    </row>
    <row r="3383" spans="18:18">
      <c r="R3383" s="483"/>
    </row>
    <row r="3384" spans="18:18">
      <c r="R3384" s="483"/>
    </row>
    <row r="3385" spans="18:18">
      <c r="R3385" s="483"/>
    </row>
    <row r="3386" spans="18:18">
      <c r="R3386" s="483"/>
    </row>
    <row r="3387" spans="18:18">
      <c r="R3387" s="483"/>
    </row>
    <row r="3388" spans="18:18">
      <c r="R3388" s="483"/>
    </row>
    <row r="3389" spans="18:18">
      <c r="R3389" s="483"/>
    </row>
    <row r="3390" spans="18:18">
      <c r="R3390" s="483"/>
    </row>
    <row r="3391" spans="18:18">
      <c r="R3391" s="483"/>
    </row>
    <row r="3392" spans="18:18">
      <c r="R3392" s="483"/>
    </row>
    <row r="3393" spans="18:18">
      <c r="R3393" s="483"/>
    </row>
    <row r="3394" spans="18:18">
      <c r="R3394" s="483"/>
    </row>
    <row r="3395" spans="18:18">
      <c r="R3395" s="483"/>
    </row>
    <row r="3396" spans="18:18">
      <c r="R3396" s="483"/>
    </row>
    <row r="3397" spans="18:18">
      <c r="R3397" s="483"/>
    </row>
    <row r="3398" spans="18:18">
      <c r="R3398" s="483"/>
    </row>
    <row r="3399" spans="18:18">
      <c r="R3399" s="483"/>
    </row>
    <row r="3400" spans="18:18">
      <c r="R3400" s="483"/>
    </row>
    <row r="3401" spans="18:18">
      <c r="R3401" s="483"/>
    </row>
    <row r="3402" spans="18:18">
      <c r="R3402" s="483"/>
    </row>
    <row r="3403" spans="18:18">
      <c r="R3403" s="483"/>
    </row>
    <row r="3404" spans="18:18">
      <c r="R3404" s="483"/>
    </row>
    <row r="3405" spans="18:18">
      <c r="R3405" s="483"/>
    </row>
    <row r="3406" spans="18:18">
      <c r="R3406" s="483"/>
    </row>
    <row r="3407" spans="18:18">
      <c r="R3407" s="483"/>
    </row>
    <row r="3408" spans="18:18">
      <c r="R3408" s="483"/>
    </row>
    <row r="3409" spans="18:18">
      <c r="R3409" s="483"/>
    </row>
    <row r="3410" spans="18:18">
      <c r="R3410" s="483"/>
    </row>
    <row r="3411" spans="18:18">
      <c r="R3411" s="483"/>
    </row>
    <row r="3412" spans="18:18">
      <c r="R3412" s="483"/>
    </row>
    <row r="3413" spans="18:18">
      <c r="R3413" s="483"/>
    </row>
    <row r="3414" spans="18:18">
      <c r="R3414" s="483"/>
    </row>
    <row r="3415" spans="18:18">
      <c r="R3415" s="483"/>
    </row>
    <row r="3416" spans="18:18">
      <c r="R3416" s="483"/>
    </row>
    <row r="3417" spans="18:18">
      <c r="R3417" s="483"/>
    </row>
    <row r="3418" spans="18:18">
      <c r="R3418" s="483"/>
    </row>
    <row r="3419" spans="18:18">
      <c r="R3419" s="483"/>
    </row>
    <row r="3420" spans="18:18">
      <c r="R3420" s="483"/>
    </row>
    <row r="3421" spans="18:18">
      <c r="R3421" s="483"/>
    </row>
    <row r="3422" spans="18:18">
      <c r="R3422" s="483"/>
    </row>
    <row r="3423" spans="18:18">
      <c r="R3423" s="483"/>
    </row>
    <row r="3424" spans="18:18">
      <c r="R3424" s="483"/>
    </row>
    <row r="3425" spans="18:18">
      <c r="R3425" s="483"/>
    </row>
    <row r="3426" spans="18:18">
      <c r="R3426" s="483"/>
    </row>
    <row r="3427" spans="18:18">
      <c r="R3427" s="483"/>
    </row>
    <row r="3428" spans="18:18">
      <c r="R3428" s="483"/>
    </row>
    <row r="3429" spans="18:18">
      <c r="R3429" s="483"/>
    </row>
    <row r="3430" spans="18:18">
      <c r="R3430" s="483"/>
    </row>
    <row r="3431" spans="18:18">
      <c r="R3431" s="483"/>
    </row>
    <row r="3432" spans="18:18">
      <c r="R3432" s="483"/>
    </row>
    <row r="3433" spans="18:18">
      <c r="R3433" s="483"/>
    </row>
    <row r="3434" spans="18:18">
      <c r="R3434" s="483"/>
    </row>
    <row r="3435" spans="18:18">
      <c r="R3435" s="483"/>
    </row>
    <row r="3436" spans="18:18">
      <c r="R3436" s="483"/>
    </row>
    <row r="3437" spans="18:18">
      <c r="R3437" s="483"/>
    </row>
    <row r="3438" spans="18:18">
      <c r="R3438" s="483"/>
    </row>
    <row r="3439" spans="18:18">
      <c r="R3439" s="483"/>
    </row>
    <row r="3440" spans="18:18">
      <c r="R3440" s="483"/>
    </row>
    <row r="3441" spans="18:18">
      <c r="R3441" s="483"/>
    </row>
    <row r="3442" spans="18:18">
      <c r="R3442" s="483"/>
    </row>
    <row r="3443" spans="18:18">
      <c r="R3443" s="483"/>
    </row>
    <row r="3444" spans="18:18">
      <c r="R3444" s="483"/>
    </row>
    <row r="3445" spans="18:18">
      <c r="R3445" s="483"/>
    </row>
    <row r="3446" spans="18:18">
      <c r="R3446" s="483"/>
    </row>
    <row r="3447" spans="18:18">
      <c r="R3447" s="483"/>
    </row>
    <row r="3448" spans="18:18">
      <c r="R3448" s="483"/>
    </row>
    <row r="3449" spans="18:18">
      <c r="R3449" s="483"/>
    </row>
    <row r="3450" spans="18:18">
      <c r="R3450" s="483"/>
    </row>
    <row r="3451" spans="18:18">
      <c r="R3451" s="483"/>
    </row>
    <row r="3452" spans="18:18">
      <c r="R3452" s="483"/>
    </row>
    <row r="3453" spans="18:18">
      <c r="R3453" s="483"/>
    </row>
    <row r="3454" spans="18:18">
      <c r="R3454" s="483"/>
    </row>
    <row r="3455" spans="18:18">
      <c r="R3455" s="483"/>
    </row>
    <row r="3456" spans="18:18">
      <c r="R3456" s="483"/>
    </row>
    <row r="3457" spans="18:18">
      <c r="R3457" s="483"/>
    </row>
    <row r="3458" spans="18:18">
      <c r="R3458" s="483"/>
    </row>
    <row r="3459" spans="18:18">
      <c r="R3459" s="483"/>
    </row>
    <row r="3460" spans="18:18">
      <c r="R3460" s="483"/>
    </row>
    <row r="3461" spans="18:18">
      <c r="R3461" s="483"/>
    </row>
    <row r="3462" spans="18:18">
      <c r="R3462" s="483"/>
    </row>
    <row r="3463" spans="18:18">
      <c r="R3463" s="483"/>
    </row>
    <row r="3464" spans="18:18">
      <c r="R3464" s="483"/>
    </row>
    <row r="3465" spans="18:18">
      <c r="R3465" s="483"/>
    </row>
    <row r="3466" spans="18:18">
      <c r="R3466" s="483"/>
    </row>
    <row r="3467" spans="18:18">
      <c r="R3467" s="483"/>
    </row>
    <row r="3468" spans="18:18">
      <c r="R3468" s="483"/>
    </row>
    <row r="3469" spans="18:18">
      <c r="R3469" s="483"/>
    </row>
    <row r="3470" spans="18:18">
      <c r="R3470" s="483"/>
    </row>
    <row r="3471" spans="18:18">
      <c r="R3471" s="483"/>
    </row>
    <row r="3472" spans="18:18">
      <c r="R3472" s="483"/>
    </row>
    <row r="3473" spans="18:18">
      <c r="R3473" s="483"/>
    </row>
    <row r="3474" spans="18:18">
      <c r="R3474" s="483"/>
    </row>
    <row r="3475" spans="18:18">
      <c r="R3475" s="483"/>
    </row>
    <row r="3476" spans="18:18">
      <c r="R3476" s="483"/>
    </row>
    <row r="3477" spans="18:18">
      <c r="R3477" s="483"/>
    </row>
    <row r="3478" spans="18:18">
      <c r="R3478" s="483"/>
    </row>
    <row r="3479" spans="18:18">
      <c r="R3479" s="483"/>
    </row>
    <row r="3480" spans="18:18">
      <c r="R3480" s="483"/>
    </row>
    <row r="3481" spans="18:18">
      <c r="R3481" s="483"/>
    </row>
    <row r="3482" spans="18:18">
      <c r="R3482" s="483"/>
    </row>
    <row r="3483" spans="18:18">
      <c r="R3483" s="483"/>
    </row>
    <row r="3484" spans="18:18">
      <c r="R3484" s="483"/>
    </row>
    <row r="3485" spans="18:18">
      <c r="R3485" s="483"/>
    </row>
    <row r="3486" spans="18:18">
      <c r="R3486" s="483"/>
    </row>
    <row r="3487" spans="18:18">
      <c r="R3487" s="483"/>
    </row>
  </sheetData>
  <printOptions horizontalCentered="1" verticalCentered="1"/>
  <pageMargins left="0" right="0" top="0.15748031496062992" bottom="0" header="0" footer="0"/>
  <pageSetup paperSize="9" scale="52"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3"/>
  <sheetViews>
    <sheetView zoomScaleNormal="100" workbookViewId="0">
      <selection activeCell="B20" sqref="B20"/>
    </sheetView>
  </sheetViews>
  <sheetFormatPr defaultRowHeight="15"/>
  <cols>
    <col min="1" max="1" width="6.42578125" style="403" customWidth="1"/>
    <col min="2" max="2" width="61.5703125" style="403" customWidth="1"/>
    <col min="3" max="15" width="9.28515625" style="403" hidden="1" customWidth="1"/>
    <col min="16" max="21" width="9.140625" style="403" hidden="1" customWidth="1"/>
    <col min="22" max="22" width="9.7109375" style="403" hidden="1" customWidth="1"/>
    <col min="23" max="25" width="9.140625" style="403" hidden="1" customWidth="1"/>
    <col min="26" max="41" width="10.85546875" style="403" hidden="1" customWidth="1"/>
    <col min="42" max="43" width="14.28515625" style="403" hidden="1" customWidth="1"/>
    <col min="44" max="54" width="14.28515625" style="403" customWidth="1"/>
    <col min="55" max="56" width="12.28515625" style="403" customWidth="1"/>
    <col min="57" max="256" width="9.140625" style="403"/>
    <col min="257" max="257" width="5.140625" style="403" customWidth="1"/>
    <col min="258" max="258" width="63.42578125" style="403" customWidth="1"/>
    <col min="259" max="296" width="0" style="403" hidden="1" customWidth="1"/>
    <col min="297" max="307" width="10.85546875" style="403" customWidth="1"/>
    <col min="308" max="309" width="10.7109375" style="403" customWidth="1"/>
    <col min="310" max="512" width="9.140625" style="403"/>
    <col min="513" max="513" width="5.140625" style="403" customWidth="1"/>
    <col min="514" max="514" width="63.42578125" style="403" customWidth="1"/>
    <col min="515" max="552" width="0" style="403" hidden="1" customWidth="1"/>
    <col min="553" max="563" width="10.85546875" style="403" customWidth="1"/>
    <col min="564" max="565" width="10.7109375" style="403" customWidth="1"/>
    <col min="566" max="768" width="9.140625" style="403"/>
    <col min="769" max="769" width="5.140625" style="403" customWidth="1"/>
    <col min="770" max="770" width="63.42578125" style="403" customWidth="1"/>
    <col min="771" max="808" width="0" style="403" hidden="1" customWidth="1"/>
    <col min="809" max="819" width="10.85546875" style="403" customWidth="1"/>
    <col min="820" max="821" width="10.7109375" style="403" customWidth="1"/>
    <col min="822" max="1024" width="9.140625" style="403"/>
    <col min="1025" max="1025" width="5.140625" style="403" customWidth="1"/>
    <col min="1026" max="1026" width="63.42578125" style="403" customWidth="1"/>
    <col min="1027" max="1064" width="0" style="403" hidden="1" customWidth="1"/>
    <col min="1065" max="1075" width="10.85546875" style="403" customWidth="1"/>
    <col min="1076" max="1077" width="10.7109375" style="403" customWidth="1"/>
    <col min="1078" max="1280" width="9.140625" style="403"/>
    <col min="1281" max="1281" width="5.140625" style="403" customWidth="1"/>
    <col min="1282" max="1282" width="63.42578125" style="403" customWidth="1"/>
    <col min="1283" max="1320" width="0" style="403" hidden="1" customWidth="1"/>
    <col min="1321" max="1331" width="10.85546875" style="403" customWidth="1"/>
    <col min="1332" max="1333" width="10.7109375" style="403" customWidth="1"/>
    <col min="1334" max="1536" width="9.140625" style="403"/>
    <col min="1537" max="1537" width="5.140625" style="403" customWidth="1"/>
    <col min="1538" max="1538" width="63.42578125" style="403" customWidth="1"/>
    <col min="1539" max="1576" width="0" style="403" hidden="1" customWidth="1"/>
    <col min="1577" max="1587" width="10.85546875" style="403" customWidth="1"/>
    <col min="1588" max="1589" width="10.7109375" style="403" customWidth="1"/>
    <col min="1590" max="1792" width="9.140625" style="403"/>
    <col min="1793" max="1793" width="5.140625" style="403" customWidth="1"/>
    <col min="1794" max="1794" width="63.42578125" style="403" customWidth="1"/>
    <col min="1795" max="1832" width="0" style="403" hidden="1" customWidth="1"/>
    <col min="1833" max="1843" width="10.85546875" style="403" customWidth="1"/>
    <col min="1844" max="1845" width="10.7109375" style="403" customWidth="1"/>
    <col min="1846" max="2048" width="9.140625" style="403"/>
    <col min="2049" max="2049" width="5.140625" style="403" customWidth="1"/>
    <col min="2050" max="2050" width="63.42578125" style="403" customWidth="1"/>
    <col min="2051" max="2088" width="0" style="403" hidden="1" customWidth="1"/>
    <col min="2089" max="2099" width="10.85546875" style="403" customWidth="1"/>
    <col min="2100" max="2101" width="10.7109375" style="403" customWidth="1"/>
    <col min="2102" max="2304" width="9.140625" style="403"/>
    <col min="2305" max="2305" width="5.140625" style="403" customWidth="1"/>
    <col min="2306" max="2306" width="63.42578125" style="403" customWidth="1"/>
    <col min="2307" max="2344" width="0" style="403" hidden="1" customWidth="1"/>
    <col min="2345" max="2355" width="10.85546875" style="403" customWidth="1"/>
    <col min="2356" max="2357" width="10.7109375" style="403" customWidth="1"/>
    <col min="2358" max="2560" width="9.140625" style="403"/>
    <col min="2561" max="2561" width="5.140625" style="403" customWidth="1"/>
    <col min="2562" max="2562" width="63.42578125" style="403" customWidth="1"/>
    <col min="2563" max="2600" width="0" style="403" hidden="1" customWidth="1"/>
    <col min="2601" max="2611" width="10.85546875" style="403" customWidth="1"/>
    <col min="2612" max="2613" width="10.7109375" style="403" customWidth="1"/>
    <col min="2614" max="2816" width="9.140625" style="403"/>
    <col min="2817" max="2817" width="5.140625" style="403" customWidth="1"/>
    <col min="2818" max="2818" width="63.42578125" style="403" customWidth="1"/>
    <col min="2819" max="2856" width="0" style="403" hidden="1" customWidth="1"/>
    <col min="2857" max="2867" width="10.85546875" style="403" customWidth="1"/>
    <col min="2868" max="2869" width="10.7109375" style="403" customWidth="1"/>
    <col min="2870" max="3072" width="9.140625" style="403"/>
    <col min="3073" max="3073" width="5.140625" style="403" customWidth="1"/>
    <col min="3074" max="3074" width="63.42578125" style="403" customWidth="1"/>
    <col min="3075" max="3112" width="0" style="403" hidden="1" customWidth="1"/>
    <col min="3113" max="3123" width="10.85546875" style="403" customWidth="1"/>
    <col min="3124" max="3125" width="10.7109375" style="403" customWidth="1"/>
    <col min="3126" max="3328" width="9.140625" style="403"/>
    <col min="3329" max="3329" width="5.140625" style="403" customWidth="1"/>
    <col min="3330" max="3330" width="63.42578125" style="403" customWidth="1"/>
    <col min="3331" max="3368" width="0" style="403" hidden="1" customWidth="1"/>
    <col min="3369" max="3379" width="10.85546875" style="403" customWidth="1"/>
    <col min="3380" max="3381" width="10.7109375" style="403" customWidth="1"/>
    <col min="3382" max="3584" width="9.140625" style="403"/>
    <col min="3585" max="3585" width="5.140625" style="403" customWidth="1"/>
    <col min="3586" max="3586" width="63.42578125" style="403" customWidth="1"/>
    <col min="3587" max="3624" width="0" style="403" hidden="1" customWidth="1"/>
    <col min="3625" max="3635" width="10.85546875" style="403" customWidth="1"/>
    <col min="3636" max="3637" width="10.7109375" style="403" customWidth="1"/>
    <col min="3638" max="3840" width="9.140625" style="403"/>
    <col min="3841" max="3841" width="5.140625" style="403" customWidth="1"/>
    <col min="3842" max="3842" width="63.42578125" style="403" customWidth="1"/>
    <col min="3843" max="3880" width="0" style="403" hidden="1" customWidth="1"/>
    <col min="3881" max="3891" width="10.85546875" style="403" customWidth="1"/>
    <col min="3892" max="3893" width="10.7109375" style="403" customWidth="1"/>
    <col min="3894" max="4096" width="9.140625" style="403"/>
    <col min="4097" max="4097" width="5.140625" style="403" customWidth="1"/>
    <col min="4098" max="4098" width="63.42578125" style="403" customWidth="1"/>
    <col min="4099" max="4136" width="0" style="403" hidden="1" customWidth="1"/>
    <col min="4137" max="4147" width="10.85546875" style="403" customWidth="1"/>
    <col min="4148" max="4149" width="10.7109375" style="403" customWidth="1"/>
    <col min="4150" max="4352" width="9.140625" style="403"/>
    <col min="4353" max="4353" width="5.140625" style="403" customWidth="1"/>
    <col min="4354" max="4354" width="63.42578125" style="403" customWidth="1"/>
    <col min="4355" max="4392" width="0" style="403" hidden="1" customWidth="1"/>
    <col min="4393" max="4403" width="10.85546875" style="403" customWidth="1"/>
    <col min="4404" max="4405" width="10.7109375" style="403" customWidth="1"/>
    <col min="4406" max="4608" width="9.140625" style="403"/>
    <col min="4609" max="4609" width="5.140625" style="403" customWidth="1"/>
    <col min="4610" max="4610" width="63.42578125" style="403" customWidth="1"/>
    <col min="4611" max="4648" width="0" style="403" hidden="1" customWidth="1"/>
    <col min="4649" max="4659" width="10.85546875" style="403" customWidth="1"/>
    <col min="4660" max="4661" width="10.7109375" style="403" customWidth="1"/>
    <col min="4662" max="4864" width="9.140625" style="403"/>
    <col min="4865" max="4865" width="5.140625" style="403" customWidth="1"/>
    <col min="4866" max="4866" width="63.42578125" style="403" customWidth="1"/>
    <col min="4867" max="4904" width="0" style="403" hidden="1" customWidth="1"/>
    <col min="4905" max="4915" width="10.85546875" style="403" customWidth="1"/>
    <col min="4916" max="4917" width="10.7109375" style="403" customWidth="1"/>
    <col min="4918" max="5120" width="9.140625" style="403"/>
    <col min="5121" max="5121" width="5.140625" style="403" customWidth="1"/>
    <col min="5122" max="5122" width="63.42578125" style="403" customWidth="1"/>
    <col min="5123" max="5160" width="0" style="403" hidden="1" customWidth="1"/>
    <col min="5161" max="5171" width="10.85546875" style="403" customWidth="1"/>
    <col min="5172" max="5173" width="10.7109375" style="403" customWidth="1"/>
    <col min="5174" max="5376" width="9.140625" style="403"/>
    <col min="5377" max="5377" width="5.140625" style="403" customWidth="1"/>
    <col min="5378" max="5378" width="63.42578125" style="403" customWidth="1"/>
    <col min="5379" max="5416" width="0" style="403" hidden="1" customWidth="1"/>
    <col min="5417" max="5427" width="10.85546875" style="403" customWidth="1"/>
    <col min="5428" max="5429" width="10.7109375" style="403" customWidth="1"/>
    <col min="5430" max="5632" width="9.140625" style="403"/>
    <col min="5633" max="5633" width="5.140625" style="403" customWidth="1"/>
    <col min="5634" max="5634" width="63.42578125" style="403" customWidth="1"/>
    <col min="5635" max="5672" width="0" style="403" hidden="1" customWidth="1"/>
    <col min="5673" max="5683" width="10.85546875" style="403" customWidth="1"/>
    <col min="5684" max="5685" width="10.7109375" style="403" customWidth="1"/>
    <col min="5686" max="5888" width="9.140625" style="403"/>
    <col min="5889" max="5889" width="5.140625" style="403" customWidth="1"/>
    <col min="5890" max="5890" width="63.42578125" style="403" customWidth="1"/>
    <col min="5891" max="5928" width="0" style="403" hidden="1" customWidth="1"/>
    <col min="5929" max="5939" width="10.85546875" style="403" customWidth="1"/>
    <col min="5940" max="5941" width="10.7109375" style="403" customWidth="1"/>
    <col min="5942" max="6144" width="9.140625" style="403"/>
    <col min="6145" max="6145" width="5.140625" style="403" customWidth="1"/>
    <col min="6146" max="6146" width="63.42578125" style="403" customWidth="1"/>
    <col min="6147" max="6184" width="0" style="403" hidden="1" customWidth="1"/>
    <col min="6185" max="6195" width="10.85546875" style="403" customWidth="1"/>
    <col min="6196" max="6197" width="10.7109375" style="403" customWidth="1"/>
    <col min="6198" max="6400" width="9.140625" style="403"/>
    <col min="6401" max="6401" width="5.140625" style="403" customWidth="1"/>
    <col min="6402" max="6402" width="63.42578125" style="403" customWidth="1"/>
    <col min="6403" max="6440" width="0" style="403" hidden="1" customWidth="1"/>
    <col min="6441" max="6451" width="10.85546875" style="403" customWidth="1"/>
    <col min="6452" max="6453" width="10.7109375" style="403" customWidth="1"/>
    <col min="6454" max="6656" width="9.140625" style="403"/>
    <col min="6657" max="6657" width="5.140625" style="403" customWidth="1"/>
    <col min="6658" max="6658" width="63.42578125" style="403" customWidth="1"/>
    <col min="6659" max="6696" width="0" style="403" hidden="1" customWidth="1"/>
    <col min="6697" max="6707" width="10.85546875" style="403" customWidth="1"/>
    <col min="6708" max="6709" width="10.7109375" style="403" customWidth="1"/>
    <col min="6710" max="6912" width="9.140625" style="403"/>
    <col min="6913" max="6913" width="5.140625" style="403" customWidth="1"/>
    <col min="6914" max="6914" width="63.42578125" style="403" customWidth="1"/>
    <col min="6915" max="6952" width="0" style="403" hidden="1" customWidth="1"/>
    <col min="6953" max="6963" width="10.85546875" style="403" customWidth="1"/>
    <col min="6964" max="6965" width="10.7109375" style="403" customWidth="1"/>
    <col min="6966" max="7168" width="9.140625" style="403"/>
    <col min="7169" max="7169" width="5.140625" style="403" customWidth="1"/>
    <col min="7170" max="7170" width="63.42578125" style="403" customWidth="1"/>
    <col min="7171" max="7208" width="0" style="403" hidden="1" customWidth="1"/>
    <col min="7209" max="7219" width="10.85546875" style="403" customWidth="1"/>
    <col min="7220" max="7221" width="10.7109375" style="403" customWidth="1"/>
    <col min="7222" max="7424" width="9.140625" style="403"/>
    <col min="7425" max="7425" width="5.140625" style="403" customWidth="1"/>
    <col min="7426" max="7426" width="63.42578125" style="403" customWidth="1"/>
    <col min="7427" max="7464" width="0" style="403" hidden="1" customWidth="1"/>
    <col min="7465" max="7475" width="10.85546875" style="403" customWidth="1"/>
    <col min="7476" max="7477" width="10.7109375" style="403" customWidth="1"/>
    <col min="7478" max="7680" width="9.140625" style="403"/>
    <col min="7681" max="7681" width="5.140625" style="403" customWidth="1"/>
    <col min="7682" max="7682" width="63.42578125" style="403" customWidth="1"/>
    <col min="7683" max="7720" width="0" style="403" hidden="1" customWidth="1"/>
    <col min="7721" max="7731" width="10.85546875" style="403" customWidth="1"/>
    <col min="7732" max="7733" width="10.7109375" style="403" customWidth="1"/>
    <col min="7734" max="7936" width="9.140625" style="403"/>
    <col min="7937" max="7937" width="5.140625" style="403" customWidth="1"/>
    <col min="7938" max="7938" width="63.42578125" style="403" customWidth="1"/>
    <col min="7939" max="7976" width="0" style="403" hidden="1" customWidth="1"/>
    <col min="7977" max="7987" width="10.85546875" style="403" customWidth="1"/>
    <col min="7988" max="7989" width="10.7109375" style="403" customWidth="1"/>
    <col min="7990" max="8192" width="9.140625" style="403"/>
    <col min="8193" max="8193" width="5.140625" style="403" customWidth="1"/>
    <col min="8194" max="8194" width="63.42578125" style="403" customWidth="1"/>
    <col min="8195" max="8232" width="0" style="403" hidden="1" customWidth="1"/>
    <col min="8233" max="8243" width="10.85546875" style="403" customWidth="1"/>
    <col min="8244" max="8245" width="10.7109375" style="403" customWidth="1"/>
    <col min="8246" max="8448" width="9.140625" style="403"/>
    <col min="8449" max="8449" width="5.140625" style="403" customWidth="1"/>
    <col min="8450" max="8450" width="63.42578125" style="403" customWidth="1"/>
    <col min="8451" max="8488" width="0" style="403" hidden="1" customWidth="1"/>
    <col min="8489" max="8499" width="10.85546875" style="403" customWidth="1"/>
    <col min="8500" max="8501" width="10.7109375" style="403" customWidth="1"/>
    <col min="8502" max="8704" width="9.140625" style="403"/>
    <col min="8705" max="8705" width="5.140625" style="403" customWidth="1"/>
    <col min="8706" max="8706" width="63.42578125" style="403" customWidth="1"/>
    <col min="8707" max="8744" width="0" style="403" hidden="1" customWidth="1"/>
    <col min="8745" max="8755" width="10.85546875" style="403" customWidth="1"/>
    <col min="8756" max="8757" width="10.7109375" style="403" customWidth="1"/>
    <col min="8758" max="8960" width="9.140625" style="403"/>
    <col min="8961" max="8961" width="5.140625" style="403" customWidth="1"/>
    <col min="8962" max="8962" width="63.42578125" style="403" customWidth="1"/>
    <col min="8963" max="9000" width="0" style="403" hidden="1" customWidth="1"/>
    <col min="9001" max="9011" width="10.85546875" style="403" customWidth="1"/>
    <col min="9012" max="9013" width="10.7109375" style="403" customWidth="1"/>
    <col min="9014" max="9216" width="9.140625" style="403"/>
    <col min="9217" max="9217" width="5.140625" style="403" customWidth="1"/>
    <col min="9218" max="9218" width="63.42578125" style="403" customWidth="1"/>
    <col min="9219" max="9256" width="0" style="403" hidden="1" customWidth="1"/>
    <col min="9257" max="9267" width="10.85546875" style="403" customWidth="1"/>
    <col min="9268" max="9269" width="10.7109375" style="403" customWidth="1"/>
    <col min="9270" max="9472" width="9.140625" style="403"/>
    <col min="9473" max="9473" width="5.140625" style="403" customWidth="1"/>
    <col min="9474" max="9474" width="63.42578125" style="403" customWidth="1"/>
    <col min="9475" max="9512" width="0" style="403" hidden="1" customWidth="1"/>
    <col min="9513" max="9523" width="10.85546875" style="403" customWidth="1"/>
    <col min="9524" max="9525" width="10.7109375" style="403" customWidth="1"/>
    <col min="9526" max="9728" width="9.140625" style="403"/>
    <col min="9729" max="9729" width="5.140625" style="403" customWidth="1"/>
    <col min="9730" max="9730" width="63.42578125" style="403" customWidth="1"/>
    <col min="9731" max="9768" width="0" style="403" hidden="1" customWidth="1"/>
    <col min="9769" max="9779" width="10.85546875" style="403" customWidth="1"/>
    <col min="9780" max="9781" width="10.7109375" style="403" customWidth="1"/>
    <col min="9782" max="9984" width="9.140625" style="403"/>
    <col min="9985" max="9985" width="5.140625" style="403" customWidth="1"/>
    <col min="9986" max="9986" width="63.42578125" style="403" customWidth="1"/>
    <col min="9987" max="10024" width="0" style="403" hidden="1" customWidth="1"/>
    <col min="10025" max="10035" width="10.85546875" style="403" customWidth="1"/>
    <col min="10036" max="10037" width="10.7109375" style="403" customWidth="1"/>
    <col min="10038" max="10240" width="9.140625" style="403"/>
    <col min="10241" max="10241" width="5.140625" style="403" customWidth="1"/>
    <col min="10242" max="10242" width="63.42578125" style="403" customWidth="1"/>
    <col min="10243" max="10280" width="0" style="403" hidden="1" customWidth="1"/>
    <col min="10281" max="10291" width="10.85546875" style="403" customWidth="1"/>
    <col min="10292" max="10293" width="10.7109375" style="403" customWidth="1"/>
    <col min="10294" max="10496" width="9.140625" style="403"/>
    <col min="10497" max="10497" width="5.140625" style="403" customWidth="1"/>
    <col min="10498" max="10498" width="63.42578125" style="403" customWidth="1"/>
    <col min="10499" max="10536" width="0" style="403" hidden="1" customWidth="1"/>
    <col min="10537" max="10547" width="10.85546875" style="403" customWidth="1"/>
    <col min="10548" max="10549" width="10.7109375" style="403" customWidth="1"/>
    <col min="10550" max="10752" width="9.140625" style="403"/>
    <col min="10753" max="10753" width="5.140625" style="403" customWidth="1"/>
    <col min="10754" max="10754" width="63.42578125" style="403" customWidth="1"/>
    <col min="10755" max="10792" width="0" style="403" hidden="1" customWidth="1"/>
    <col min="10793" max="10803" width="10.85546875" style="403" customWidth="1"/>
    <col min="10804" max="10805" width="10.7109375" style="403" customWidth="1"/>
    <col min="10806" max="11008" width="9.140625" style="403"/>
    <col min="11009" max="11009" width="5.140625" style="403" customWidth="1"/>
    <col min="11010" max="11010" width="63.42578125" style="403" customWidth="1"/>
    <col min="11011" max="11048" width="0" style="403" hidden="1" customWidth="1"/>
    <col min="11049" max="11059" width="10.85546875" style="403" customWidth="1"/>
    <col min="11060" max="11061" width="10.7109375" style="403" customWidth="1"/>
    <col min="11062" max="11264" width="9.140625" style="403"/>
    <col min="11265" max="11265" width="5.140625" style="403" customWidth="1"/>
    <col min="11266" max="11266" width="63.42578125" style="403" customWidth="1"/>
    <col min="11267" max="11304" width="0" style="403" hidden="1" customWidth="1"/>
    <col min="11305" max="11315" width="10.85546875" style="403" customWidth="1"/>
    <col min="11316" max="11317" width="10.7109375" style="403" customWidth="1"/>
    <col min="11318" max="11520" width="9.140625" style="403"/>
    <col min="11521" max="11521" width="5.140625" style="403" customWidth="1"/>
    <col min="11522" max="11522" width="63.42578125" style="403" customWidth="1"/>
    <col min="11523" max="11560" width="0" style="403" hidden="1" customWidth="1"/>
    <col min="11561" max="11571" width="10.85546875" style="403" customWidth="1"/>
    <col min="11572" max="11573" width="10.7109375" style="403" customWidth="1"/>
    <col min="11574" max="11776" width="9.140625" style="403"/>
    <col min="11777" max="11777" width="5.140625" style="403" customWidth="1"/>
    <col min="11778" max="11778" width="63.42578125" style="403" customWidth="1"/>
    <col min="11779" max="11816" width="0" style="403" hidden="1" customWidth="1"/>
    <col min="11817" max="11827" width="10.85546875" style="403" customWidth="1"/>
    <col min="11828" max="11829" width="10.7109375" style="403" customWidth="1"/>
    <col min="11830" max="12032" width="9.140625" style="403"/>
    <col min="12033" max="12033" width="5.140625" style="403" customWidth="1"/>
    <col min="12034" max="12034" width="63.42578125" style="403" customWidth="1"/>
    <col min="12035" max="12072" width="0" style="403" hidden="1" customWidth="1"/>
    <col min="12073" max="12083" width="10.85546875" style="403" customWidth="1"/>
    <col min="12084" max="12085" width="10.7109375" style="403" customWidth="1"/>
    <col min="12086" max="12288" width="9.140625" style="403"/>
    <col min="12289" max="12289" width="5.140625" style="403" customWidth="1"/>
    <col min="12290" max="12290" width="63.42578125" style="403" customWidth="1"/>
    <col min="12291" max="12328" width="0" style="403" hidden="1" customWidth="1"/>
    <col min="12329" max="12339" width="10.85546875" style="403" customWidth="1"/>
    <col min="12340" max="12341" width="10.7109375" style="403" customWidth="1"/>
    <col min="12342" max="12544" width="9.140625" style="403"/>
    <col min="12545" max="12545" width="5.140625" style="403" customWidth="1"/>
    <col min="12546" max="12546" width="63.42578125" style="403" customWidth="1"/>
    <col min="12547" max="12584" width="0" style="403" hidden="1" customWidth="1"/>
    <col min="12585" max="12595" width="10.85546875" style="403" customWidth="1"/>
    <col min="12596" max="12597" width="10.7109375" style="403" customWidth="1"/>
    <col min="12598" max="12800" width="9.140625" style="403"/>
    <col min="12801" max="12801" width="5.140625" style="403" customWidth="1"/>
    <col min="12802" max="12802" width="63.42578125" style="403" customWidth="1"/>
    <col min="12803" max="12840" width="0" style="403" hidden="1" customWidth="1"/>
    <col min="12841" max="12851" width="10.85546875" style="403" customWidth="1"/>
    <col min="12852" max="12853" width="10.7109375" style="403" customWidth="1"/>
    <col min="12854" max="13056" width="9.140625" style="403"/>
    <col min="13057" max="13057" width="5.140625" style="403" customWidth="1"/>
    <col min="13058" max="13058" width="63.42578125" style="403" customWidth="1"/>
    <col min="13059" max="13096" width="0" style="403" hidden="1" customWidth="1"/>
    <col min="13097" max="13107" width="10.85546875" style="403" customWidth="1"/>
    <col min="13108" max="13109" width="10.7109375" style="403" customWidth="1"/>
    <col min="13110" max="13312" width="9.140625" style="403"/>
    <col min="13313" max="13313" width="5.140625" style="403" customWidth="1"/>
    <col min="13314" max="13314" width="63.42578125" style="403" customWidth="1"/>
    <col min="13315" max="13352" width="0" style="403" hidden="1" customWidth="1"/>
    <col min="13353" max="13363" width="10.85546875" style="403" customWidth="1"/>
    <col min="13364" max="13365" width="10.7109375" style="403" customWidth="1"/>
    <col min="13366" max="13568" width="9.140625" style="403"/>
    <col min="13569" max="13569" width="5.140625" style="403" customWidth="1"/>
    <col min="13570" max="13570" width="63.42578125" style="403" customWidth="1"/>
    <col min="13571" max="13608" width="0" style="403" hidden="1" customWidth="1"/>
    <col min="13609" max="13619" width="10.85546875" style="403" customWidth="1"/>
    <col min="13620" max="13621" width="10.7109375" style="403" customWidth="1"/>
    <col min="13622" max="13824" width="9.140625" style="403"/>
    <col min="13825" max="13825" width="5.140625" style="403" customWidth="1"/>
    <col min="13826" max="13826" width="63.42578125" style="403" customWidth="1"/>
    <col min="13827" max="13864" width="0" style="403" hidden="1" customWidth="1"/>
    <col min="13865" max="13875" width="10.85546875" style="403" customWidth="1"/>
    <col min="13876" max="13877" width="10.7109375" style="403" customWidth="1"/>
    <col min="13878" max="14080" width="9.140625" style="403"/>
    <col min="14081" max="14081" width="5.140625" style="403" customWidth="1"/>
    <col min="14082" max="14082" width="63.42578125" style="403" customWidth="1"/>
    <col min="14083" max="14120" width="0" style="403" hidden="1" customWidth="1"/>
    <col min="14121" max="14131" width="10.85546875" style="403" customWidth="1"/>
    <col min="14132" max="14133" width="10.7109375" style="403" customWidth="1"/>
    <col min="14134" max="14336" width="9.140625" style="403"/>
    <col min="14337" max="14337" width="5.140625" style="403" customWidth="1"/>
    <col min="14338" max="14338" width="63.42578125" style="403" customWidth="1"/>
    <col min="14339" max="14376" width="0" style="403" hidden="1" customWidth="1"/>
    <col min="14377" max="14387" width="10.85546875" style="403" customWidth="1"/>
    <col min="14388" max="14389" width="10.7109375" style="403" customWidth="1"/>
    <col min="14390" max="14592" width="9.140625" style="403"/>
    <col min="14593" max="14593" width="5.140625" style="403" customWidth="1"/>
    <col min="14594" max="14594" width="63.42578125" style="403" customWidth="1"/>
    <col min="14595" max="14632" width="0" style="403" hidden="1" customWidth="1"/>
    <col min="14633" max="14643" width="10.85546875" style="403" customWidth="1"/>
    <col min="14644" max="14645" width="10.7109375" style="403" customWidth="1"/>
    <col min="14646" max="14848" width="9.140625" style="403"/>
    <col min="14849" max="14849" width="5.140625" style="403" customWidth="1"/>
    <col min="14850" max="14850" width="63.42578125" style="403" customWidth="1"/>
    <col min="14851" max="14888" width="0" style="403" hidden="1" customWidth="1"/>
    <col min="14889" max="14899" width="10.85546875" style="403" customWidth="1"/>
    <col min="14900" max="14901" width="10.7109375" style="403" customWidth="1"/>
    <col min="14902" max="15104" width="9.140625" style="403"/>
    <col min="15105" max="15105" width="5.140625" style="403" customWidth="1"/>
    <col min="15106" max="15106" width="63.42578125" style="403" customWidth="1"/>
    <col min="15107" max="15144" width="0" style="403" hidden="1" customWidth="1"/>
    <col min="15145" max="15155" width="10.85546875" style="403" customWidth="1"/>
    <col min="15156" max="15157" width="10.7109375" style="403" customWidth="1"/>
    <col min="15158" max="15360" width="9.140625" style="403"/>
    <col min="15361" max="15361" width="5.140625" style="403" customWidth="1"/>
    <col min="15362" max="15362" width="63.42578125" style="403" customWidth="1"/>
    <col min="15363" max="15400" width="0" style="403" hidden="1" customWidth="1"/>
    <col min="15401" max="15411" width="10.85546875" style="403" customWidth="1"/>
    <col min="15412" max="15413" width="10.7109375" style="403" customWidth="1"/>
    <col min="15414" max="15616" width="9.140625" style="403"/>
    <col min="15617" max="15617" width="5.140625" style="403" customWidth="1"/>
    <col min="15618" max="15618" width="63.42578125" style="403" customWidth="1"/>
    <col min="15619" max="15656" width="0" style="403" hidden="1" customWidth="1"/>
    <col min="15657" max="15667" width="10.85546875" style="403" customWidth="1"/>
    <col min="15668" max="15669" width="10.7109375" style="403" customWidth="1"/>
    <col min="15670" max="15872" width="9.140625" style="403"/>
    <col min="15873" max="15873" width="5.140625" style="403" customWidth="1"/>
    <col min="15874" max="15874" width="63.42578125" style="403" customWidth="1"/>
    <col min="15875" max="15912" width="0" style="403" hidden="1" customWidth="1"/>
    <col min="15913" max="15923" width="10.85546875" style="403" customWidth="1"/>
    <col min="15924" max="15925" width="10.7109375" style="403" customWidth="1"/>
    <col min="15926" max="16128" width="9.140625" style="403"/>
    <col min="16129" max="16129" width="5.140625" style="403" customWidth="1"/>
    <col min="16130" max="16130" width="63.42578125" style="403" customWidth="1"/>
    <col min="16131" max="16168" width="0" style="403" hidden="1" customWidth="1"/>
    <col min="16169" max="16179" width="10.85546875" style="403" customWidth="1"/>
    <col min="16180" max="16181" width="10.7109375" style="403" customWidth="1"/>
    <col min="16182" max="16384" width="9.140625" style="403"/>
  </cols>
  <sheetData>
    <row r="1" spans="1:56" ht="21.75">
      <c r="A1" s="486" t="s">
        <v>400</v>
      </c>
      <c r="B1" s="487"/>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row>
    <row r="2" spans="1:56" ht="15.75" thickBot="1">
      <c r="A2" s="489"/>
      <c r="B2" s="489"/>
      <c r="C2" s="406"/>
      <c r="D2" s="406"/>
      <c r="E2" s="406"/>
      <c r="F2" s="406"/>
      <c r="H2" s="406"/>
      <c r="I2" s="406"/>
      <c r="J2" s="406"/>
      <c r="L2" s="406"/>
      <c r="O2" s="406"/>
      <c r="P2" s="406"/>
      <c r="Q2" s="406"/>
      <c r="R2" s="406"/>
      <c r="S2" s="406"/>
      <c r="T2" s="406"/>
      <c r="U2" s="406"/>
      <c r="V2" s="406"/>
      <c r="W2" s="406"/>
      <c r="X2" s="406"/>
      <c r="Y2" s="406"/>
      <c r="Z2" s="407"/>
      <c r="AA2" s="407"/>
      <c r="AB2" s="407"/>
      <c r="AC2" s="407"/>
      <c r="AD2" s="407"/>
      <c r="AE2" s="407"/>
      <c r="AF2" s="407"/>
      <c r="AG2" s="407"/>
      <c r="AH2" s="407"/>
      <c r="AI2" s="407"/>
      <c r="AJ2" s="407"/>
      <c r="AK2" s="407"/>
      <c r="AL2" s="407"/>
      <c r="AM2" s="407"/>
      <c r="AN2" s="407"/>
      <c r="AO2" s="407"/>
      <c r="AP2" s="407"/>
      <c r="AQ2" s="407"/>
      <c r="AR2" s="407"/>
      <c r="AS2" s="407"/>
      <c r="AT2" s="407"/>
      <c r="AV2" s="407"/>
      <c r="AW2" s="407"/>
      <c r="AX2" s="407"/>
      <c r="AZ2" s="407"/>
      <c r="BC2" s="490"/>
      <c r="BD2" s="490" t="s">
        <v>74</v>
      </c>
    </row>
    <row r="3" spans="1:56" ht="24.75" customHeight="1" thickTop="1" thickBot="1">
      <c r="A3" s="491" t="s">
        <v>401</v>
      </c>
      <c r="B3" s="492" t="s">
        <v>402</v>
      </c>
      <c r="C3" s="493">
        <v>40179</v>
      </c>
      <c r="D3" s="493">
        <v>40211</v>
      </c>
      <c r="E3" s="493">
        <v>40239</v>
      </c>
      <c r="F3" s="493">
        <v>40270</v>
      </c>
      <c r="G3" s="493">
        <v>40300</v>
      </c>
      <c r="H3" s="493">
        <v>40331</v>
      </c>
      <c r="I3" s="493">
        <v>40361</v>
      </c>
      <c r="J3" s="494">
        <v>40392</v>
      </c>
      <c r="K3" s="495">
        <v>40423</v>
      </c>
      <c r="L3" s="495">
        <v>40453</v>
      </c>
      <c r="M3" s="495">
        <v>40484</v>
      </c>
      <c r="N3" s="495">
        <v>40514</v>
      </c>
      <c r="O3" s="495">
        <v>40545</v>
      </c>
      <c r="P3" s="495">
        <v>40576</v>
      </c>
      <c r="Q3" s="495">
        <v>40604</v>
      </c>
      <c r="R3" s="495">
        <v>40635</v>
      </c>
      <c r="S3" s="495">
        <v>40665</v>
      </c>
      <c r="T3" s="495">
        <v>40696</v>
      </c>
      <c r="U3" s="495">
        <v>40726</v>
      </c>
      <c r="V3" s="496">
        <v>40757</v>
      </c>
      <c r="W3" s="496">
        <v>40788</v>
      </c>
      <c r="X3" s="496">
        <v>40818</v>
      </c>
      <c r="Y3" s="496">
        <v>40849</v>
      </c>
      <c r="Z3" s="496">
        <v>40879</v>
      </c>
      <c r="AA3" s="496">
        <v>40910</v>
      </c>
      <c r="AB3" s="496">
        <v>40941</v>
      </c>
      <c r="AC3" s="496">
        <v>40970</v>
      </c>
      <c r="AD3" s="496">
        <v>41001</v>
      </c>
      <c r="AE3" s="496">
        <v>41031</v>
      </c>
      <c r="AF3" s="496">
        <v>41062</v>
      </c>
      <c r="AG3" s="496">
        <v>41092</v>
      </c>
      <c r="AH3" s="496">
        <v>41123</v>
      </c>
      <c r="AI3" s="496">
        <v>41154</v>
      </c>
      <c r="AJ3" s="496">
        <v>41184</v>
      </c>
      <c r="AK3" s="496">
        <v>41215</v>
      </c>
      <c r="AL3" s="496">
        <v>41245</v>
      </c>
      <c r="AM3" s="496">
        <v>41276</v>
      </c>
      <c r="AN3" s="496">
        <v>41307</v>
      </c>
      <c r="AO3" s="497">
        <v>41335</v>
      </c>
      <c r="AP3" s="497">
        <v>41366</v>
      </c>
      <c r="AQ3" s="497">
        <v>41396</v>
      </c>
      <c r="AR3" s="497">
        <v>41427</v>
      </c>
      <c r="AS3" s="497">
        <v>41457</v>
      </c>
      <c r="AT3" s="497">
        <v>41488</v>
      </c>
      <c r="AU3" s="497">
        <v>41519</v>
      </c>
      <c r="AV3" s="497">
        <v>41549</v>
      </c>
      <c r="AW3" s="497">
        <v>41580</v>
      </c>
      <c r="AX3" s="497">
        <v>41610</v>
      </c>
      <c r="AY3" s="497">
        <v>41641</v>
      </c>
      <c r="AZ3" s="497">
        <v>41672</v>
      </c>
      <c r="BA3" s="497">
        <v>41700</v>
      </c>
      <c r="BB3" s="497">
        <v>41731</v>
      </c>
      <c r="BC3" s="497">
        <v>41761</v>
      </c>
      <c r="BD3" s="497">
        <v>41792</v>
      </c>
    </row>
    <row r="4" spans="1:56" ht="16.5" thickTop="1">
      <c r="A4" s="498"/>
      <c r="B4" s="499"/>
      <c r="C4" s="500"/>
      <c r="D4" s="500"/>
      <c r="E4" s="500"/>
      <c r="F4" s="500"/>
      <c r="G4" s="500"/>
      <c r="H4" s="500"/>
      <c r="I4" s="500"/>
      <c r="J4" s="501"/>
      <c r="K4" s="502"/>
      <c r="L4" s="502"/>
      <c r="M4" s="502"/>
      <c r="N4" s="502"/>
      <c r="O4" s="502"/>
      <c r="P4" s="502"/>
      <c r="Q4" s="502"/>
      <c r="R4" s="502"/>
      <c r="S4" s="502"/>
      <c r="T4" s="502"/>
      <c r="U4" s="502"/>
      <c r="V4" s="503"/>
      <c r="W4" s="503"/>
      <c r="X4" s="503"/>
      <c r="Y4" s="503"/>
      <c r="Z4" s="503"/>
      <c r="AA4" s="503"/>
      <c r="AB4" s="503"/>
      <c r="AC4" s="503"/>
      <c r="AD4" s="503"/>
      <c r="AE4" s="503"/>
      <c r="AF4" s="503"/>
      <c r="AG4" s="503"/>
      <c r="AH4" s="503"/>
      <c r="AI4" s="503"/>
      <c r="AJ4" s="503"/>
      <c r="AK4" s="503"/>
      <c r="AL4" s="503"/>
      <c r="AM4" s="503"/>
      <c r="AN4" s="503"/>
      <c r="AO4" s="504"/>
      <c r="AP4" s="504"/>
      <c r="AQ4" s="504"/>
      <c r="AR4" s="504"/>
      <c r="AS4" s="504"/>
      <c r="AT4" s="504"/>
      <c r="AU4" s="504"/>
      <c r="AV4" s="504"/>
      <c r="AW4" s="504"/>
      <c r="AX4" s="504"/>
      <c r="AY4" s="504"/>
      <c r="AZ4" s="504"/>
      <c r="BA4" s="504"/>
      <c r="BB4" s="504"/>
      <c r="BC4" s="504"/>
      <c r="BD4" s="504"/>
    </row>
    <row r="5" spans="1:56" ht="16.5" customHeight="1">
      <c r="A5" s="505" t="s">
        <v>403</v>
      </c>
      <c r="B5" s="506" t="s">
        <v>404</v>
      </c>
      <c r="C5" s="507">
        <v>8313.9230856199993</v>
      </c>
      <c r="D5" s="507">
        <v>8554.6603705100006</v>
      </c>
      <c r="E5" s="507">
        <v>8543.5793921799996</v>
      </c>
      <c r="F5" s="507">
        <v>8747.1718602600013</v>
      </c>
      <c r="G5" s="507">
        <v>9556.2360567600008</v>
      </c>
      <c r="H5" s="507">
        <v>9176.9618582599996</v>
      </c>
      <c r="I5" s="507">
        <v>8577.4751113599996</v>
      </c>
      <c r="J5" s="507">
        <v>8964.9122942899994</v>
      </c>
      <c r="K5" s="507">
        <v>9137.7338806799999</v>
      </c>
      <c r="L5" s="507">
        <v>9189.04614253</v>
      </c>
      <c r="M5" s="507">
        <v>9229.6837182599993</v>
      </c>
      <c r="N5" s="507">
        <v>9525.0663255700001</v>
      </c>
      <c r="O5" s="507">
        <v>9056.9216292099991</v>
      </c>
      <c r="P5" s="507">
        <v>9259.0514912299986</v>
      </c>
      <c r="Q5" s="507">
        <v>9060.6338427999981</v>
      </c>
      <c r="R5" s="507">
        <v>9186.4692947099993</v>
      </c>
      <c r="S5" s="507">
        <v>9355.9525099800012</v>
      </c>
      <c r="T5" s="507">
        <v>9401.5499322600008</v>
      </c>
      <c r="U5" s="507">
        <v>9516.6736425700001</v>
      </c>
      <c r="V5" s="507">
        <v>10165.600383359999</v>
      </c>
      <c r="W5" s="507">
        <v>10486.8216237</v>
      </c>
      <c r="X5" s="507">
        <v>10793.925243599999</v>
      </c>
      <c r="Y5" s="507">
        <v>10846.49111531</v>
      </c>
      <c r="Z5" s="507">
        <v>10232.00808204</v>
      </c>
      <c r="AA5" s="507">
        <v>10884.95353631</v>
      </c>
      <c r="AB5" s="507">
        <v>10925.24783013</v>
      </c>
      <c r="AC5" s="507">
        <v>10499.39109904</v>
      </c>
      <c r="AD5" s="507">
        <v>10574.403858539999</v>
      </c>
      <c r="AE5" s="507">
        <v>10378.168711709999</v>
      </c>
      <c r="AF5" s="507">
        <v>10793.873166549998</v>
      </c>
      <c r="AG5" s="507">
        <v>10959.584142559999</v>
      </c>
      <c r="AH5" s="507">
        <v>10992.450605919999</v>
      </c>
      <c r="AI5" s="507">
        <v>11502.52074158</v>
      </c>
      <c r="AJ5" s="507">
        <v>11450.75111343</v>
      </c>
      <c r="AK5" s="507">
        <v>11408.30600506</v>
      </c>
      <c r="AL5" s="507">
        <v>11086.982508629999</v>
      </c>
      <c r="AM5" s="507">
        <v>11091.524256320001</v>
      </c>
      <c r="AN5" s="507">
        <v>10859.54273619</v>
      </c>
      <c r="AO5" s="508">
        <v>10927.48027301</v>
      </c>
      <c r="AP5" s="508">
        <v>10415.83919683</v>
      </c>
      <c r="AQ5" s="508">
        <v>10192.80816008</v>
      </c>
      <c r="AR5" s="508">
        <v>9361.1422593799998</v>
      </c>
      <c r="AS5" s="508">
        <v>9826.8400938100003</v>
      </c>
      <c r="AT5" s="508">
        <v>10073.589758530001</v>
      </c>
      <c r="AU5" s="508">
        <v>9806.8217559900004</v>
      </c>
      <c r="AV5" s="508">
        <v>9713.9569521400008</v>
      </c>
      <c r="AW5" s="508">
        <v>9407.1533895899993</v>
      </c>
      <c r="AX5" s="508">
        <v>9166.4078523200005</v>
      </c>
      <c r="AY5" s="508">
        <v>9423.9782169700011</v>
      </c>
      <c r="AZ5" s="508">
        <v>9673.3778150299986</v>
      </c>
      <c r="BA5" s="508">
        <v>9548.3284712299992</v>
      </c>
      <c r="BB5" s="508">
        <f>'[5]CB-1SR'!EX9</f>
        <v>9515.1678391399983</v>
      </c>
      <c r="BC5" s="508">
        <v>9438.9846605599996</v>
      </c>
      <c r="BD5" s="508">
        <v>9668.9516985400005</v>
      </c>
    </row>
    <row r="6" spans="1:56" ht="16.5" customHeight="1">
      <c r="A6" s="509"/>
      <c r="B6" s="510"/>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04"/>
      <c r="AP6" s="504"/>
      <c r="AQ6" s="504"/>
      <c r="AR6" s="504"/>
      <c r="AS6" s="504"/>
      <c r="AT6" s="504"/>
      <c r="AU6" s="504"/>
      <c r="AV6" s="504"/>
      <c r="AW6" s="504"/>
      <c r="AX6" s="504"/>
      <c r="AY6" s="504"/>
      <c r="AZ6" s="504"/>
      <c r="BA6" s="504"/>
      <c r="BB6" s="504"/>
      <c r="BC6" s="504"/>
      <c r="BD6" s="504"/>
    </row>
    <row r="7" spans="1:56" ht="16.5" customHeight="1">
      <c r="A7" s="505" t="s">
        <v>405</v>
      </c>
      <c r="B7" s="506" t="s">
        <v>406</v>
      </c>
      <c r="C7" s="507">
        <v>46479.690356609994</v>
      </c>
      <c r="D7" s="507">
        <v>47338.646243449999</v>
      </c>
      <c r="E7" s="507">
        <v>46874.403580339997</v>
      </c>
      <c r="F7" s="507">
        <v>47113.568935839998</v>
      </c>
      <c r="G7" s="507">
        <v>47970.326540830007</v>
      </c>
      <c r="H7" s="507">
        <v>47749.636055729999</v>
      </c>
      <c r="I7" s="507">
        <v>49042.936176709998</v>
      </c>
      <c r="J7" s="507">
        <v>49332.633441409991</v>
      </c>
      <c r="K7" s="507">
        <v>52450.741661199994</v>
      </c>
      <c r="L7" s="507">
        <v>45739.848496799998</v>
      </c>
      <c r="M7" s="507">
        <v>48100.089039729995</v>
      </c>
      <c r="N7" s="507">
        <v>50558.082051600002</v>
      </c>
      <c r="O7" s="507">
        <v>48153.005427600001</v>
      </c>
      <c r="P7" s="507">
        <v>47983.890925710002</v>
      </c>
      <c r="Q7" s="507">
        <v>50330.50895512999</v>
      </c>
      <c r="R7" s="507">
        <v>49796.249027239995</v>
      </c>
      <c r="S7" s="507">
        <v>48107.072336229998</v>
      </c>
      <c r="T7" s="507">
        <v>50721.095615480001</v>
      </c>
      <c r="U7" s="507">
        <v>49960.070493819992</v>
      </c>
      <c r="V7" s="507">
        <v>49543.422391970002</v>
      </c>
      <c r="W7" s="507">
        <v>47988.597888370001</v>
      </c>
      <c r="X7" s="507">
        <v>50117.61087366</v>
      </c>
      <c r="Y7" s="507">
        <v>46507.748853829995</v>
      </c>
      <c r="Z7" s="507">
        <v>49690.326225489996</v>
      </c>
      <c r="AA7" s="507">
        <v>48841.244741559989</v>
      </c>
      <c r="AB7" s="507">
        <v>48768.139258179996</v>
      </c>
      <c r="AC7" s="507">
        <v>48609.673783980004</v>
      </c>
      <c r="AD7" s="507">
        <v>48048.578924560003</v>
      </c>
      <c r="AE7" s="507">
        <v>47226.234658829999</v>
      </c>
      <c r="AF7" s="507">
        <v>52892.181369340004</v>
      </c>
      <c r="AG7" s="507">
        <v>51859.279100339991</v>
      </c>
      <c r="AH7" s="507">
        <v>52260.86865371</v>
      </c>
      <c r="AI7" s="507">
        <v>52486.355979999993</v>
      </c>
      <c r="AJ7" s="507">
        <v>48261.316332099996</v>
      </c>
      <c r="AK7" s="507">
        <v>50897.801944259998</v>
      </c>
      <c r="AL7" s="507">
        <v>52230.276910590008</v>
      </c>
      <c r="AM7" s="507">
        <v>54541.558988270008</v>
      </c>
      <c r="AN7" s="507">
        <v>54460.441544789996</v>
      </c>
      <c r="AO7" s="508">
        <v>57496.533880289993</v>
      </c>
      <c r="AP7" s="508">
        <v>56956.475671139997</v>
      </c>
      <c r="AQ7" s="508">
        <v>65309.752023239998</v>
      </c>
      <c r="AR7" s="508">
        <v>65865.506923050008</v>
      </c>
      <c r="AS7" s="508">
        <v>62442.457839729999</v>
      </c>
      <c r="AT7" s="508">
        <v>60731.30969142</v>
      </c>
      <c r="AU7" s="508">
        <v>62615.84372166</v>
      </c>
      <c r="AV7" s="508">
        <v>62128.569978330001</v>
      </c>
      <c r="AW7" s="508">
        <v>61212.090309649997</v>
      </c>
      <c r="AX7" s="508">
        <v>65671.99359541999</v>
      </c>
      <c r="AY7" s="508">
        <v>65001.572522259994</v>
      </c>
      <c r="AZ7" s="508">
        <v>70325.203387729998</v>
      </c>
      <c r="BA7" s="508">
        <v>72275.114166180007</v>
      </c>
      <c r="BB7" s="508">
        <f>BB8+BB9+BB10+BB11</f>
        <v>76699.570710229993</v>
      </c>
      <c r="BC7" s="508">
        <v>79049.383966680005</v>
      </c>
      <c r="BD7" s="508">
        <v>81250.858231420003</v>
      </c>
    </row>
    <row r="8" spans="1:56" ht="16.5" customHeight="1">
      <c r="A8" s="509" t="s">
        <v>407</v>
      </c>
      <c r="B8" s="510" t="s">
        <v>408</v>
      </c>
      <c r="C8" s="512">
        <v>3.3162413999999996</v>
      </c>
      <c r="D8" s="512">
        <v>3.44382162</v>
      </c>
      <c r="E8" s="512">
        <v>0.52834817000000001</v>
      </c>
      <c r="F8" s="512">
        <v>0.96362187999999993</v>
      </c>
      <c r="G8" s="512">
        <v>1.61711374</v>
      </c>
      <c r="H8" s="512">
        <v>1.58589907</v>
      </c>
      <c r="I8" s="512">
        <v>1.69840021</v>
      </c>
      <c r="J8" s="512">
        <v>2.0199524499999999</v>
      </c>
      <c r="K8" s="512">
        <v>2.4689764999999997</v>
      </c>
      <c r="L8" s="512">
        <v>2.6983453900000001</v>
      </c>
      <c r="M8" s="512">
        <v>2.8881806699999997</v>
      </c>
      <c r="N8" s="512">
        <v>3.0182872999999999</v>
      </c>
      <c r="O8" s="512">
        <v>4.36494933</v>
      </c>
      <c r="P8" s="512">
        <v>4.5159973499999992</v>
      </c>
      <c r="Q8" s="512">
        <v>4.5201716999999997</v>
      </c>
      <c r="R8" s="512">
        <v>4.6542414299999999</v>
      </c>
      <c r="S8" s="512">
        <v>4.8596830799999999</v>
      </c>
      <c r="T8" s="512">
        <v>2.1044306499999998</v>
      </c>
      <c r="U8" s="512">
        <v>2.3229332400000002</v>
      </c>
      <c r="V8" s="512">
        <v>1.10551946</v>
      </c>
      <c r="W8" s="512">
        <v>1.2081790400000001</v>
      </c>
      <c r="X8" s="512">
        <v>1.4917216399999997</v>
      </c>
      <c r="Y8" s="512">
        <v>7.7478409999999998E-2</v>
      </c>
      <c r="Z8" s="512">
        <v>0.20579432999999997</v>
      </c>
      <c r="AA8" s="512">
        <v>2.08527073</v>
      </c>
      <c r="AB8" s="512">
        <v>2.1227347000000001</v>
      </c>
      <c r="AC8" s="512">
        <v>0.16106642000000002</v>
      </c>
      <c r="AD8" s="512">
        <v>0.40776766999999997</v>
      </c>
      <c r="AE8" s="512">
        <v>0.53828650999999994</v>
      </c>
      <c r="AF8" s="512">
        <v>6.8709489999999998E-2</v>
      </c>
      <c r="AG8" s="512">
        <v>0.28507784000000003</v>
      </c>
      <c r="AH8" s="512">
        <v>0.38971388000000001</v>
      </c>
      <c r="AI8" s="512">
        <v>0.61654191999999997</v>
      </c>
      <c r="AJ8" s="512">
        <v>0.71829385999999995</v>
      </c>
      <c r="AK8" s="512">
        <v>0.82500887999999994</v>
      </c>
      <c r="AL8" s="512">
        <v>0.15974335999999997</v>
      </c>
      <c r="AM8" s="512">
        <v>3.2131500000000001E-3</v>
      </c>
      <c r="AN8" s="512">
        <v>0.21171297</v>
      </c>
      <c r="AO8" s="513">
        <v>0.53191798000000001</v>
      </c>
      <c r="AP8" s="513">
        <v>1.04820629</v>
      </c>
      <c r="AQ8" s="513">
        <v>0.79720856000000007</v>
      </c>
      <c r="AR8" s="513">
        <v>0.45030021999999997</v>
      </c>
      <c r="AS8" s="513">
        <v>1.6454917600000001</v>
      </c>
      <c r="AT8" s="513">
        <v>2.5353343500000003</v>
      </c>
      <c r="AU8" s="513">
        <v>1.83243321</v>
      </c>
      <c r="AV8" s="513">
        <v>3.2758696</v>
      </c>
      <c r="AW8" s="513">
        <v>0.55512423</v>
      </c>
      <c r="AX8" s="513">
        <v>1.47342814</v>
      </c>
      <c r="AY8" s="513">
        <v>3.9064475099999996</v>
      </c>
      <c r="AZ8" s="513">
        <v>4.9109224100000004</v>
      </c>
      <c r="BA8" s="513">
        <v>5.9536671800000001</v>
      </c>
      <c r="BB8" s="513">
        <f>'[5]CB-1SR'!EX14</f>
        <v>0.9437263199999999</v>
      </c>
      <c r="BC8" s="513">
        <v>1.9592846000000002</v>
      </c>
      <c r="BD8" s="513">
        <v>3.2790184999999998</v>
      </c>
    </row>
    <row r="9" spans="1:56" ht="16.5" customHeight="1">
      <c r="A9" s="509" t="s">
        <v>409</v>
      </c>
      <c r="B9" s="510" t="s">
        <v>410</v>
      </c>
      <c r="C9" s="512">
        <v>8132.1138869999995</v>
      </c>
      <c r="D9" s="512">
        <v>16165.038531259999</v>
      </c>
      <c r="E9" s="512">
        <v>16415.657714739998</v>
      </c>
      <c r="F9" s="512">
        <v>16282.483959679997</v>
      </c>
      <c r="G9" s="512">
        <v>16384.195707950003</v>
      </c>
      <c r="H9" s="512">
        <v>13563.80866162</v>
      </c>
      <c r="I9" s="512">
        <v>13263.44750547</v>
      </c>
      <c r="J9" s="512">
        <v>17475.175109269996</v>
      </c>
      <c r="K9" s="512">
        <v>20950.598344339996</v>
      </c>
      <c r="L9" s="512">
        <v>15807.355569879999</v>
      </c>
      <c r="M9" s="512">
        <v>14252.397320960001</v>
      </c>
      <c r="N9" s="512">
        <v>12194.92374333</v>
      </c>
      <c r="O9" s="512">
        <v>10752.475926719999</v>
      </c>
      <c r="P9" s="512">
        <v>10561.82350036</v>
      </c>
      <c r="Q9" s="512">
        <v>14281.521187839999</v>
      </c>
      <c r="R9" s="512">
        <v>10431.49251593</v>
      </c>
      <c r="S9" s="512">
        <v>6307.5945568500001</v>
      </c>
      <c r="T9" s="512">
        <v>11907.53680729</v>
      </c>
      <c r="U9" s="512">
        <v>11472.13786741</v>
      </c>
      <c r="V9" s="512">
        <v>13012.974477869999</v>
      </c>
      <c r="W9" s="512">
        <v>13957.589320569999</v>
      </c>
      <c r="X9" s="512">
        <v>15123.004838939998</v>
      </c>
      <c r="Y9" s="512">
        <v>16412.485419919998</v>
      </c>
      <c r="Z9" s="512">
        <v>19677.189963389999</v>
      </c>
      <c r="AA9" s="512">
        <v>18166.427285889997</v>
      </c>
      <c r="AB9" s="512">
        <v>18111.28020479</v>
      </c>
      <c r="AC9" s="512">
        <v>21015.324634590001</v>
      </c>
      <c r="AD9" s="512">
        <v>20102.940633890001</v>
      </c>
      <c r="AE9" s="512">
        <v>19875.265104490001</v>
      </c>
      <c r="AF9" s="512">
        <v>23742.215005490001</v>
      </c>
      <c r="AG9" s="512">
        <v>22304.135166609998</v>
      </c>
      <c r="AH9" s="512">
        <v>30492.67854257</v>
      </c>
      <c r="AI9" s="512">
        <v>32579.410856299997</v>
      </c>
      <c r="AJ9" s="512">
        <v>28249.655219799995</v>
      </c>
      <c r="AK9" s="512">
        <v>30932.623094929997</v>
      </c>
      <c r="AL9" s="512">
        <v>32390.31187293</v>
      </c>
      <c r="AM9" s="512">
        <v>34749.097609590011</v>
      </c>
      <c r="AN9" s="512">
        <v>35733.678906399997</v>
      </c>
      <c r="AO9" s="513">
        <v>36617.823103210001</v>
      </c>
      <c r="AP9" s="513">
        <v>36066.585837840001</v>
      </c>
      <c r="AQ9" s="513">
        <v>27945.119753409999</v>
      </c>
      <c r="AR9" s="513">
        <v>24850.079792949997</v>
      </c>
      <c r="AS9" s="513">
        <v>22944.954486690003</v>
      </c>
      <c r="AT9" s="513">
        <v>21854.622997580005</v>
      </c>
      <c r="AU9" s="513">
        <v>22909.898303969996</v>
      </c>
      <c r="AV9" s="513">
        <v>22624.069642890001</v>
      </c>
      <c r="AW9" s="513">
        <v>20028.013601069993</v>
      </c>
      <c r="AX9" s="513">
        <v>21748.553830939989</v>
      </c>
      <c r="AY9" s="513">
        <v>21483.132138889992</v>
      </c>
      <c r="AZ9" s="513">
        <v>22702.178274540005</v>
      </c>
      <c r="BA9" s="513">
        <v>24034.491288860005</v>
      </c>
      <c r="BB9" s="513">
        <f>'[5]CB-1SR'!EX17</f>
        <v>28635.434102369993</v>
      </c>
      <c r="BC9" s="513">
        <v>25048.548394419995</v>
      </c>
      <c r="BD9" s="513">
        <v>27113.099582539995</v>
      </c>
    </row>
    <row r="10" spans="1:56" ht="16.5" customHeight="1">
      <c r="A10" s="509" t="s">
        <v>411</v>
      </c>
      <c r="B10" s="510" t="s">
        <v>412</v>
      </c>
      <c r="C10" s="512">
        <v>38344.260228209998</v>
      </c>
      <c r="D10" s="512">
        <v>31170.163890569998</v>
      </c>
      <c r="E10" s="512">
        <v>30458.217517429999</v>
      </c>
      <c r="F10" s="512">
        <v>30830.121354279996</v>
      </c>
      <c r="G10" s="512">
        <v>31584.513719139999</v>
      </c>
      <c r="H10" s="512">
        <v>34184.241495039998</v>
      </c>
      <c r="I10" s="512">
        <v>35777.790271029997</v>
      </c>
      <c r="J10" s="512">
        <v>31855.438379689997</v>
      </c>
      <c r="K10" s="512">
        <v>31497.674340359998</v>
      </c>
      <c r="L10" s="512">
        <v>29929.794581529997</v>
      </c>
      <c r="M10" s="512">
        <v>33844.803538099994</v>
      </c>
      <c r="N10" s="512">
        <v>38360.14002097</v>
      </c>
      <c r="O10" s="512">
        <v>37396.164551549999</v>
      </c>
      <c r="P10" s="512">
        <v>37417.551427999999</v>
      </c>
      <c r="Q10" s="512">
        <v>36044.467595589995</v>
      </c>
      <c r="R10" s="512">
        <v>39360.102269879993</v>
      </c>
      <c r="S10" s="512">
        <v>41794.618096300001</v>
      </c>
      <c r="T10" s="512">
        <v>38811.454377540002</v>
      </c>
      <c r="U10" s="512">
        <v>38485.609693169994</v>
      </c>
      <c r="V10" s="512">
        <v>36529.34239464</v>
      </c>
      <c r="W10" s="512">
        <v>34029.800388759999</v>
      </c>
      <c r="X10" s="512">
        <v>34993.114313079997</v>
      </c>
      <c r="Y10" s="512">
        <v>30095.185955499997</v>
      </c>
      <c r="Z10" s="512">
        <v>30012.930467769998</v>
      </c>
      <c r="AA10" s="512">
        <v>30672.732184939996</v>
      </c>
      <c r="AB10" s="512">
        <v>30654.736318689997</v>
      </c>
      <c r="AC10" s="512">
        <v>27594.188082969999</v>
      </c>
      <c r="AD10" s="512">
        <v>27945.230522999998</v>
      </c>
      <c r="AE10" s="512">
        <v>27350.431267830001</v>
      </c>
      <c r="AF10" s="512">
        <v>29149.89765436</v>
      </c>
      <c r="AG10" s="512">
        <v>29554.858855889997</v>
      </c>
      <c r="AH10" s="512">
        <v>21767.800397259998</v>
      </c>
      <c r="AI10" s="512">
        <v>19906.328581779999</v>
      </c>
      <c r="AJ10" s="512">
        <v>20010.942818439999</v>
      </c>
      <c r="AK10" s="512">
        <v>19964.35384045</v>
      </c>
      <c r="AL10" s="512">
        <v>19839.805294300004</v>
      </c>
      <c r="AM10" s="512">
        <v>19792.458165529999</v>
      </c>
      <c r="AN10" s="512">
        <v>18726.550925420001</v>
      </c>
      <c r="AO10" s="513">
        <v>20878.178859099997</v>
      </c>
      <c r="AP10" s="513">
        <v>20888.841627010002</v>
      </c>
      <c r="AQ10" s="513">
        <v>37363.835061269994</v>
      </c>
      <c r="AR10" s="513">
        <v>41014.976829880005</v>
      </c>
      <c r="AS10" s="513">
        <v>39495.857861279997</v>
      </c>
      <c r="AT10" s="513">
        <v>38874.151359489995</v>
      </c>
      <c r="AU10" s="513">
        <v>39704.112984480002</v>
      </c>
      <c r="AV10" s="513">
        <v>39501.224465840001</v>
      </c>
      <c r="AW10" s="513">
        <v>41183.521584350005</v>
      </c>
      <c r="AX10" s="513">
        <v>43921.966336339996</v>
      </c>
      <c r="AY10" s="513">
        <v>43514.533935860003</v>
      </c>
      <c r="AZ10" s="513">
        <v>47618.114190779997</v>
      </c>
      <c r="BA10" s="513">
        <v>48234.669210139997</v>
      </c>
      <c r="BB10" s="513">
        <f>'[5]CB-1SR'!EX28</f>
        <v>48063.192881540002</v>
      </c>
      <c r="BC10" s="513">
        <v>53998.876287660001</v>
      </c>
      <c r="BD10" s="513">
        <v>54134.479630380003</v>
      </c>
    </row>
    <row r="11" spans="1:56" ht="16.5" customHeight="1">
      <c r="A11" s="509" t="s">
        <v>413</v>
      </c>
      <c r="B11" s="510" t="s">
        <v>414</v>
      </c>
      <c r="C11" s="512">
        <v>0</v>
      </c>
      <c r="D11" s="512">
        <v>0</v>
      </c>
      <c r="E11" s="512">
        <v>0</v>
      </c>
      <c r="F11" s="512">
        <v>0</v>
      </c>
      <c r="G11" s="512">
        <v>0</v>
      </c>
      <c r="H11" s="512">
        <v>0</v>
      </c>
      <c r="I11" s="512">
        <v>0</v>
      </c>
      <c r="J11" s="512">
        <v>0</v>
      </c>
      <c r="K11" s="512">
        <v>0</v>
      </c>
      <c r="L11" s="512">
        <v>0</v>
      </c>
      <c r="M11" s="512">
        <v>0</v>
      </c>
      <c r="N11" s="512">
        <v>0</v>
      </c>
      <c r="O11" s="512">
        <v>0</v>
      </c>
      <c r="P11" s="512">
        <v>0</v>
      </c>
      <c r="Q11" s="512">
        <v>0</v>
      </c>
      <c r="R11" s="512">
        <v>0</v>
      </c>
      <c r="S11" s="512">
        <v>0</v>
      </c>
      <c r="T11" s="512">
        <v>0</v>
      </c>
      <c r="U11" s="512">
        <v>0</v>
      </c>
      <c r="V11" s="512">
        <v>0</v>
      </c>
      <c r="W11" s="512">
        <v>0</v>
      </c>
      <c r="X11" s="512">
        <v>0</v>
      </c>
      <c r="Y11" s="512">
        <v>0</v>
      </c>
      <c r="Z11" s="512">
        <v>0</v>
      </c>
      <c r="AA11" s="512">
        <v>0</v>
      </c>
      <c r="AB11" s="512">
        <v>0</v>
      </c>
      <c r="AC11" s="512">
        <v>0</v>
      </c>
      <c r="AD11" s="512">
        <v>0</v>
      </c>
      <c r="AE11" s="512">
        <v>0</v>
      </c>
      <c r="AF11" s="512">
        <v>0</v>
      </c>
      <c r="AG11" s="512">
        <v>0</v>
      </c>
      <c r="AH11" s="512">
        <v>0</v>
      </c>
      <c r="AI11" s="512">
        <v>0</v>
      </c>
      <c r="AJ11" s="512">
        <v>0</v>
      </c>
      <c r="AK11" s="512">
        <v>0</v>
      </c>
      <c r="AL11" s="512">
        <v>0</v>
      </c>
      <c r="AM11" s="512">
        <v>0</v>
      </c>
      <c r="AN11" s="512">
        <v>0</v>
      </c>
      <c r="AO11" s="513">
        <v>0</v>
      </c>
      <c r="AP11" s="513">
        <v>0</v>
      </c>
      <c r="AQ11" s="513">
        <v>0</v>
      </c>
      <c r="AR11" s="513">
        <v>0</v>
      </c>
      <c r="AS11" s="513">
        <v>0</v>
      </c>
      <c r="AT11" s="513">
        <v>0</v>
      </c>
      <c r="AU11" s="513">
        <v>0</v>
      </c>
      <c r="AV11" s="513">
        <v>0</v>
      </c>
      <c r="AW11" s="513">
        <v>0</v>
      </c>
      <c r="AX11" s="513">
        <v>0</v>
      </c>
      <c r="AY11" s="513">
        <v>0</v>
      </c>
      <c r="AZ11" s="513">
        <v>0</v>
      </c>
      <c r="BA11" s="513">
        <v>0</v>
      </c>
      <c r="BB11" s="513">
        <v>0</v>
      </c>
      <c r="BC11" s="513">
        <v>0</v>
      </c>
      <c r="BD11" s="513">
        <v>0</v>
      </c>
    </row>
    <row r="12" spans="1:56" ht="16.5" customHeight="1">
      <c r="A12" s="509"/>
      <c r="B12" s="510"/>
      <c r="C12" s="511"/>
      <c r="D12" s="511"/>
      <c r="E12" s="511"/>
      <c r="F12" s="511"/>
      <c r="G12" s="511"/>
      <c r="H12" s="511"/>
      <c r="I12" s="511"/>
      <c r="J12" s="511"/>
      <c r="K12" s="511"/>
      <c r="L12" s="511"/>
      <c r="M12" s="511"/>
      <c r="N12" s="511"/>
      <c r="O12" s="511"/>
      <c r="P12" s="511"/>
      <c r="Q12" s="511"/>
      <c r="R12" s="511"/>
      <c r="S12" s="511"/>
      <c r="T12" s="511"/>
      <c r="U12" s="511"/>
      <c r="V12" s="511"/>
      <c r="W12" s="511"/>
      <c r="X12" s="511"/>
      <c r="Y12" s="511"/>
      <c r="Z12" s="511"/>
      <c r="AA12" s="511"/>
      <c r="AB12" s="511"/>
      <c r="AC12" s="511"/>
      <c r="AD12" s="511"/>
      <c r="AE12" s="511"/>
      <c r="AF12" s="511"/>
      <c r="AG12" s="511"/>
      <c r="AH12" s="511"/>
      <c r="AI12" s="511"/>
      <c r="AJ12" s="511"/>
      <c r="AK12" s="511"/>
      <c r="AL12" s="511"/>
      <c r="AM12" s="511"/>
      <c r="AN12" s="511"/>
      <c r="AO12" s="504"/>
      <c r="AP12" s="504"/>
      <c r="AQ12" s="504"/>
      <c r="AR12" s="504"/>
      <c r="AS12" s="504"/>
      <c r="AT12" s="504"/>
      <c r="AU12" s="504"/>
      <c r="AV12" s="504"/>
      <c r="AW12" s="504"/>
      <c r="AX12" s="504"/>
      <c r="AY12" s="504"/>
      <c r="AZ12" s="504"/>
      <c r="BA12" s="504"/>
      <c r="BB12" s="504"/>
      <c r="BC12" s="504"/>
      <c r="BD12" s="504"/>
    </row>
    <row r="13" spans="1:56" ht="16.5" customHeight="1">
      <c r="A13" s="505" t="s">
        <v>415</v>
      </c>
      <c r="B13" s="506" t="s">
        <v>416</v>
      </c>
      <c r="C13" s="507">
        <v>12072.22659412</v>
      </c>
      <c r="D13" s="507">
        <v>12310.380973459998</v>
      </c>
      <c r="E13" s="507">
        <v>12299.3892326</v>
      </c>
      <c r="F13" s="507">
        <v>12753.430159419999</v>
      </c>
      <c r="G13" s="507">
        <v>14169.02264089</v>
      </c>
      <c r="H13" s="507">
        <v>13795.39429459</v>
      </c>
      <c r="I13" s="507">
        <v>13439.258409259999</v>
      </c>
      <c r="J13" s="507">
        <v>13996.250062699999</v>
      </c>
      <c r="K13" s="507">
        <v>14106.46864476</v>
      </c>
      <c r="L13" s="507">
        <v>21466.012411629996</v>
      </c>
      <c r="M13" s="507">
        <v>22259.942895280001</v>
      </c>
      <c r="N13" s="507">
        <v>22989.724287000001</v>
      </c>
      <c r="O13" s="507">
        <v>22602.2319183</v>
      </c>
      <c r="P13" s="507">
        <v>22691.09387561</v>
      </c>
      <c r="Q13" s="507">
        <v>22352.028991380001</v>
      </c>
      <c r="R13" s="507">
        <v>20849.54136513</v>
      </c>
      <c r="S13" s="507">
        <v>25311.236187789997</v>
      </c>
      <c r="T13" s="507">
        <v>25904.122945640003</v>
      </c>
      <c r="U13" s="507">
        <v>25448.523120929996</v>
      </c>
      <c r="V13" s="507">
        <v>26103.861314179998</v>
      </c>
      <c r="W13" s="507">
        <v>26478.396701689999</v>
      </c>
      <c r="X13" s="507">
        <v>26989.708329679997</v>
      </c>
      <c r="Y13" s="507">
        <v>28710.847810829997</v>
      </c>
      <c r="Z13" s="507">
        <v>29272.863074449997</v>
      </c>
      <c r="AA13" s="507">
        <v>29774.367504059999</v>
      </c>
      <c r="AB13" s="507">
        <v>29994.585717139998</v>
      </c>
      <c r="AC13" s="507">
        <v>29716.363131129998</v>
      </c>
      <c r="AD13" s="507">
        <v>30191.575073689997</v>
      </c>
      <c r="AE13" s="507">
        <v>30291.892443910001</v>
      </c>
      <c r="AF13" s="507">
        <v>30655.36253658</v>
      </c>
      <c r="AG13" s="507">
        <v>32696.011781870002</v>
      </c>
      <c r="AH13" s="507">
        <v>31903.367670209998</v>
      </c>
      <c r="AI13" s="507">
        <v>31757.040021659996</v>
      </c>
      <c r="AJ13" s="507">
        <v>35107.437926109997</v>
      </c>
      <c r="AK13" s="507">
        <v>33233.225229119998</v>
      </c>
      <c r="AL13" s="507">
        <v>33263.001441159999</v>
      </c>
      <c r="AM13" s="507">
        <v>34490.790181199998</v>
      </c>
      <c r="AN13" s="507">
        <v>34491.697270019999</v>
      </c>
      <c r="AO13" s="508">
        <v>35028.633662579996</v>
      </c>
      <c r="AP13" s="508">
        <v>35143.509310879999</v>
      </c>
      <c r="AQ13" s="508">
        <v>35116.670259060003</v>
      </c>
      <c r="AR13" s="508">
        <v>34785.282280559994</v>
      </c>
      <c r="AS13" s="508">
        <v>34830.731261859997</v>
      </c>
      <c r="AT13" s="508">
        <v>34803.259640700002</v>
      </c>
      <c r="AU13" s="508">
        <v>34684.586074370003</v>
      </c>
      <c r="AV13" s="508">
        <v>34903.114191610002</v>
      </c>
      <c r="AW13" s="508">
        <v>35302.550363510003</v>
      </c>
      <c r="AX13" s="508">
        <v>35206.02114995</v>
      </c>
      <c r="AY13" s="508">
        <v>35120.570964209997</v>
      </c>
      <c r="AZ13" s="508">
        <v>35087.762766209999</v>
      </c>
      <c r="BA13" s="508">
        <v>35063.49077697</v>
      </c>
      <c r="BB13" s="508">
        <f>'[5]CB-1SR'!EX43</f>
        <v>35018.8841311</v>
      </c>
      <c r="BC13" s="508">
        <v>34763.121082159996</v>
      </c>
      <c r="BD13" s="508">
        <v>34924.906232589994</v>
      </c>
    </row>
    <row r="14" spans="1:56" ht="16.5" customHeight="1">
      <c r="A14" s="509"/>
      <c r="B14" s="510"/>
      <c r="C14" s="511"/>
      <c r="D14" s="511"/>
      <c r="E14" s="511"/>
      <c r="F14" s="511"/>
      <c r="G14" s="511"/>
      <c r="H14" s="511"/>
      <c r="I14" s="511"/>
      <c r="J14" s="511"/>
      <c r="K14" s="511"/>
      <c r="L14" s="511"/>
      <c r="M14" s="511"/>
      <c r="N14" s="511"/>
      <c r="O14" s="511"/>
      <c r="P14" s="511"/>
      <c r="Q14" s="511"/>
      <c r="R14" s="511"/>
      <c r="S14" s="511"/>
      <c r="T14" s="511"/>
      <c r="U14" s="511"/>
      <c r="V14" s="511"/>
      <c r="W14" s="511"/>
      <c r="X14" s="511"/>
      <c r="Y14" s="511"/>
      <c r="Z14" s="511"/>
      <c r="AA14" s="511"/>
      <c r="AB14" s="511"/>
      <c r="AC14" s="511"/>
      <c r="AD14" s="511"/>
      <c r="AE14" s="511"/>
      <c r="AF14" s="511"/>
      <c r="AG14" s="511"/>
      <c r="AH14" s="511"/>
      <c r="AI14" s="511"/>
      <c r="AJ14" s="511"/>
      <c r="AK14" s="511"/>
      <c r="AL14" s="511"/>
      <c r="AM14" s="511"/>
      <c r="AN14" s="511"/>
      <c r="AO14" s="504"/>
      <c r="AP14" s="504"/>
      <c r="AQ14" s="504"/>
      <c r="AR14" s="504"/>
      <c r="AS14" s="504"/>
      <c r="AT14" s="504"/>
      <c r="AU14" s="504"/>
      <c r="AV14" s="504"/>
      <c r="AW14" s="504"/>
      <c r="AX14" s="504"/>
      <c r="AY14" s="504"/>
      <c r="AZ14" s="504"/>
      <c r="BA14" s="504"/>
      <c r="BB14" s="504"/>
      <c r="BC14" s="504"/>
      <c r="BD14" s="504"/>
    </row>
    <row r="15" spans="1:56" ht="16.5" customHeight="1">
      <c r="A15" s="505" t="s">
        <v>417</v>
      </c>
      <c r="B15" s="506" t="s">
        <v>201</v>
      </c>
      <c r="C15" s="507">
        <v>491.84622338999992</v>
      </c>
      <c r="D15" s="507">
        <v>524.90104052999993</v>
      </c>
      <c r="E15" s="507">
        <v>473.86928965999999</v>
      </c>
      <c r="F15" s="507">
        <v>502.70682980000004</v>
      </c>
      <c r="G15" s="507">
        <v>478.72747143999999</v>
      </c>
      <c r="H15" s="507">
        <v>513.68363216</v>
      </c>
      <c r="I15" s="507">
        <v>477.29557854999996</v>
      </c>
      <c r="J15" s="507">
        <v>507.48070460999998</v>
      </c>
      <c r="K15" s="507">
        <v>684.1661249199999</v>
      </c>
      <c r="L15" s="507">
        <v>747.12506561999999</v>
      </c>
      <c r="M15" s="507">
        <v>1143.4792162199999</v>
      </c>
      <c r="N15" s="507">
        <v>1120.76761362</v>
      </c>
      <c r="O15" s="507">
        <v>1123.4188966800002</v>
      </c>
      <c r="P15" s="507">
        <v>1122.3026721700001</v>
      </c>
      <c r="Q15" s="507">
        <v>339.41735683000002</v>
      </c>
      <c r="R15" s="507">
        <v>1831.8265738599998</v>
      </c>
      <c r="S15" s="507">
        <v>738.01858803999994</v>
      </c>
      <c r="T15" s="507">
        <v>319.08661459000001</v>
      </c>
      <c r="U15" s="507">
        <v>1894.1164255000001</v>
      </c>
      <c r="V15" s="507">
        <v>1174.0161133600002</v>
      </c>
      <c r="W15" s="507">
        <v>856.10078765999992</v>
      </c>
      <c r="X15" s="507">
        <v>1051.07743783</v>
      </c>
      <c r="Y15" s="507">
        <v>1204.4816335000003</v>
      </c>
      <c r="Z15" s="507">
        <v>1260.3841304100001</v>
      </c>
      <c r="AA15" s="507">
        <v>1230.5332219800002</v>
      </c>
      <c r="AB15" s="507">
        <v>1230.5164966699999</v>
      </c>
      <c r="AC15" s="507">
        <v>1215.4940869</v>
      </c>
      <c r="AD15" s="507">
        <v>1190.11493638</v>
      </c>
      <c r="AE15" s="507">
        <v>174.57985774000002</v>
      </c>
      <c r="AF15" s="507">
        <v>561.96719344000007</v>
      </c>
      <c r="AG15" s="507">
        <v>275.87252819999998</v>
      </c>
      <c r="AH15" s="507">
        <v>557.69373244000008</v>
      </c>
      <c r="AI15" s="507">
        <v>867.05270255000005</v>
      </c>
      <c r="AJ15" s="507">
        <v>1270.9848473699999</v>
      </c>
      <c r="AK15" s="507">
        <v>1435.0759070899996</v>
      </c>
      <c r="AL15" s="507">
        <v>1912.9682759799998</v>
      </c>
      <c r="AM15" s="507">
        <v>2240.3772425499997</v>
      </c>
      <c r="AN15" s="507">
        <v>2218.0704379499998</v>
      </c>
      <c r="AO15" s="508">
        <v>2186.4500008999998</v>
      </c>
      <c r="AP15" s="508">
        <v>2356.7966116800003</v>
      </c>
      <c r="AQ15" s="508">
        <v>1331.9935625799999</v>
      </c>
      <c r="AR15" s="508">
        <v>1592.3635513900001</v>
      </c>
      <c r="AS15" s="508">
        <v>1765.0824689000001</v>
      </c>
      <c r="AT15" s="508">
        <v>2035.90239615</v>
      </c>
      <c r="AU15" s="508">
        <v>3043.2619443799999</v>
      </c>
      <c r="AV15" s="508">
        <v>2549.1096988900003</v>
      </c>
      <c r="AW15" s="508">
        <v>2687.0578584899995</v>
      </c>
      <c r="AX15" s="508">
        <v>2678.9976269699996</v>
      </c>
      <c r="AY15" s="508">
        <v>3515.0071536999999</v>
      </c>
      <c r="AZ15" s="508">
        <v>3536.8521446999998</v>
      </c>
      <c r="BA15" s="508">
        <v>3530.2889172699993</v>
      </c>
      <c r="BB15" s="508">
        <f>'[5]CB-1SR'!EX69</f>
        <v>3532.1077040499999</v>
      </c>
      <c r="BC15" s="508">
        <v>2494.0585267800002</v>
      </c>
      <c r="BD15" s="508">
        <v>2404.2688256999995</v>
      </c>
    </row>
    <row r="16" spans="1:56" ht="16.5" customHeight="1">
      <c r="A16" s="509"/>
      <c r="B16" s="510"/>
      <c r="C16" s="511"/>
      <c r="D16" s="511"/>
      <c r="E16" s="511"/>
      <c r="F16" s="511"/>
      <c r="G16" s="511"/>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c r="AG16" s="511"/>
      <c r="AH16" s="511"/>
      <c r="AI16" s="511"/>
      <c r="AJ16" s="511"/>
      <c r="AK16" s="511"/>
      <c r="AL16" s="511"/>
      <c r="AM16" s="511"/>
      <c r="AN16" s="511"/>
      <c r="AO16" s="504"/>
      <c r="AP16" s="504"/>
      <c r="AQ16" s="504"/>
      <c r="AR16" s="504"/>
      <c r="AS16" s="504"/>
      <c r="AT16" s="504"/>
      <c r="AU16" s="504"/>
      <c r="AV16" s="504"/>
      <c r="AW16" s="504"/>
      <c r="AX16" s="504"/>
      <c r="AY16" s="504"/>
      <c r="AZ16" s="504"/>
      <c r="BA16" s="504"/>
      <c r="BB16" s="504"/>
      <c r="BC16" s="504"/>
      <c r="BD16" s="504"/>
    </row>
    <row r="17" spans="1:56" ht="16.5" customHeight="1">
      <c r="A17" s="505" t="s">
        <v>418</v>
      </c>
      <c r="B17" s="506" t="s">
        <v>419</v>
      </c>
      <c r="C17" s="507">
        <v>161.26920694999998</v>
      </c>
      <c r="D17" s="507">
        <v>166.87536215999998</v>
      </c>
      <c r="E17" s="507">
        <v>161.42028822999998</v>
      </c>
      <c r="F17" s="507">
        <v>160.23152331999998</v>
      </c>
      <c r="G17" s="507">
        <v>179.13171553999999</v>
      </c>
      <c r="H17" s="507">
        <v>174.67062755999999</v>
      </c>
      <c r="I17" s="507">
        <v>169.48025906000001</v>
      </c>
      <c r="J17" s="507">
        <v>176.93580440999997</v>
      </c>
      <c r="K17" s="507">
        <v>174.46881076</v>
      </c>
      <c r="L17" s="507">
        <v>177.56091634000001</v>
      </c>
      <c r="M17" s="507">
        <v>174.34058016</v>
      </c>
      <c r="N17" s="507">
        <v>327.91928007999996</v>
      </c>
      <c r="O17" s="507">
        <v>316.69406669</v>
      </c>
      <c r="P17" s="507">
        <v>296.98852712000001</v>
      </c>
      <c r="Q17" s="507">
        <v>235.19138181999998</v>
      </c>
      <c r="R17" s="507">
        <v>228.24569933999999</v>
      </c>
      <c r="S17" s="507">
        <v>158.11373581000001</v>
      </c>
      <c r="T17" s="507">
        <v>160.36309102999999</v>
      </c>
      <c r="U17" s="507">
        <v>156.48745005000001</v>
      </c>
      <c r="V17" s="507">
        <v>157.26738781</v>
      </c>
      <c r="W17" s="507">
        <v>163.49021656999997</v>
      </c>
      <c r="X17" s="507">
        <v>162.04376009000001</v>
      </c>
      <c r="Y17" s="507">
        <v>164.88998756999999</v>
      </c>
      <c r="Z17" s="507">
        <v>165.16484383</v>
      </c>
      <c r="AA17" s="507">
        <v>164.04060859999998</v>
      </c>
      <c r="AB17" s="507">
        <v>161.96498192999999</v>
      </c>
      <c r="AC17" s="507">
        <v>162.67566421000001</v>
      </c>
      <c r="AD17" s="507">
        <v>163.50994844999997</v>
      </c>
      <c r="AE17" s="507">
        <v>167.93374788</v>
      </c>
      <c r="AF17" s="507">
        <v>174.45067546999999</v>
      </c>
      <c r="AG17" s="507">
        <v>211.87972452</v>
      </c>
      <c r="AH17" s="507">
        <v>209.07097730999999</v>
      </c>
      <c r="AI17" s="507">
        <v>208.87521335</v>
      </c>
      <c r="AJ17" s="507">
        <v>212.53402743999999</v>
      </c>
      <c r="AK17" s="507">
        <v>210.95428206999998</v>
      </c>
      <c r="AL17" s="507">
        <v>209.43874825</v>
      </c>
      <c r="AM17" s="507">
        <v>208.60019591999998</v>
      </c>
      <c r="AN17" s="507">
        <v>211.45628828</v>
      </c>
      <c r="AO17" s="508">
        <v>213.75509184999999</v>
      </c>
      <c r="AP17" s="508">
        <v>212.55079352999999</v>
      </c>
      <c r="AQ17" s="508">
        <v>213.33963661999999</v>
      </c>
      <c r="AR17" s="508">
        <v>212.75046890000002</v>
      </c>
      <c r="AS17" s="508">
        <v>221.86549281000001</v>
      </c>
      <c r="AT17" s="508">
        <v>221.81932963</v>
      </c>
      <c r="AU17" s="508">
        <v>219.53045155999999</v>
      </c>
      <c r="AV17" s="508">
        <v>216.52573848</v>
      </c>
      <c r="AW17" s="508">
        <v>218.31653191000001</v>
      </c>
      <c r="AX17" s="508">
        <v>216.73786058000002</v>
      </c>
      <c r="AY17" s="508">
        <v>218.93019322000001</v>
      </c>
      <c r="AZ17" s="508">
        <v>218.11275381000002</v>
      </c>
      <c r="BA17" s="508">
        <v>218.10628134999999</v>
      </c>
      <c r="BB17" s="508">
        <f>'[5]CB-1SR'!EX109</f>
        <v>217.28219397000001</v>
      </c>
      <c r="BC17" s="508">
        <v>219.29112119999999</v>
      </c>
      <c r="BD17" s="508">
        <v>227.39741284000002</v>
      </c>
    </row>
    <row r="18" spans="1:56" ht="16.5" customHeight="1">
      <c r="A18" s="509"/>
      <c r="B18" s="514"/>
      <c r="C18" s="511"/>
      <c r="D18" s="511"/>
      <c r="E18" s="511"/>
      <c r="F18" s="511"/>
      <c r="G18" s="511"/>
      <c r="H18" s="511"/>
      <c r="I18" s="511"/>
      <c r="J18" s="511"/>
      <c r="K18" s="511"/>
      <c r="L18" s="511"/>
      <c r="M18" s="511"/>
      <c r="N18" s="511"/>
      <c r="O18" s="511"/>
      <c r="P18" s="511"/>
      <c r="Q18" s="511"/>
      <c r="R18" s="511"/>
      <c r="S18" s="511"/>
      <c r="T18" s="511"/>
      <c r="U18" s="511"/>
      <c r="V18" s="511"/>
      <c r="W18" s="511"/>
      <c r="X18" s="511"/>
      <c r="Y18" s="511"/>
      <c r="Z18" s="511"/>
      <c r="AA18" s="511"/>
      <c r="AB18" s="511"/>
      <c r="AC18" s="511"/>
      <c r="AD18" s="511"/>
      <c r="AE18" s="511"/>
      <c r="AF18" s="511"/>
      <c r="AG18" s="511"/>
      <c r="AH18" s="511"/>
      <c r="AI18" s="511"/>
      <c r="AJ18" s="511"/>
      <c r="AK18" s="511"/>
      <c r="AL18" s="511"/>
      <c r="AM18" s="511"/>
      <c r="AN18" s="511"/>
      <c r="AO18" s="504"/>
      <c r="AP18" s="504"/>
      <c r="AQ18" s="504"/>
      <c r="AR18" s="504"/>
      <c r="AS18" s="504"/>
      <c r="AT18" s="504"/>
      <c r="AU18" s="504"/>
      <c r="AV18" s="504"/>
      <c r="AW18" s="504"/>
      <c r="AX18" s="504"/>
      <c r="AY18" s="504"/>
      <c r="AZ18" s="504"/>
      <c r="BA18" s="504"/>
      <c r="BB18" s="504"/>
      <c r="BC18" s="504"/>
      <c r="BD18" s="504"/>
    </row>
    <row r="19" spans="1:56" ht="16.5" customHeight="1">
      <c r="A19" s="505" t="s">
        <v>420</v>
      </c>
      <c r="B19" s="506" t="s">
        <v>421</v>
      </c>
      <c r="C19" s="507">
        <v>0</v>
      </c>
      <c r="D19" s="507">
        <v>0</v>
      </c>
      <c r="E19" s="507">
        <v>0</v>
      </c>
      <c r="F19" s="507">
        <v>0</v>
      </c>
      <c r="G19" s="507">
        <v>0</v>
      </c>
      <c r="H19" s="507">
        <v>0</v>
      </c>
      <c r="I19" s="507">
        <v>0</v>
      </c>
      <c r="J19" s="507">
        <v>0</v>
      </c>
      <c r="K19" s="507">
        <v>0</v>
      </c>
      <c r="L19" s="507">
        <v>0</v>
      </c>
      <c r="M19" s="507">
        <v>0</v>
      </c>
      <c r="N19" s="507">
        <v>0</v>
      </c>
      <c r="O19" s="507">
        <v>0</v>
      </c>
      <c r="P19" s="507">
        <v>0</v>
      </c>
      <c r="Q19" s="507">
        <v>0</v>
      </c>
      <c r="R19" s="507">
        <v>0</v>
      </c>
      <c r="S19" s="507">
        <v>0</v>
      </c>
      <c r="T19" s="507">
        <v>0</v>
      </c>
      <c r="U19" s="507">
        <v>0</v>
      </c>
      <c r="V19" s="507">
        <v>0</v>
      </c>
      <c r="W19" s="507">
        <v>0</v>
      </c>
      <c r="X19" s="507">
        <v>0</v>
      </c>
      <c r="Y19" s="507">
        <v>0</v>
      </c>
      <c r="Z19" s="507">
        <v>0</v>
      </c>
      <c r="AA19" s="507">
        <v>0</v>
      </c>
      <c r="AB19" s="507">
        <v>0</v>
      </c>
      <c r="AC19" s="507">
        <v>0</v>
      </c>
      <c r="AD19" s="507">
        <v>0</v>
      </c>
      <c r="AE19" s="507">
        <v>0</v>
      </c>
      <c r="AF19" s="507">
        <v>0</v>
      </c>
      <c r="AG19" s="507">
        <v>0</v>
      </c>
      <c r="AH19" s="507">
        <v>0</v>
      </c>
      <c r="AI19" s="507">
        <v>0</v>
      </c>
      <c r="AJ19" s="507">
        <v>0</v>
      </c>
      <c r="AK19" s="507">
        <v>0</v>
      </c>
      <c r="AL19" s="507">
        <v>0</v>
      </c>
      <c r="AM19" s="507">
        <v>0</v>
      </c>
      <c r="AN19" s="507">
        <v>0</v>
      </c>
      <c r="AO19" s="508">
        <v>0</v>
      </c>
      <c r="AP19" s="508">
        <v>0</v>
      </c>
      <c r="AQ19" s="508">
        <v>0</v>
      </c>
      <c r="AR19" s="508">
        <v>0</v>
      </c>
      <c r="AS19" s="508">
        <v>0</v>
      </c>
      <c r="AT19" s="508">
        <v>0</v>
      </c>
      <c r="AU19" s="508">
        <v>0</v>
      </c>
      <c r="AV19" s="508">
        <v>0</v>
      </c>
      <c r="AW19" s="508">
        <v>0</v>
      </c>
      <c r="AX19" s="508">
        <v>0</v>
      </c>
      <c r="AY19" s="508">
        <v>0</v>
      </c>
      <c r="AZ19" s="508">
        <v>0</v>
      </c>
      <c r="BA19" s="508">
        <v>0</v>
      </c>
      <c r="BB19" s="508">
        <f>'[5]CB-1SR'!EX129</f>
        <v>0</v>
      </c>
      <c r="BC19" s="508">
        <v>0</v>
      </c>
      <c r="BD19" s="508">
        <v>0</v>
      </c>
    </row>
    <row r="20" spans="1:56" ht="16.5" customHeight="1">
      <c r="A20" s="509"/>
      <c r="B20" s="510"/>
      <c r="C20" s="511"/>
      <c r="D20" s="511"/>
      <c r="E20" s="511"/>
      <c r="F20" s="511"/>
      <c r="G20" s="511"/>
      <c r="H20" s="511"/>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511"/>
      <c r="AG20" s="511"/>
      <c r="AH20" s="511"/>
      <c r="AI20" s="511"/>
      <c r="AJ20" s="511"/>
      <c r="AK20" s="511"/>
      <c r="AL20" s="511"/>
      <c r="AM20" s="511"/>
      <c r="AN20" s="511"/>
      <c r="AO20" s="504"/>
      <c r="AP20" s="504"/>
      <c r="AQ20" s="504"/>
      <c r="AR20" s="504"/>
      <c r="AS20" s="504"/>
      <c r="AT20" s="504"/>
      <c r="AU20" s="504"/>
      <c r="AV20" s="504"/>
      <c r="AW20" s="504"/>
      <c r="AX20" s="504"/>
      <c r="AY20" s="504"/>
      <c r="AZ20" s="504"/>
      <c r="BA20" s="504"/>
      <c r="BB20" s="504"/>
      <c r="BC20" s="504"/>
      <c r="BD20" s="504"/>
    </row>
    <row r="21" spans="1:56" ht="16.5" customHeight="1">
      <c r="A21" s="505" t="s">
        <v>422</v>
      </c>
      <c r="B21" s="506" t="s">
        <v>423</v>
      </c>
      <c r="C21" s="507">
        <v>0</v>
      </c>
      <c r="D21" s="507">
        <v>0</v>
      </c>
      <c r="E21" s="507">
        <v>0</v>
      </c>
      <c r="F21" s="507">
        <v>0</v>
      </c>
      <c r="G21" s="507">
        <v>0</v>
      </c>
      <c r="H21" s="507">
        <v>0</v>
      </c>
      <c r="I21" s="507">
        <v>0</v>
      </c>
      <c r="J21" s="507">
        <v>0</v>
      </c>
      <c r="K21" s="507">
        <v>0</v>
      </c>
      <c r="L21" s="507">
        <v>0</v>
      </c>
      <c r="M21" s="507">
        <v>0</v>
      </c>
      <c r="N21" s="507">
        <v>0</v>
      </c>
      <c r="O21" s="507">
        <v>0</v>
      </c>
      <c r="P21" s="507">
        <v>0</v>
      </c>
      <c r="Q21" s="507">
        <v>0</v>
      </c>
      <c r="R21" s="507">
        <v>0</v>
      </c>
      <c r="S21" s="507">
        <v>0</v>
      </c>
      <c r="T21" s="507">
        <v>0</v>
      </c>
      <c r="U21" s="507">
        <v>0</v>
      </c>
      <c r="V21" s="507">
        <v>0</v>
      </c>
      <c r="W21" s="507">
        <v>0</v>
      </c>
      <c r="X21" s="507">
        <v>0</v>
      </c>
      <c r="Y21" s="507">
        <v>0</v>
      </c>
      <c r="Z21" s="507">
        <v>0</v>
      </c>
      <c r="AA21" s="507">
        <v>0</v>
      </c>
      <c r="AB21" s="507">
        <v>0</v>
      </c>
      <c r="AC21" s="507">
        <v>0</v>
      </c>
      <c r="AD21" s="507">
        <v>0</v>
      </c>
      <c r="AE21" s="507">
        <v>0</v>
      </c>
      <c r="AF21" s="507">
        <v>0</v>
      </c>
      <c r="AG21" s="507">
        <v>0</v>
      </c>
      <c r="AH21" s="507">
        <v>0</v>
      </c>
      <c r="AI21" s="507">
        <v>0</v>
      </c>
      <c r="AJ21" s="507">
        <v>0</v>
      </c>
      <c r="AK21" s="507">
        <v>0</v>
      </c>
      <c r="AL21" s="507">
        <v>0</v>
      </c>
      <c r="AM21" s="507">
        <v>0</v>
      </c>
      <c r="AN21" s="507">
        <v>0</v>
      </c>
      <c r="AO21" s="508">
        <v>0</v>
      </c>
      <c r="AP21" s="508">
        <v>0</v>
      </c>
      <c r="AQ21" s="508">
        <v>0</v>
      </c>
      <c r="AR21" s="508">
        <v>0</v>
      </c>
      <c r="AS21" s="508">
        <v>0</v>
      </c>
      <c r="AT21" s="508">
        <v>0</v>
      </c>
      <c r="AU21" s="508">
        <v>0</v>
      </c>
      <c r="AV21" s="508">
        <v>0</v>
      </c>
      <c r="AW21" s="508">
        <v>0</v>
      </c>
      <c r="AX21" s="508">
        <v>0</v>
      </c>
      <c r="AY21" s="508">
        <v>0</v>
      </c>
      <c r="AZ21" s="508">
        <v>0</v>
      </c>
      <c r="BA21" s="508">
        <v>0</v>
      </c>
      <c r="BB21" s="508">
        <f>'[5]CB-1SR'!EX139</f>
        <v>0</v>
      </c>
      <c r="BC21" s="508">
        <v>0</v>
      </c>
      <c r="BD21" s="508">
        <v>0</v>
      </c>
    </row>
    <row r="22" spans="1:56" ht="16.5" customHeight="1">
      <c r="A22" s="509"/>
      <c r="B22" s="510"/>
      <c r="C22" s="511"/>
      <c r="D22" s="511"/>
      <c r="E22" s="511"/>
      <c r="F22" s="511"/>
      <c r="G22" s="511"/>
      <c r="H22" s="511"/>
      <c r="I22" s="511"/>
      <c r="J22" s="511"/>
      <c r="K22" s="511"/>
      <c r="L22" s="511"/>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c r="AJ22" s="511"/>
      <c r="AK22" s="511"/>
      <c r="AL22" s="511"/>
      <c r="AM22" s="511"/>
      <c r="AN22" s="511"/>
      <c r="AO22" s="504"/>
      <c r="AP22" s="504"/>
      <c r="AQ22" s="504"/>
      <c r="AR22" s="504"/>
      <c r="AS22" s="504"/>
      <c r="AT22" s="504"/>
      <c r="AU22" s="504"/>
      <c r="AV22" s="504"/>
      <c r="AW22" s="504"/>
      <c r="AX22" s="504"/>
      <c r="AY22" s="504"/>
      <c r="AZ22" s="504"/>
      <c r="BA22" s="504"/>
      <c r="BB22" s="504"/>
      <c r="BC22" s="504"/>
      <c r="BD22" s="504"/>
    </row>
    <row r="23" spans="1:56" ht="16.5" customHeight="1">
      <c r="A23" s="505" t="s">
        <v>424</v>
      </c>
      <c r="B23" s="506" t="s">
        <v>425</v>
      </c>
      <c r="C23" s="507">
        <v>100.87174853000002</v>
      </c>
      <c r="D23" s="507">
        <v>61.454897129999992</v>
      </c>
      <c r="E23" s="507">
        <v>161.37574275</v>
      </c>
      <c r="F23" s="507">
        <v>34.115845870000001</v>
      </c>
      <c r="G23" s="507">
        <v>104.31416644999999</v>
      </c>
      <c r="H23" s="507">
        <v>94.826760669999999</v>
      </c>
      <c r="I23" s="507">
        <v>117.08089912000001</v>
      </c>
      <c r="J23" s="507">
        <v>17.912021249999999</v>
      </c>
      <c r="K23" s="507">
        <v>223.52273242999996</v>
      </c>
      <c r="L23" s="507">
        <v>154.10795172999997</v>
      </c>
      <c r="M23" s="507">
        <v>155.91394252999999</v>
      </c>
      <c r="N23" s="507">
        <v>172.57112454999998</v>
      </c>
      <c r="O23" s="507">
        <v>415.07645757999995</v>
      </c>
      <c r="P23" s="507">
        <v>143.73269343999999</v>
      </c>
      <c r="Q23" s="507">
        <v>198.36355931999998</v>
      </c>
      <c r="R23" s="507">
        <v>270.89756561000002</v>
      </c>
      <c r="S23" s="507">
        <v>262.07020447999997</v>
      </c>
      <c r="T23" s="507">
        <v>89.969799440000003</v>
      </c>
      <c r="U23" s="507">
        <v>40.614643090000001</v>
      </c>
      <c r="V23" s="507">
        <v>102.21225756</v>
      </c>
      <c r="W23" s="507">
        <v>26.833478599999999</v>
      </c>
      <c r="X23" s="507">
        <v>108.75771674999999</v>
      </c>
      <c r="Y23" s="507">
        <v>127.08106000000001</v>
      </c>
      <c r="Z23" s="507">
        <v>81.813073779999996</v>
      </c>
      <c r="AA23" s="507">
        <v>181.16817865000002</v>
      </c>
      <c r="AB23" s="507">
        <v>152.61813896000001</v>
      </c>
      <c r="AC23" s="507">
        <v>208.72010127999999</v>
      </c>
      <c r="AD23" s="507">
        <v>190.56597326999997</v>
      </c>
      <c r="AE23" s="507">
        <v>276.53585465000003</v>
      </c>
      <c r="AF23" s="507">
        <v>58.611248670000002</v>
      </c>
      <c r="AG23" s="507">
        <v>151.15780359000001</v>
      </c>
      <c r="AH23" s="507">
        <v>73.411701520000008</v>
      </c>
      <c r="AI23" s="507">
        <v>111.50296273000001</v>
      </c>
      <c r="AJ23" s="507">
        <v>107.42566719000001</v>
      </c>
      <c r="AK23" s="507">
        <v>66.706140189999999</v>
      </c>
      <c r="AL23" s="507">
        <v>130.50753857999999</v>
      </c>
      <c r="AM23" s="507">
        <v>122.77166274</v>
      </c>
      <c r="AN23" s="507">
        <v>117.70602724</v>
      </c>
      <c r="AO23" s="508">
        <v>138.89641939000001</v>
      </c>
      <c r="AP23" s="508">
        <v>206.63082968000001</v>
      </c>
      <c r="AQ23" s="508">
        <v>116.23946946000001</v>
      </c>
      <c r="AR23" s="508">
        <v>239.12644954999999</v>
      </c>
      <c r="AS23" s="508">
        <v>178.50329379000001</v>
      </c>
      <c r="AT23" s="508">
        <v>302.47471422000001</v>
      </c>
      <c r="AU23" s="508">
        <v>180.52413272000001</v>
      </c>
      <c r="AV23" s="508">
        <v>201.58305669999999</v>
      </c>
      <c r="AW23" s="508">
        <v>225.20497719999995</v>
      </c>
      <c r="AX23" s="508">
        <v>334.10311827999999</v>
      </c>
      <c r="AY23" s="508">
        <v>252.25339766999997</v>
      </c>
      <c r="AZ23" s="508">
        <v>203.01427069000002</v>
      </c>
      <c r="BA23" s="508">
        <v>290.38413364999997</v>
      </c>
      <c r="BB23" s="508">
        <f>'[5]CB-1SR'!EX161</f>
        <v>155.35301681999999</v>
      </c>
      <c r="BC23" s="508">
        <v>155.59944632999998</v>
      </c>
      <c r="BD23" s="508">
        <v>264.22527162</v>
      </c>
    </row>
    <row r="24" spans="1:56" ht="16.5" customHeight="1">
      <c r="A24" s="509"/>
      <c r="B24" s="510"/>
      <c r="C24" s="511"/>
      <c r="D24" s="511"/>
      <c r="E24" s="511"/>
      <c r="F24" s="511"/>
      <c r="G24" s="511"/>
      <c r="H24" s="511"/>
      <c r="I24" s="511"/>
      <c r="J24" s="511"/>
      <c r="K24" s="511"/>
      <c r="L24" s="511"/>
      <c r="M24" s="511"/>
      <c r="N24" s="511"/>
      <c r="O24" s="511"/>
      <c r="P24" s="511"/>
      <c r="Q24" s="511"/>
      <c r="R24" s="511"/>
      <c r="S24" s="511"/>
      <c r="T24" s="511"/>
      <c r="U24" s="511"/>
      <c r="V24" s="511"/>
      <c r="W24" s="511"/>
      <c r="X24" s="511"/>
      <c r="Y24" s="511"/>
      <c r="Z24" s="511"/>
      <c r="AA24" s="511"/>
      <c r="AB24" s="511"/>
      <c r="AC24" s="511"/>
      <c r="AD24" s="511"/>
      <c r="AE24" s="511"/>
      <c r="AF24" s="511"/>
      <c r="AG24" s="511"/>
      <c r="AH24" s="511"/>
      <c r="AI24" s="511"/>
      <c r="AJ24" s="511"/>
      <c r="AK24" s="511"/>
      <c r="AL24" s="511"/>
      <c r="AM24" s="511"/>
      <c r="AN24" s="511"/>
      <c r="AO24" s="504"/>
      <c r="AP24" s="504"/>
      <c r="AQ24" s="504"/>
      <c r="AR24" s="504"/>
      <c r="AS24" s="504"/>
      <c r="AT24" s="504"/>
      <c r="AU24" s="504"/>
      <c r="AV24" s="504"/>
      <c r="AW24" s="504"/>
      <c r="AX24" s="504"/>
      <c r="AY24" s="504"/>
      <c r="AZ24" s="504"/>
      <c r="BA24" s="504"/>
      <c r="BB24" s="504"/>
      <c r="BC24" s="504"/>
      <c r="BD24" s="504"/>
    </row>
    <row r="25" spans="1:56" ht="16.5" customHeight="1">
      <c r="A25" s="505" t="s">
        <v>426</v>
      </c>
      <c r="B25" s="506" t="s">
        <v>427</v>
      </c>
      <c r="C25" s="507">
        <v>1976.6657630399998</v>
      </c>
      <c r="D25" s="507">
        <v>1984.2185947199998</v>
      </c>
      <c r="E25" s="507">
        <v>1985.61688293</v>
      </c>
      <c r="F25" s="507">
        <v>1991.1752804099999</v>
      </c>
      <c r="G25" s="507">
        <v>1992.6125975</v>
      </c>
      <c r="H25" s="507">
        <v>1917.5217818799999</v>
      </c>
      <c r="I25" s="507">
        <v>1917.4961673199998</v>
      </c>
      <c r="J25" s="507">
        <v>1917.28120543</v>
      </c>
      <c r="K25" s="507">
        <v>1917.2325234799998</v>
      </c>
      <c r="L25" s="507">
        <v>1919.18921602</v>
      </c>
      <c r="M25" s="507">
        <v>1918.9397383599999</v>
      </c>
      <c r="N25" s="507">
        <v>1918.1092738299999</v>
      </c>
      <c r="O25" s="507">
        <v>1918.06444788</v>
      </c>
      <c r="P25" s="507">
        <v>1917.1917345799998</v>
      </c>
      <c r="Q25" s="507">
        <v>1919.72773794</v>
      </c>
      <c r="R25" s="507">
        <v>1919.4142326399999</v>
      </c>
      <c r="S25" s="507">
        <v>1921.2854840099999</v>
      </c>
      <c r="T25" s="507">
        <v>1996.35895349</v>
      </c>
      <c r="U25" s="507">
        <v>1865.7395783099998</v>
      </c>
      <c r="V25" s="507">
        <v>1865.7184242599999</v>
      </c>
      <c r="W25" s="507">
        <v>1868.6160445899998</v>
      </c>
      <c r="X25" s="507">
        <v>1868.3027242999999</v>
      </c>
      <c r="Y25" s="507">
        <v>1978.7657218599998</v>
      </c>
      <c r="Z25" s="507">
        <v>1978.4810529399999</v>
      </c>
      <c r="AA25" s="507">
        <v>1981.11967119</v>
      </c>
      <c r="AB25" s="507">
        <v>1982.9341981499999</v>
      </c>
      <c r="AC25" s="507">
        <v>1982.877802</v>
      </c>
      <c r="AD25" s="507">
        <v>1984.58480121</v>
      </c>
      <c r="AE25" s="507">
        <v>1989.52938365</v>
      </c>
      <c r="AF25" s="507">
        <v>1865.9288570599999</v>
      </c>
      <c r="AG25" s="507">
        <v>1866.5775801199998</v>
      </c>
      <c r="AH25" s="507">
        <v>1954.0414822299999</v>
      </c>
      <c r="AI25" s="507">
        <v>1954.1670820299998</v>
      </c>
      <c r="AJ25" s="507">
        <v>2087.27910208</v>
      </c>
      <c r="AK25" s="507">
        <v>2104.2370903299998</v>
      </c>
      <c r="AL25" s="507">
        <v>2097.3760829099997</v>
      </c>
      <c r="AM25" s="507">
        <v>2095.2486594500001</v>
      </c>
      <c r="AN25" s="507">
        <v>2099.2737472999997</v>
      </c>
      <c r="AO25" s="508">
        <v>2094.6208616899999</v>
      </c>
      <c r="AP25" s="508">
        <v>2113.9836782400002</v>
      </c>
      <c r="AQ25" s="508">
        <v>2109.5643318900002</v>
      </c>
      <c r="AR25" s="508">
        <v>1932.4942495500002</v>
      </c>
      <c r="AS25" s="508">
        <v>1928.8543674699999</v>
      </c>
      <c r="AT25" s="508">
        <v>1924.5813055199999</v>
      </c>
      <c r="AU25" s="508">
        <v>1920.6146878499999</v>
      </c>
      <c r="AV25" s="508">
        <v>1973.28626874</v>
      </c>
      <c r="AW25" s="508">
        <v>1968.6993700200001</v>
      </c>
      <c r="AX25" s="508">
        <v>1955.7937911900001</v>
      </c>
      <c r="AY25" s="508">
        <v>1945.17292094</v>
      </c>
      <c r="AZ25" s="508">
        <v>1944.5120906900002</v>
      </c>
      <c r="BA25" s="508">
        <v>1945.5817451</v>
      </c>
      <c r="BB25" s="508">
        <f>'[5]CB-1SR'!EX221</f>
        <v>1950.4050652599999</v>
      </c>
      <c r="BC25" s="508">
        <v>1949.0374773599999</v>
      </c>
      <c r="BD25" s="508">
        <v>1843.2044038199999</v>
      </c>
    </row>
    <row r="26" spans="1:56" ht="16.5" customHeight="1">
      <c r="A26" s="509"/>
      <c r="B26" s="510"/>
      <c r="C26" s="512"/>
      <c r="D26" s="512"/>
      <c r="E26" s="512"/>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04"/>
      <c r="AP26" s="504"/>
      <c r="AQ26" s="504"/>
      <c r="AR26" s="504"/>
      <c r="AS26" s="504"/>
      <c r="AT26" s="504"/>
      <c r="AU26" s="504"/>
      <c r="AV26" s="504"/>
      <c r="AW26" s="504"/>
      <c r="AX26" s="504"/>
      <c r="AY26" s="504"/>
      <c r="AZ26" s="504"/>
      <c r="BA26" s="504"/>
      <c r="BB26" s="504"/>
      <c r="BC26" s="504"/>
      <c r="BD26" s="504"/>
    </row>
    <row r="27" spans="1:56" ht="16.5" customHeight="1">
      <c r="A27" s="505"/>
      <c r="B27" s="506" t="s">
        <v>428</v>
      </c>
      <c r="C27" s="507">
        <v>69596.492978260008</v>
      </c>
      <c r="D27" s="507">
        <v>70941.137481960002</v>
      </c>
      <c r="E27" s="507">
        <v>70499.654408689996</v>
      </c>
      <c r="F27" s="507">
        <v>71302.400434919982</v>
      </c>
      <c r="G27" s="507">
        <v>74450.371189410012</v>
      </c>
      <c r="H27" s="507">
        <v>73422.695010850002</v>
      </c>
      <c r="I27" s="507">
        <v>73741.022601379998</v>
      </c>
      <c r="J27" s="507">
        <v>74913.405534099991</v>
      </c>
      <c r="K27" s="507">
        <v>78694.334378229978</v>
      </c>
      <c r="L27" s="507">
        <v>79392.890200669979</v>
      </c>
      <c r="M27" s="507">
        <v>82982.389130539988</v>
      </c>
      <c r="N27" s="507">
        <v>86612.239956250007</v>
      </c>
      <c r="O27" s="507">
        <v>83585.412843940008</v>
      </c>
      <c r="P27" s="507">
        <v>83414.25191986002</v>
      </c>
      <c r="Q27" s="507">
        <v>84435.871825220005</v>
      </c>
      <c r="R27" s="507">
        <v>84082.643758529986</v>
      </c>
      <c r="S27" s="507">
        <v>85853.749046339988</v>
      </c>
      <c r="T27" s="507">
        <v>88592.54695193001</v>
      </c>
      <c r="U27" s="507">
        <v>88882.225354269991</v>
      </c>
      <c r="V27" s="507">
        <v>89112.098272500007</v>
      </c>
      <c r="W27" s="507">
        <v>87868.856741180018</v>
      </c>
      <c r="X27" s="507">
        <v>91091.426085909989</v>
      </c>
      <c r="Y27" s="507">
        <v>89540.306182900007</v>
      </c>
      <c r="Z27" s="507">
        <v>92681.040482939992</v>
      </c>
      <c r="AA27" s="507">
        <v>93057.427462349995</v>
      </c>
      <c r="AB27" s="507">
        <v>93216.006621159991</v>
      </c>
      <c r="AC27" s="507">
        <v>92395.195668540007</v>
      </c>
      <c r="AD27" s="507">
        <v>92343.3335161</v>
      </c>
      <c r="AE27" s="507">
        <v>90504.874658370012</v>
      </c>
      <c r="AF27" s="507">
        <v>97002.375047109992</v>
      </c>
      <c r="AG27" s="507">
        <v>98020.362661199993</v>
      </c>
      <c r="AH27" s="507">
        <v>97950.904823339995</v>
      </c>
      <c r="AI27" s="507">
        <v>98887.514703899986</v>
      </c>
      <c r="AJ27" s="507">
        <v>98497.72901571999</v>
      </c>
      <c r="AK27" s="507">
        <v>99356.306598119991</v>
      </c>
      <c r="AL27" s="507">
        <v>100930.55150610002</v>
      </c>
      <c r="AM27" s="507">
        <v>104790.87118644998</v>
      </c>
      <c r="AN27" s="507">
        <v>104458.18805176998</v>
      </c>
      <c r="AO27" s="508">
        <v>108086.37018971</v>
      </c>
      <c r="AP27" s="508">
        <v>107405.78609197997</v>
      </c>
      <c r="AQ27" s="508">
        <v>114390.36744292999</v>
      </c>
      <c r="AR27" s="508">
        <v>113988.66618238001</v>
      </c>
      <c r="AS27" s="508">
        <v>111194.33481837</v>
      </c>
      <c r="AT27" s="508">
        <v>110092.93683617002</v>
      </c>
      <c r="AU27" s="508">
        <v>112471.18276853002</v>
      </c>
      <c r="AV27" s="508">
        <v>111686.14588489001</v>
      </c>
      <c r="AW27" s="508">
        <v>111021.07280037001</v>
      </c>
      <c r="AX27" s="508">
        <v>115230.05499470999</v>
      </c>
      <c r="AY27" s="508">
        <v>115477.48536897</v>
      </c>
      <c r="AZ27" s="508">
        <v>120988.83522885997</v>
      </c>
      <c r="BA27" s="508">
        <v>122871.29449175001</v>
      </c>
      <c r="BB27" s="508">
        <f>BB5+BB7+BB13+BB15+BB17+BB19+BB21+BB23+BB25</f>
        <v>127088.77066056998</v>
      </c>
      <c r="BC27" s="508">
        <v>128069.47628107002</v>
      </c>
      <c r="BD27" s="508">
        <v>130583.81207653</v>
      </c>
    </row>
    <row r="28" spans="1:56" ht="16.5" customHeight="1" thickBot="1">
      <c r="A28" s="515"/>
      <c r="B28" s="516"/>
      <c r="C28" s="517"/>
      <c r="D28" s="517"/>
      <c r="E28" s="517"/>
      <c r="F28" s="517"/>
      <c r="G28" s="517"/>
      <c r="H28" s="517"/>
      <c r="I28" s="517"/>
      <c r="J28" s="518"/>
      <c r="K28" s="519"/>
      <c r="L28" s="519"/>
      <c r="M28" s="519"/>
      <c r="N28" s="519"/>
      <c r="O28" s="519"/>
      <c r="P28" s="519"/>
      <c r="Q28" s="519"/>
      <c r="R28" s="519"/>
      <c r="S28" s="519"/>
      <c r="T28" s="519"/>
      <c r="U28" s="519"/>
      <c r="V28" s="520"/>
      <c r="W28" s="520"/>
      <c r="X28" s="520"/>
      <c r="Y28" s="520"/>
      <c r="Z28" s="520"/>
      <c r="AA28" s="520"/>
      <c r="AB28" s="520"/>
      <c r="AC28" s="520"/>
      <c r="AD28" s="520"/>
      <c r="AE28" s="520"/>
      <c r="AF28" s="520"/>
      <c r="AG28" s="520"/>
      <c r="AH28" s="520"/>
      <c r="AI28" s="520"/>
      <c r="AJ28" s="520"/>
      <c r="AK28" s="520"/>
      <c r="AL28" s="520"/>
      <c r="AM28" s="520"/>
      <c r="AN28" s="520"/>
      <c r="AO28" s="521"/>
      <c r="AP28" s="521"/>
      <c r="AQ28" s="521"/>
      <c r="AR28" s="521"/>
      <c r="AS28" s="521"/>
      <c r="AT28" s="521"/>
      <c r="AU28" s="521"/>
      <c r="AV28" s="521"/>
      <c r="AW28" s="521"/>
      <c r="AX28" s="521"/>
      <c r="AY28" s="521"/>
      <c r="AZ28" s="521"/>
      <c r="BA28" s="521"/>
      <c r="BB28" s="521"/>
      <c r="BC28" s="521"/>
      <c r="BD28" s="521"/>
    </row>
    <row r="29" spans="1:56" ht="16.5" customHeight="1" thickTop="1">
      <c r="A29" s="522"/>
      <c r="B29" s="522"/>
      <c r="C29" s="522"/>
      <c r="D29" s="522"/>
      <c r="E29" s="522"/>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F29" s="522"/>
      <c r="AG29" s="522"/>
      <c r="AH29" s="522"/>
      <c r="AI29" s="522"/>
      <c r="AJ29" s="522"/>
      <c r="AK29" s="522"/>
      <c r="AL29" s="522"/>
      <c r="AM29" s="522"/>
      <c r="AN29" s="522"/>
      <c r="AO29" s="522"/>
      <c r="AP29" s="522"/>
      <c r="AQ29" s="522"/>
      <c r="AR29" s="522"/>
      <c r="AS29" s="522"/>
      <c r="AT29" s="522"/>
      <c r="AU29" s="522"/>
      <c r="AV29" s="522"/>
      <c r="AW29" s="522"/>
      <c r="AX29" s="522"/>
      <c r="AY29" s="522"/>
      <c r="AZ29" s="522"/>
      <c r="BA29" s="522"/>
      <c r="BB29" s="522"/>
      <c r="BC29" s="522"/>
      <c r="BD29" s="522"/>
    </row>
    <row r="30" spans="1:56" ht="16.5" customHeight="1">
      <c r="A30" s="522"/>
      <c r="B30" s="522"/>
      <c r="C30" s="522"/>
      <c r="D30" s="522"/>
      <c r="E30" s="522"/>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F30" s="522"/>
      <c r="AG30" s="522"/>
      <c r="AH30" s="522"/>
      <c r="AI30" s="522"/>
      <c r="AJ30" s="522"/>
      <c r="AK30" s="522"/>
      <c r="AL30" s="522"/>
      <c r="AM30" s="522"/>
      <c r="AN30" s="522"/>
      <c r="AO30" s="522"/>
      <c r="AP30" s="522"/>
      <c r="AQ30" s="522"/>
      <c r="AR30" s="522"/>
      <c r="AS30" s="522"/>
      <c r="AT30" s="522"/>
      <c r="AU30" s="522"/>
      <c r="AV30" s="522"/>
      <c r="AW30" s="522"/>
      <c r="AX30" s="522"/>
      <c r="AY30" s="522"/>
      <c r="AZ30" s="522"/>
      <c r="BA30" s="522"/>
      <c r="BB30" s="522"/>
      <c r="BC30" s="522"/>
      <c r="BD30" s="522"/>
    </row>
    <row r="31" spans="1:56" ht="16.5" customHeight="1">
      <c r="A31" s="522"/>
      <c r="B31" s="522"/>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2"/>
      <c r="AE31" s="522"/>
      <c r="AF31" s="522"/>
      <c r="AG31" s="522"/>
      <c r="AH31" s="522"/>
      <c r="AI31" s="522"/>
      <c r="AJ31" s="522"/>
      <c r="AK31" s="522"/>
      <c r="AL31" s="522"/>
      <c r="AM31" s="522"/>
      <c r="AN31" s="522"/>
      <c r="AO31" s="522"/>
      <c r="AP31" s="522"/>
      <c r="AQ31" s="522"/>
      <c r="AR31" s="522"/>
      <c r="AS31" s="522"/>
      <c r="AT31" s="522"/>
      <c r="AU31" s="522"/>
      <c r="AV31" s="522"/>
      <c r="AW31" s="522"/>
      <c r="AX31" s="522"/>
      <c r="AY31" s="522"/>
      <c r="AZ31" s="522"/>
      <c r="BA31" s="522"/>
      <c r="BB31" s="522"/>
      <c r="BC31" s="522"/>
      <c r="BD31" s="522"/>
    </row>
    <row r="32" spans="1:56" ht="16.5" customHeight="1" thickBot="1">
      <c r="A32" s="522"/>
      <c r="B32" s="522"/>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c r="BB32" s="522"/>
      <c r="BC32" s="522"/>
      <c r="BD32" s="522"/>
    </row>
    <row r="33" spans="1:56" ht="24.75" customHeight="1" thickTop="1" thickBot="1">
      <c r="A33" s="491" t="s">
        <v>401</v>
      </c>
      <c r="B33" s="492" t="s">
        <v>429</v>
      </c>
      <c r="C33" s="523">
        <f>C3</f>
        <v>40179</v>
      </c>
      <c r="D33" s="523">
        <f>D3</f>
        <v>40211</v>
      </c>
      <c r="E33" s="523">
        <f t="shared" ref="E33:AO33" si="0">E3</f>
        <v>40239</v>
      </c>
      <c r="F33" s="523">
        <f t="shared" si="0"/>
        <v>40270</v>
      </c>
      <c r="G33" s="523">
        <f t="shared" si="0"/>
        <v>40300</v>
      </c>
      <c r="H33" s="523">
        <f t="shared" si="0"/>
        <v>40331</v>
      </c>
      <c r="I33" s="523">
        <f t="shared" si="0"/>
        <v>40361</v>
      </c>
      <c r="J33" s="524">
        <f t="shared" si="0"/>
        <v>40392</v>
      </c>
      <c r="K33" s="525">
        <f t="shared" si="0"/>
        <v>40423</v>
      </c>
      <c r="L33" s="525">
        <f t="shared" si="0"/>
        <v>40453</v>
      </c>
      <c r="M33" s="525">
        <f t="shared" si="0"/>
        <v>40484</v>
      </c>
      <c r="N33" s="525">
        <f t="shared" si="0"/>
        <v>40514</v>
      </c>
      <c r="O33" s="525">
        <f t="shared" si="0"/>
        <v>40545</v>
      </c>
      <c r="P33" s="525">
        <f t="shared" si="0"/>
        <v>40576</v>
      </c>
      <c r="Q33" s="525">
        <f t="shared" si="0"/>
        <v>40604</v>
      </c>
      <c r="R33" s="525">
        <f t="shared" si="0"/>
        <v>40635</v>
      </c>
      <c r="S33" s="525">
        <f t="shared" si="0"/>
        <v>40665</v>
      </c>
      <c r="T33" s="525">
        <f t="shared" si="0"/>
        <v>40696</v>
      </c>
      <c r="U33" s="525">
        <f t="shared" si="0"/>
        <v>40726</v>
      </c>
      <c r="V33" s="526">
        <f t="shared" si="0"/>
        <v>40757</v>
      </c>
      <c r="W33" s="526">
        <f t="shared" si="0"/>
        <v>40788</v>
      </c>
      <c r="X33" s="526">
        <f t="shared" si="0"/>
        <v>40818</v>
      </c>
      <c r="Y33" s="526">
        <f t="shared" si="0"/>
        <v>40849</v>
      </c>
      <c r="Z33" s="526">
        <f t="shared" si="0"/>
        <v>40879</v>
      </c>
      <c r="AA33" s="526">
        <f t="shared" si="0"/>
        <v>40910</v>
      </c>
      <c r="AB33" s="526">
        <f t="shared" si="0"/>
        <v>40941</v>
      </c>
      <c r="AC33" s="526">
        <f t="shared" si="0"/>
        <v>40970</v>
      </c>
      <c r="AD33" s="526">
        <f t="shared" si="0"/>
        <v>41001</v>
      </c>
      <c r="AE33" s="526">
        <f t="shared" si="0"/>
        <v>41031</v>
      </c>
      <c r="AF33" s="526">
        <f t="shared" si="0"/>
        <v>41062</v>
      </c>
      <c r="AG33" s="526">
        <f t="shared" si="0"/>
        <v>41092</v>
      </c>
      <c r="AH33" s="526">
        <f t="shared" si="0"/>
        <v>41123</v>
      </c>
      <c r="AI33" s="526">
        <f t="shared" si="0"/>
        <v>41154</v>
      </c>
      <c r="AJ33" s="526">
        <f t="shared" si="0"/>
        <v>41184</v>
      </c>
      <c r="AK33" s="526">
        <f t="shared" si="0"/>
        <v>41215</v>
      </c>
      <c r="AL33" s="526">
        <f t="shared" si="0"/>
        <v>41245</v>
      </c>
      <c r="AM33" s="526">
        <f t="shared" si="0"/>
        <v>41276</v>
      </c>
      <c r="AN33" s="526">
        <f t="shared" si="0"/>
        <v>41307</v>
      </c>
      <c r="AO33" s="527">
        <f t="shared" si="0"/>
        <v>41335</v>
      </c>
      <c r="AP33" s="497">
        <f>AP3</f>
        <v>41366</v>
      </c>
      <c r="AQ33" s="497">
        <f>AQ3</f>
        <v>41396</v>
      </c>
      <c r="AR33" s="497">
        <f>AR3</f>
        <v>41427</v>
      </c>
      <c r="AS33" s="497">
        <f>AS3</f>
        <v>41457</v>
      </c>
      <c r="AT33" s="497">
        <f>AT3</f>
        <v>41488</v>
      </c>
      <c r="AU33" s="497">
        <v>41519</v>
      </c>
      <c r="AV33" s="497">
        <f>AV3</f>
        <v>41549</v>
      </c>
      <c r="AW33" s="497">
        <v>41580</v>
      </c>
      <c r="AX33" s="497">
        <v>41610</v>
      </c>
      <c r="AY33" s="497">
        <v>41641</v>
      </c>
      <c r="AZ33" s="497">
        <v>41672</v>
      </c>
      <c r="BA33" s="497">
        <v>41700</v>
      </c>
      <c r="BB33" s="497">
        <v>41731</v>
      </c>
      <c r="BC33" s="497">
        <v>41761</v>
      </c>
      <c r="BD33" s="497">
        <v>41792</v>
      </c>
    </row>
    <row r="34" spans="1:56" ht="16.5" customHeight="1" thickTop="1">
      <c r="A34" s="509"/>
      <c r="B34" s="528"/>
      <c r="C34" s="512"/>
      <c r="D34" s="512"/>
      <c r="E34" s="512"/>
      <c r="F34" s="512"/>
      <c r="G34" s="512"/>
      <c r="H34" s="512"/>
      <c r="I34" s="512"/>
      <c r="J34" s="529"/>
      <c r="K34" s="530"/>
      <c r="L34" s="530"/>
      <c r="M34" s="530"/>
      <c r="N34" s="530"/>
      <c r="O34" s="530"/>
      <c r="P34" s="530"/>
      <c r="Q34" s="530"/>
      <c r="R34" s="530"/>
      <c r="S34" s="530"/>
      <c r="T34" s="530"/>
      <c r="U34" s="530"/>
      <c r="V34" s="531"/>
      <c r="W34" s="531"/>
      <c r="X34" s="531"/>
      <c r="Y34" s="531"/>
      <c r="Z34" s="531"/>
      <c r="AA34" s="531"/>
      <c r="AB34" s="531"/>
      <c r="AC34" s="531"/>
      <c r="AD34" s="531"/>
      <c r="AE34" s="531"/>
      <c r="AF34" s="531"/>
      <c r="AG34" s="531"/>
      <c r="AH34" s="531"/>
      <c r="AI34" s="531"/>
      <c r="AJ34" s="531"/>
      <c r="AK34" s="531"/>
      <c r="AL34" s="531"/>
      <c r="AM34" s="531"/>
      <c r="AN34" s="531"/>
      <c r="AO34" s="504"/>
      <c r="AP34" s="504"/>
      <c r="AQ34" s="504"/>
      <c r="AR34" s="504"/>
      <c r="AS34" s="504"/>
      <c r="AT34" s="504"/>
      <c r="AU34" s="504"/>
      <c r="AV34" s="504"/>
      <c r="AW34" s="504"/>
      <c r="AX34" s="504"/>
      <c r="AY34" s="504"/>
      <c r="AZ34" s="504"/>
      <c r="BA34" s="504"/>
      <c r="BB34" s="504"/>
      <c r="BC34" s="504"/>
      <c r="BD34" s="504"/>
    </row>
    <row r="35" spans="1:56" ht="16.5" customHeight="1">
      <c r="A35" s="505" t="s">
        <v>430</v>
      </c>
      <c r="B35" s="506" t="s">
        <v>431</v>
      </c>
      <c r="C35" s="507">
        <v>18952.441887060002</v>
      </c>
      <c r="D35" s="507">
        <v>18641.061393979999</v>
      </c>
      <c r="E35" s="507">
        <v>18743.303560849996</v>
      </c>
      <c r="F35" s="507">
        <v>18751.685785169997</v>
      </c>
      <c r="G35" s="507">
        <v>18911.351549290001</v>
      </c>
      <c r="H35" s="507">
        <v>18649.461355769999</v>
      </c>
      <c r="I35" s="507">
        <v>18959.472219740001</v>
      </c>
      <c r="J35" s="507">
        <v>19099.734956819997</v>
      </c>
      <c r="K35" s="507">
        <v>19096.175257759998</v>
      </c>
      <c r="L35" s="507">
        <v>19126.732547099997</v>
      </c>
      <c r="M35" s="507">
        <v>19515.158774399999</v>
      </c>
      <c r="N35" s="507">
        <v>22591.76147184</v>
      </c>
      <c r="O35" s="507">
        <v>21236.65837347</v>
      </c>
      <c r="P35" s="507">
        <v>20538.891013150002</v>
      </c>
      <c r="Q35" s="507">
        <v>20556.85096652</v>
      </c>
      <c r="R35" s="507">
        <v>20352.834272419997</v>
      </c>
      <c r="S35" s="507">
        <v>20595.249062759998</v>
      </c>
      <c r="T35" s="507">
        <v>20453.797603709998</v>
      </c>
      <c r="U35" s="507">
        <v>20905.664051119998</v>
      </c>
      <c r="V35" s="507">
        <v>21645.42161148</v>
      </c>
      <c r="W35" s="507">
        <v>21156.80149025</v>
      </c>
      <c r="X35" s="507">
        <v>21838.137164569998</v>
      </c>
      <c r="Y35" s="507">
        <v>21414.945182689997</v>
      </c>
      <c r="Z35" s="507">
        <v>24469.755843179999</v>
      </c>
      <c r="AA35" s="507">
        <v>22588.058014799997</v>
      </c>
      <c r="AB35" s="507">
        <v>22171.260158819998</v>
      </c>
      <c r="AC35" s="507">
        <v>21862.04674324</v>
      </c>
      <c r="AD35" s="507">
        <v>21939.357956429998</v>
      </c>
      <c r="AE35" s="507">
        <v>22081.98990434</v>
      </c>
      <c r="AF35" s="507">
        <v>21745.491674569999</v>
      </c>
      <c r="AG35" s="507">
        <v>22149.626996290001</v>
      </c>
      <c r="AH35" s="507">
        <v>22572.425488049998</v>
      </c>
      <c r="AI35" s="507">
        <v>22452.776109720002</v>
      </c>
      <c r="AJ35" s="507">
        <v>23032.897365330002</v>
      </c>
      <c r="AK35" s="507">
        <v>23216.152670249998</v>
      </c>
      <c r="AL35" s="507">
        <v>26961.314001819999</v>
      </c>
      <c r="AM35" s="507">
        <v>25163.105337090001</v>
      </c>
      <c r="AN35" s="507">
        <v>24498.755108590001</v>
      </c>
      <c r="AO35" s="508">
        <v>24955.023412139999</v>
      </c>
      <c r="AP35" s="508">
        <v>24919.571457469996</v>
      </c>
      <c r="AQ35" s="508">
        <v>24588.03063723</v>
      </c>
      <c r="AR35" s="508">
        <v>24405.038596909999</v>
      </c>
      <c r="AS35" s="508">
        <v>25220.77754155</v>
      </c>
      <c r="AT35" s="508">
        <v>25317.262526309998</v>
      </c>
      <c r="AU35" s="508">
        <v>24906.271864289996</v>
      </c>
      <c r="AV35" s="508">
        <v>25514.94680301</v>
      </c>
      <c r="AW35" s="508">
        <v>25355.99961635</v>
      </c>
      <c r="AX35" s="508">
        <v>30127.65067585</v>
      </c>
      <c r="AY35" s="508">
        <v>27335.793403099997</v>
      </c>
      <c r="AZ35" s="508">
        <v>26937.436175199997</v>
      </c>
      <c r="BA35" s="508">
        <v>26769.000060089998</v>
      </c>
      <c r="BB35" s="508">
        <v>26721.178490309998</v>
      </c>
      <c r="BC35" s="508">
        <v>26022.338344529999</v>
      </c>
      <c r="BD35" s="508">
        <v>26344.899356469996</v>
      </c>
    </row>
    <row r="36" spans="1:56" ht="16.5" customHeight="1">
      <c r="A36" s="509"/>
      <c r="B36" s="510"/>
      <c r="C36" s="511"/>
      <c r="D36" s="511"/>
      <c r="E36" s="511"/>
      <c r="F36" s="511"/>
      <c r="G36" s="511"/>
      <c r="H36" s="511"/>
      <c r="I36" s="511"/>
      <c r="J36" s="511"/>
      <c r="K36" s="511"/>
      <c r="L36" s="511"/>
      <c r="M36" s="511"/>
      <c r="N36" s="511"/>
      <c r="O36" s="511"/>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c r="AM36" s="511"/>
      <c r="AN36" s="511"/>
      <c r="AO36" s="504"/>
      <c r="AP36" s="504"/>
      <c r="AQ36" s="504"/>
      <c r="AR36" s="504"/>
      <c r="AS36" s="504"/>
      <c r="AT36" s="504"/>
      <c r="AU36" s="504"/>
      <c r="AV36" s="504"/>
      <c r="AW36" s="504"/>
      <c r="AX36" s="504"/>
      <c r="AY36" s="504"/>
      <c r="AZ36" s="504"/>
      <c r="BA36" s="504"/>
      <c r="BB36" s="504"/>
      <c r="BC36" s="504"/>
      <c r="BD36" s="504"/>
    </row>
    <row r="37" spans="1:56" ht="16.5" customHeight="1">
      <c r="A37" s="505" t="s">
        <v>432</v>
      </c>
      <c r="B37" s="506" t="s">
        <v>433</v>
      </c>
      <c r="C37" s="507">
        <v>173.77583848999998</v>
      </c>
      <c r="D37" s="507">
        <v>102.15030181408299</v>
      </c>
      <c r="E37" s="507">
        <v>107.57548442879599</v>
      </c>
      <c r="F37" s="507">
        <v>96.970545829999992</v>
      </c>
      <c r="G37" s="507">
        <v>92.457328589252</v>
      </c>
      <c r="H37" s="507">
        <v>440.817523815794</v>
      </c>
      <c r="I37" s="507">
        <v>144.695107660503</v>
      </c>
      <c r="J37" s="507">
        <v>139.61848140775101</v>
      </c>
      <c r="K37" s="507">
        <v>267.13934071788196</v>
      </c>
      <c r="L37" s="507">
        <v>140.39613334605099</v>
      </c>
      <c r="M37" s="507">
        <v>147.65538167153198</v>
      </c>
      <c r="N37" s="507">
        <v>156.18358312016798</v>
      </c>
      <c r="O37" s="507">
        <v>141.37216390342701</v>
      </c>
      <c r="P37" s="507">
        <v>165.14521648076197</v>
      </c>
      <c r="Q37" s="507">
        <v>156.283154672509</v>
      </c>
      <c r="R37" s="507">
        <v>170.538513680878</v>
      </c>
      <c r="S37" s="507">
        <v>118.92258400263799</v>
      </c>
      <c r="T37" s="507">
        <v>227.06391243610898</v>
      </c>
      <c r="U37" s="507">
        <v>147.606747109975</v>
      </c>
      <c r="V37" s="507">
        <v>145.05270454831998</v>
      </c>
      <c r="W37" s="507">
        <v>178.60699340812801</v>
      </c>
      <c r="X37" s="507">
        <v>228.86708454979401</v>
      </c>
      <c r="Y37" s="507">
        <v>145.94768976260698</v>
      </c>
      <c r="Z37" s="507">
        <v>144.74181716741302</v>
      </c>
      <c r="AA37" s="507">
        <v>134.190323829216</v>
      </c>
      <c r="AB37" s="507">
        <v>122.79770026911299</v>
      </c>
      <c r="AC37" s="507">
        <v>128.30850091761698</v>
      </c>
      <c r="AD37" s="507">
        <v>125.31778668365899</v>
      </c>
      <c r="AE37" s="507">
        <v>104.85266671033099</v>
      </c>
      <c r="AF37" s="507">
        <v>188.10748455776599</v>
      </c>
      <c r="AG37" s="507">
        <v>198.07162782</v>
      </c>
      <c r="AH37" s="507">
        <v>71.810326250000003</v>
      </c>
      <c r="AI37" s="507">
        <v>223.63965296000001</v>
      </c>
      <c r="AJ37" s="507">
        <v>238.61876867999996</v>
      </c>
      <c r="AK37" s="507">
        <v>151.47403553999999</v>
      </c>
      <c r="AL37" s="507">
        <v>146.47737080000002</v>
      </c>
      <c r="AM37" s="507">
        <v>69.348740169999985</v>
      </c>
      <c r="AN37" s="507">
        <v>65.960218440000006</v>
      </c>
      <c r="AO37" s="508">
        <v>64.97840020999999</v>
      </c>
      <c r="AP37" s="508">
        <v>65.584209119999997</v>
      </c>
      <c r="AQ37" s="508">
        <v>68.513367979999998</v>
      </c>
      <c r="AR37" s="508">
        <v>311.48284962999998</v>
      </c>
      <c r="AS37" s="508">
        <v>90.367219909999989</v>
      </c>
      <c r="AT37" s="508">
        <v>88.740492129999993</v>
      </c>
      <c r="AU37" s="508">
        <v>165.29868494999999</v>
      </c>
      <c r="AV37" s="508">
        <v>96.820067709999989</v>
      </c>
      <c r="AW37" s="508">
        <v>176.07912083000002</v>
      </c>
      <c r="AX37" s="508">
        <v>327.56298057999999</v>
      </c>
      <c r="AY37" s="508">
        <v>68.868365640000007</v>
      </c>
      <c r="AZ37" s="508">
        <v>92.072264139999987</v>
      </c>
      <c r="BA37" s="508">
        <v>87.70549441</v>
      </c>
      <c r="BB37" s="508">
        <v>85.291687549999992</v>
      </c>
      <c r="BC37" s="508">
        <v>79.022807060000005</v>
      </c>
      <c r="BD37" s="508">
        <v>286.60368328999999</v>
      </c>
    </row>
    <row r="38" spans="1:56" ht="16.5" customHeight="1">
      <c r="A38" s="509" t="s">
        <v>434</v>
      </c>
      <c r="B38" s="510" t="s">
        <v>435</v>
      </c>
      <c r="C38" s="512">
        <v>22.587345850000002</v>
      </c>
      <c r="D38" s="512">
        <v>24.744540514082999</v>
      </c>
      <c r="E38" s="512">
        <v>23.849837548796</v>
      </c>
      <c r="F38" s="512">
        <v>18.228978470000001</v>
      </c>
      <c r="G38" s="512">
        <v>18.263779599251997</v>
      </c>
      <c r="H38" s="512">
        <v>20.765367005793998</v>
      </c>
      <c r="I38" s="512">
        <v>19.718758210502997</v>
      </c>
      <c r="J38" s="512">
        <v>24.796664857751008</v>
      </c>
      <c r="K38" s="512">
        <v>24.287037047881995</v>
      </c>
      <c r="L38" s="512">
        <v>19.542466706051002</v>
      </c>
      <c r="M38" s="512">
        <v>21.999239441531991</v>
      </c>
      <c r="N38" s="512">
        <v>24.493795200167998</v>
      </c>
      <c r="O38" s="512">
        <v>14.350253283427008</v>
      </c>
      <c r="P38" s="512">
        <v>12.139555840761995</v>
      </c>
      <c r="Q38" s="512">
        <v>11.978865682509007</v>
      </c>
      <c r="R38" s="512">
        <v>10.738506780878001</v>
      </c>
      <c r="S38" s="512">
        <v>11.205565562638004</v>
      </c>
      <c r="T38" s="512">
        <v>10.587319066109</v>
      </c>
      <c r="U38" s="512">
        <v>14.109763349974992</v>
      </c>
      <c r="V38" s="512">
        <v>13.63773414832</v>
      </c>
      <c r="W38" s="512">
        <v>15.698556618128009</v>
      </c>
      <c r="X38" s="512">
        <v>14.606797769794008</v>
      </c>
      <c r="Y38" s="512">
        <v>15.119194412606996</v>
      </c>
      <c r="Z38" s="512">
        <v>16.387315327413003</v>
      </c>
      <c r="AA38" s="512">
        <v>19.396711529215999</v>
      </c>
      <c r="AB38" s="512">
        <v>15.694678129113001</v>
      </c>
      <c r="AC38" s="512">
        <v>15.629992317616994</v>
      </c>
      <c r="AD38" s="512">
        <v>8.5982636536590107</v>
      </c>
      <c r="AE38" s="512">
        <v>8.3524888203310006</v>
      </c>
      <c r="AF38" s="512">
        <v>10.438192297765998</v>
      </c>
      <c r="AG38" s="512">
        <v>8.942154580000004</v>
      </c>
      <c r="AH38" s="512">
        <v>12.123119959999997</v>
      </c>
      <c r="AI38" s="512">
        <v>9.9914872199999998</v>
      </c>
      <c r="AJ38" s="512">
        <v>10.633213389999991</v>
      </c>
      <c r="AK38" s="512">
        <v>15.135496139999999</v>
      </c>
      <c r="AL38" s="512">
        <v>12.26796014</v>
      </c>
      <c r="AM38" s="512">
        <v>9.4486492399999911</v>
      </c>
      <c r="AN38" s="512">
        <v>8.5116829600000106</v>
      </c>
      <c r="AO38" s="513">
        <v>8.9783699599999913</v>
      </c>
      <c r="AP38" s="513">
        <v>9.1002109599999983</v>
      </c>
      <c r="AQ38" s="513">
        <v>9.4573140000000002</v>
      </c>
      <c r="AR38" s="513">
        <v>12.949643999999999</v>
      </c>
      <c r="AS38" s="513">
        <v>15.529333999999999</v>
      </c>
      <c r="AT38" s="513">
        <v>12.122377</v>
      </c>
      <c r="AU38" s="513">
        <v>10.837873999999999</v>
      </c>
      <c r="AV38" s="513">
        <v>12.407376999999999</v>
      </c>
      <c r="AW38" s="513">
        <v>13.756131</v>
      </c>
      <c r="AX38" s="513">
        <v>11.081707</v>
      </c>
      <c r="AY38" s="513">
        <v>12.787836</v>
      </c>
      <c r="AZ38" s="513">
        <v>19.284112</v>
      </c>
      <c r="BA38" s="513">
        <v>20.909382000000001</v>
      </c>
      <c r="BB38" s="513">
        <v>20.245926999999998</v>
      </c>
      <c r="BC38" s="513">
        <v>20.801047000000001</v>
      </c>
      <c r="BD38" s="513">
        <v>22.928493</v>
      </c>
    </row>
    <row r="39" spans="1:56" ht="16.5" customHeight="1">
      <c r="A39" s="509" t="s">
        <v>436</v>
      </c>
      <c r="B39" s="510" t="s">
        <v>437</v>
      </c>
      <c r="C39" s="512">
        <v>0</v>
      </c>
      <c r="D39" s="512">
        <v>0</v>
      </c>
      <c r="E39" s="512">
        <v>0</v>
      </c>
      <c r="F39" s="512">
        <v>0</v>
      </c>
      <c r="G39" s="512">
        <v>0</v>
      </c>
      <c r="H39" s="512">
        <v>0</v>
      </c>
      <c r="I39" s="512">
        <v>0</v>
      </c>
      <c r="J39" s="512">
        <v>0</v>
      </c>
      <c r="K39" s="512">
        <v>0</v>
      </c>
      <c r="L39" s="512">
        <v>0</v>
      </c>
      <c r="M39" s="512">
        <v>0</v>
      </c>
      <c r="N39" s="512">
        <v>0</v>
      </c>
      <c r="O39" s="512">
        <v>0</v>
      </c>
      <c r="P39" s="512">
        <v>0</v>
      </c>
      <c r="Q39" s="512">
        <v>0</v>
      </c>
      <c r="R39" s="512">
        <v>0</v>
      </c>
      <c r="S39" s="512">
        <v>0</v>
      </c>
      <c r="T39" s="512">
        <v>0</v>
      </c>
      <c r="U39" s="512">
        <v>0</v>
      </c>
      <c r="V39" s="512">
        <v>0</v>
      </c>
      <c r="W39" s="512">
        <v>0</v>
      </c>
      <c r="X39" s="512">
        <v>0</v>
      </c>
      <c r="Y39" s="512">
        <v>0</v>
      </c>
      <c r="Z39" s="512">
        <v>0</v>
      </c>
      <c r="AA39" s="512">
        <v>0</v>
      </c>
      <c r="AB39" s="512">
        <v>0</v>
      </c>
      <c r="AC39" s="512">
        <v>0</v>
      </c>
      <c r="AD39" s="512">
        <v>0</v>
      </c>
      <c r="AE39" s="512">
        <v>0</v>
      </c>
      <c r="AF39" s="512">
        <v>0</v>
      </c>
      <c r="AG39" s="512">
        <v>0</v>
      </c>
      <c r="AH39" s="512">
        <v>0</v>
      </c>
      <c r="AI39" s="512">
        <v>0</v>
      </c>
      <c r="AJ39" s="512">
        <v>0</v>
      </c>
      <c r="AK39" s="512">
        <v>0</v>
      </c>
      <c r="AL39" s="512">
        <v>0</v>
      </c>
      <c r="AM39" s="512">
        <v>0</v>
      </c>
      <c r="AN39" s="512">
        <v>0</v>
      </c>
      <c r="AO39" s="513">
        <v>0</v>
      </c>
      <c r="AP39" s="513">
        <v>0</v>
      </c>
      <c r="AQ39" s="513">
        <v>0</v>
      </c>
      <c r="AR39" s="513">
        <v>0</v>
      </c>
      <c r="AS39" s="513">
        <v>0</v>
      </c>
      <c r="AT39" s="513">
        <v>0</v>
      </c>
      <c r="AU39" s="513">
        <v>0</v>
      </c>
      <c r="AV39" s="513">
        <v>0</v>
      </c>
      <c r="AW39" s="513">
        <v>0</v>
      </c>
      <c r="AX39" s="513">
        <v>0</v>
      </c>
      <c r="AY39" s="513">
        <v>0</v>
      </c>
      <c r="AZ39" s="513">
        <v>0</v>
      </c>
      <c r="BA39" s="513">
        <v>0</v>
      </c>
      <c r="BB39" s="513">
        <v>0</v>
      </c>
      <c r="BC39" s="513">
        <v>0</v>
      </c>
      <c r="BD39" s="513">
        <v>0</v>
      </c>
    </row>
    <row r="40" spans="1:56" ht="16.5" customHeight="1">
      <c r="A40" s="509" t="s">
        <v>438</v>
      </c>
      <c r="B40" s="510" t="s">
        <v>439</v>
      </c>
      <c r="C40" s="512">
        <v>151.18849263999999</v>
      </c>
      <c r="D40" s="512">
        <v>77.405761299999995</v>
      </c>
      <c r="E40" s="512">
        <v>83.725646879999985</v>
      </c>
      <c r="F40" s="512">
        <v>78.741567359999991</v>
      </c>
      <c r="G40" s="512">
        <v>74.193548989999996</v>
      </c>
      <c r="H40" s="512">
        <v>420.05215680999999</v>
      </c>
      <c r="I40" s="512">
        <v>124.97634945</v>
      </c>
      <c r="J40" s="512">
        <v>114.82181654999999</v>
      </c>
      <c r="K40" s="512">
        <v>242.85230366999997</v>
      </c>
      <c r="L40" s="512">
        <v>120.85366664</v>
      </c>
      <c r="M40" s="512">
        <v>125.65614223</v>
      </c>
      <c r="N40" s="512">
        <v>131.68978791999999</v>
      </c>
      <c r="O40" s="512">
        <v>127.02191062</v>
      </c>
      <c r="P40" s="512">
        <v>153.00566063999997</v>
      </c>
      <c r="Q40" s="512">
        <v>144.30428899</v>
      </c>
      <c r="R40" s="512">
        <v>159.8000069</v>
      </c>
      <c r="S40" s="512">
        <v>107.71701843999999</v>
      </c>
      <c r="T40" s="512">
        <v>216.47659336999999</v>
      </c>
      <c r="U40" s="512">
        <v>133.49698376000001</v>
      </c>
      <c r="V40" s="512">
        <v>131.41497039999999</v>
      </c>
      <c r="W40" s="512">
        <v>162.90843679</v>
      </c>
      <c r="X40" s="512">
        <v>214.26028678</v>
      </c>
      <c r="Y40" s="512">
        <v>130.82849535</v>
      </c>
      <c r="Z40" s="512">
        <v>128.35450184000001</v>
      </c>
      <c r="AA40" s="512">
        <v>114.79361229999999</v>
      </c>
      <c r="AB40" s="512">
        <v>107.10302213999999</v>
      </c>
      <c r="AC40" s="512">
        <v>112.67850859999999</v>
      </c>
      <c r="AD40" s="512">
        <v>116.71952302999999</v>
      </c>
      <c r="AE40" s="512">
        <v>96.500177889999989</v>
      </c>
      <c r="AF40" s="512">
        <v>177.66929225999999</v>
      </c>
      <c r="AG40" s="512">
        <v>189.12947324000001</v>
      </c>
      <c r="AH40" s="512">
        <v>59.687206289999999</v>
      </c>
      <c r="AI40" s="512">
        <v>213.64816574</v>
      </c>
      <c r="AJ40" s="512">
        <v>227.98555528999998</v>
      </c>
      <c r="AK40" s="512">
        <v>136.3385394</v>
      </c>
      <c r="AL40" s="512">
        <v>134.20941066</v>
      </c>
      <c r="AM40" s="512">
        <v>59.900090929999998</v>
      </c>
      <c r="AN40" s="512">
        <v>57.448535479999997</v>
      </c>
      <c r="AO40" s="513">
        <v>56.000030250000002</v>
      </c>
      <c r="AP40" s="513">
        <v>56.483998159999999</v>
      </c>
      <c r="AQ40" s="513">
        <v>59.056053979999994</v>
      </c>
      <c r="AR40" s="513">
        <v>298.53320563</v>
      </c>
      <c r="AS40" s="513">
        <v>74.837885909999997</v>
      </c>
      <c r="AT40" s="513">
        <v>76.618115129999993</v>
      </c>
      <c r="AU40" s="513">
        <v>154.46081095</v>
      </c>
      <c r="AV40" s="513">
        <v>84.412690709999993</v>
      </c>
      <c r="AW40" s="513">
        <v>162.32298983000001</v>
      </c>
      <c r="AX40" s="513">
        <v>316.48127357999999</v>
      </c>
      <c r="AY40" s="513">
        <v>56.080529640000002</v>
      </c>
      <c r="AZ40" s="513">
        <v>72.788152139999994</v>
      </c>
      <c r="BA40" s="513">
        <v>66.796112409999992</v>
      </c>
      <c r="BB40" s="513">
        <v>65.045760549999997</v>
      </c>
      <c r="BC40" s="513">
        <v>58.221760060000001</v>
      </c>
      <c r="BD40" s="513">
        <v>263.67519028999999</v>
      </c>
    </row>
    <row r="41" spans="1:56" ht="16.5" customHeight="1">
      <c r="A41" s="509"/>
      <c r="B41" s="510"/>
      <c r="C41" s="511"/>
      <c r="D41" s="511"/>
      <c r="E41" s="511"/>
      <c r="F41" s="511"/>
      <c r="G41" s="511"/>
      <c r="H41" s="511"/>
      <c r="I41" s="511"/>
      <c r="J41" s="511"/>
      <c r="K41" s="511"/>
      <c r="L41" s="511"/>
      <c r="M41" s="511"/>
      <c r="N41" s="511"/>
      <c r="O41" s="511"/>
      <c r="P41" s="511"/>
      <c r="Q41" s="511"/>
      <c r="R41" s="511"/>
      <c r="S41" s="511"/>
      <c r="T41" s="511"/>
      <c r="U41" s="511"/>
      <c r="V41" s="511"/>
      <c r="W41" s="511"/>
      <c r="X41" s="511"/>
      <c r="Y41" s="511"/>
      <c r="Z41" s="511"/>
      <c r="AA41" s="511"/>
      <c r="AB41" s="511"/>
      <c r="AC41" s="511"/>
      <c r="AD41" s="511"/>
      <c r="AE41" s="511"/>
      <c r="AF41" s="511"/>
      <c r="AG41" s="511"/>
      <c r="AH41" s="511"/>
      <c r="AI41" s="511"/>
      <c r="AJ41" s="511"/>
      <c r="AK41" s="511"/>
      <c r="AL41" s="511"/>
      <c r="AM41" s="511"/>
      <c r="AN41" s="511"/>
      <c r="AO41" s="504"/>
      <c r="AP41" s="504"/>
      <c r="AQ41" s="504"/>
      <c r="AR41" s="504"/>
      <c r="AS41" s="504"/>
      <c r="AT41" s="504"/>
      <c r="AU41" s="504"/>
      <c r="AV41" s="504"/>
      <c r="AW41" s="504"/>
      <c r="AX41" s="504"/>
      <c r="AY41" s="504"/>
      <c r="AZ41" s="504"/>
      <c r="BA41" s="504"/>
      <c r="BB41" s="504"/>
      <c r="BC41" s="504"/>
      <c r="BD41" s="504"/>
    </row>
    <row r="42" spans="1:56" ht="16.5" customHeight="1">
      <c r="A42" s="505" t="s">
        <v>440</v>
      </c>
      <c r="B42" s="506" t="s">
        <v>441</v>
      </c>
      <c r="C42" s="507">
        <v>29966.975270430004</v>
      </c>
      <c r="D42" s="507">
        <v>31254.647347658003</v>
      </c>
      <c r="E42" s="507">
        <v>30372.563617634001</v>
      </c>
      <c r="F42" s="507">
        <v>30963.920489230004</v>
      </c>
      <c r="G42" s="507">
        <v>30613.226018459998</v>
      </c>
      <c r="H42" s="507">
        <v>33128.330575418004</v>
      </c>
      <c r="I42" s="507">
        <v>33789.267421356002</v>
      </c>
      <c r="J42" s="507">
        <v>33020.689187719807</v>
      </c>
      <c r="K42" s="507">
        <v>30534.132591883994</v>
      </c>
      <c r="L42" s="507">
        <v>31544.458324931002</v>
      </c>
      <c r="M42" s="507">
        <v>34977.812640402</v>
      </c>
      <c r="N42" s="507">
        <v>35949.448974421</v>
      </c>
      <c r="O42" s="507">
        <v>35192.75877875572</v>
      </c>
      <c r="P42" s="507">
        <v>34541.421341773646</v>
      </c>
      <c r="Q42" s="507">
        <v>36939.507580827478</v>
      </c>
      <c r="R42" s="507">
        <v>36646.860198302456</v>
      </c>
      <c r="S42" s="507">
        <v>36053.616068564763</v>
      </c>
      <c r="T42" s="507">
        <v>36084.724062089997</v>
      </c>
      <c r="U42" s="507">
        <v>36239.179683970557</v>
      </c>
      <c r="V42" s="507">
        <v>35220.694716186779</v>
      </c>
      <c r="W42" s="507">
        <v>35968.445858579995</v>
      </c>
      <c r="X42" s="507">
        <v>36491.476768018532</v>
      </c>
      <c r="Y42" s="507">
        <v>36444.609430624776</v>
      </c>
      <c r="Z42" s="507">
        <v>38789.824571191995</v>
      </c>
      <c r="AA42" s="507">
        <v>38832.313905730829</v>
      </c>
      <c r="AB42" s="507">
        <v>39201.650866966433</v>
      </c>
      <c r="AC42" s="507">
        <v>39598.520794407035</v>
      </c>
      <c r="AD42" s="507">
        <v>39343.312606860163</v>
      </c>
      <c r="AE42" s="507">
        <v>39252.326794396096</v>
      </c>
      <c r="AF42" s="507">
        <v>42619.680820155401</v>
      </c>
      <c r="AG42" s="507">
        <v>42577.058093508051</v>
      </c>
      <c r="AH42" s="507">
        <v>43504.518758566446</v>
      </c>
      <c r="AI42" s="507">
        <v>43201.277614377948</v>
      </c>
      <c r="AJ42" s="507">
        <v>42159.302407638199</v>
      </c>
      <c r="AK42" s="507">
        <v>42910.437745755764</v>
      </c>
      <c r="AL42" s="507">
        <v>40614.66020448348</v>
      </c>
      <c r="AM42" s="507">
        <v>42825.937377875787</v>
      </c>
      <c r="AN42" s="507">
        <v>43964.981252033365</v>
      </c>
      <c r="AO42" s="508">
        <v>42932.13565626496</v>
      </c>
      <c r="AP42" s="508">
        <v>40830.506188844367</v>
      </c>
      <c r="AQ42" s="508">
        <v>47274.165556918102</v>
      </c>
      <c r="AR42" s="508">
        <v>48436.776476322426</v>
      </c>
      <c r="AS42" s="508">
        <v>44985.178309535302</v>
      </c>
      <c r="AT42" s="508">
        <v>41348.617100414427</v>
      </c>
      <c r="AU42" s="508">
        <v>44235.655758825626</v>
      </c>
      <c r="AV42" s="508">
        <v>43755.652114609475</v>
      </c>
      <c r="AW42" s="508">
        <v>44181.708255133148</v>
      </c>
      <c r="AX42" s="508">
        <v>45777.675150546376</v>
      </c>
      <c r="AY42" s="508">
        <v>47958.153422024698</v>
      </c>
      <c r="AZ42" s="508">
        <v>52887.297649936125</v>
      </c>
      <c r="BA42" s="508">
        <v>52134.949325764224</v>
      </c>
      <c r="BB42" s="508">
        <v>56217.050935438325</v>
      </c>
      <c r="BC42" s="508">
        <v>55100.478066376672</v>
      </c>
      <c r="BD42" s="508">
        <v>56440.796463404222</v>
      </c>
    </row>
    <row r="43" spans="1:56" ht="16.5" customHeight="1">
      <c r="A43" s="509" t="s">
        <v>442</v>
      </c>
      <c r="B43" s="510" t="s">
        <v>435</v>
      </c>
      <c r="C43" s="512">
        <v>29905.948359430004</v>
      </c>
      <c r="D43" s="512">
        <v>31193.630936658003</v>
      </c>
      <c r="E43" s="512">
        <v>27311.545206634</v>
      </c>
      <c r="F43" s="512">
        <v>29202.901078230003</v>
      </c>
      <c r="G43" s="512">
        <v>30552.205607459997</v>
      </c>
      <c r="H43" s="512">
        <v>31067.309164418002</v>
      </c>
      <c r="I43" s="512">
        <v>33728.246010356001</v>
      </c>
      <c r="J43" s="512">
        <v>32959.665776719805</v>
      </c>
      <c r="K43" s="512">
        <v>30473.108180883995</v>
      </c>
      <c r="L43" s="512">
        <v>31483.433913931003</v>
      </c>
      <c r="M43" s="512">
        <v>34916.786229402001</v>
      </c>
      <c r="N43" s="512">
        <v>35888.421563420998</v>
      </c>
      <c r="O43" s="512">
        <v>35131.730367755721</v>
      </c>
      <c r="P43" s="512">
        <v>34480.391930773643</v>
      </c>
      <c r="Q43" s="512">
        <v>36878.477169827478</v>
      </c>
      <c r="R43" s="512">
        <v>36585.829787302457</v>
      </c>
      <c r="S43" s="512">
        <v>35982.459657564759</v>
      </c>
      <c r="T43" s="512">
        <v>36017.19423909</v>
      </c>
      <c r="U43" s="512">
        <v>36171.64986097056</v>
      </c>
      <c r="V43" s="512">
        <v>35153.164893186782</v>
      </c>
      <c r="W43" s="512">
        <v>35900.916035579998</v>
      </c>
      <c r="X43" s="512">
        <v>36423.946945018535</v>
      </c>
      <c r="Y43" s="512">
        <v>36377.079607624779</v>
      </c>
      <c r="Z43" s="512">
        <v>38722.294748191998</v>
      </c>
      <c r="AA43" s="512">
        <v>38764.784082730832</v>
      </c>
      <c r="AB43" s="512">
        <v>39134.121043966436</v>
      </c>
      <c r="AC43" s="512">
        <v>39530.990971407038</v>
      </c>
      <c r="AD43" s="512">
        <v>39275.779788860164</v>
      </c>
      <c r="AE43" s="512">
        <v>39184.793976396097</v>
      </c>
      <c r="AF43" s="512">
        <v>42552.138171155399</v>
      </c>
      <c r="AG43" s="512">
        <v>42506.010275508052</v>
      </c>
      <c r="AH43" s="512">
        <v>43433.470940566447</v>
      </c>
      <c r="AI43" s="512">
        <v>43130.22012637795</v>
      </c>
      <c r="AJ43" s="512">
        <v>42088.247914638203</v>
      </c>
      <c r="AK43" s="512">
        <v>42839.383252755768</v>
      </c>
      <c r="AL43" s="512">
        <v>40543.605711483484</v>
      </c>
      <c r="AM43" s="512">
        <v>42754.882884875791</v>
      </c>
      <c r="AN43" s="512">
        <v>43897.441759033369</v>
      </c>
      <c r="AO43" s="513">
        <v>42864.596163264956</v>
      </c>
      <c r="AP43" s="513">
        <v>40762.96669584437</v>
      </c>
      <c r="AQ43" s="513">
        <v>47206.626063918106</v>
      </c>
      <c r="AR43" s="513">
        <v>48369.236983322422</v>
      </c>
      <c r="AS43" s="513">
        <v>44917.638816535298</v>
      </c>
      <c r="AT43" s="513">
        <v>41281.077607414431</v>
      </c>
      <c r="AU43" s="513">
        <v>44168.116265825622</v>
      </c>
      <c r="AV43" s="513">
        <v>43688.112621609478</v>
      </c>
      <c r="AW43" s="513">
        <v>44114.168762133151</v>
      </c>
      <c r="AX43" s="513">
        <v>45710.135657546372</v>
      </c>
      <c r="AY43" s="513">
        <v>47890.613929024701</v>
      </c>
      <c r="AZ43" s="513">
        <v>52715.362689936119</v>
      </c>
      <c r="BA43" s="513">
        <v>51963.014365764218</v>
      </c>
      <c r="BB43" s="513">
        <v>56048.243475438321</v>
      </c>
      <c r="BC43" s="513">
        <v>54931.670606376669</v>
      </c>
      <c r="BD43" s="513">
        <v>56271.989003404218</v>
      </c>
    </row>
    <row r="44" spans="1:56" ht="16.5" customHeight="1">
      <c r="A44" s="509" t="s">
        <v>443</v>
      </c>
      <c r="B44" s="510" t="s">
        <v>437</v>
      </c>
      <c r="C44" s="512">
        <v>61.026910999999927</v>
      </c>
      <c r="D44" s="512">
        <v>61.016411000000062</v>
      </c>
      <c r="E44" s="512">
        <v>61.018411000000015</v>
      </c>
      <c r="F44" s="512">
        <v>61.019411000000218</v>
      </c>
      <c r="G44" s="512">
        <v>61.020410999999967</v>
      </c>
      <c r="H44" s="512">
        <v>61.021410999999716</v>
      </c>
      <c r="I44" s="512">
        <v>61.021411000000171</v>
      </c>
      <c r="J44" s="512">
        <v>61.023411000000124</v>
      </c>
      <c r="K44" s="512">
        <v>61.024410999999873</v>
      </c>
      <c r="L44" s="512">
        <v>61.024410999999873</v>
      </c>
      <c r="M44" s="512">
        <v>61.026410999999825</v>
      </c>
      <c r="N44" s="512">
        <v>61.027411000000029</v>
      </c>
      <c r="O44" s="512">
        <v>61.028410999999778</v>
      </c>
      <c r="P44" s="512">
        <v>61.029410999999982</v>
      </c>
      <c r="Q44" s="512">
        <v>61.030411000000186</v>
      </c>
      <c r="R44" s="512">
        <v>61.030411000000186</v>
      </c>
      <c r="S44" s="512">
        <v>71.156410999999935</v>
      </c>
      <c r="T44" s="512">
        <v>67.529822999999851</v>
      </c>
      <c r="U44" s="512">
        <v>67.529822999999851</v>
      </c>
      <c r="V44" s="512">
        <v>67.529822999999851</v>
      </c>
      <c r="W44" s="512">
        <v>67.529822999999851</v>
      </c>
      <c r="X44" s="512">
        <v>67.529822999999851</v>
      </c>
      <c r="Y44" s="512">
        <v>67.529822999999851</v>
      </c>
      <c r="Z44" s="512">
        <v>67.529822999999851</v>
      </c>
      <c r="AA44" s="512">
        <v>67.529822999999851</v>
      </c>
      <c r="AB44" s="512">
        <v>67.529822999999851</v>
      </c>
      <c r="AC44" s="512">
        <v>67.529822999999851</v>
      </c>
      <c r="AD44" s="512">
        <v>67.532818000000134</v>
      </c>
      <c r="AE44" s="512">
        <v>67.532818000000134</v>
      </c>
      <c r="AF44" s="512">
        <v>67.542648999999983</v>
      </c>
      <c r="AG44" s="512">
        <v>67.532818000000006</v>
      </c>
      <c r="AH44" s="512">
        <v>67.532818000000006</v>
      </c>
      <c r="AI44" s="512">
        <v>67.542487999999921</v>
      </c>
      <c r="AJ44" s="512">
        <v>67.539493000000093</v>
      </c>
      <c r="AK44" s="512">
        <v>67.539493000000093</v>
      </c>
      <c r="AL44" s="512">
        <v>67.539493000000093</v>
      </c>
      <c r="AM44" s="512">
        <v>67.539493000000093</v>
      </c>
      <c r="AN44" s="512">
        <v>67.53949300000022</v>
      </c>
      <c r="AO44" s="513">
        <v>67.53949300000022</v>
      </c>
      <c r="AP44" s="513">
        <v>67.539492999999766</v>
      </c>
      <c r="AQ44" s="513">
        <v>67.539492999999766</v>
      </c>
      <c r="AR44" s="513">
        <v>67.53949300000022</v>
      </c>
      <c r="AS44" s="513">
        <v>67.53949300000022</v>
      </c>
      <c r="AT44" s="513">
        <v>67.53949300000022</v>
      </c>
      <c r="AU44" s="513">
        <v>67.53949300000022</v>
      </c>
      <c r="AV44" s="513">
        <v>67.539492999999766</v>
      </c>
      <c r="AW44" s="513">
        <v>67.539492999999766</v>
      </c>
      <c r="AX44" s="513">
        <v>67.53949300000022</v>
      </c>
      <c r="AY44" s="513">
        <v>67.53949300000022</v>
      </c>
      <c r="AZ44" s="513">
        <v>64.790993000000043</v>
      </c>
      <c r="BA44" s="513">
        <v>64.790993000000043</v>
      </c>
      <c r="BB44" s="513">
        <v>58.063492999999994</v>
      </c>
      <c r="BC44" s="513">
        <v>58.063492999999994</v>
      </c>
      <c r="BD44" s="513">
        <v>58.063492999999994</v>
      </c>
    </row>
    <row r="45" spans="1:56" ht="16.5" customHeight="1">
      <c r="A45" s="509" t="s">
        <v>444</v>
      </c>
      <c r="B45" s="510" t="s">
        <v>439</v>
      </c>
      <c r="C45" s="512">
        <v>0</v>
      </c>
      <c r="D45" s="512">
        <v>0</v>
      </c>
      <c r="E45" s="512">
        <v>3000</v>
      </c>
      <c r="F45" s="512">
        <v>1700</v>
      </c>
      <c r="G45" s="512">
        <v>0</v>
      </c>
      <c r="H45" s="512">
        <v>2000</v>
      </c>
      <c r="I45" s="512">
        <v>0</v>
      </c>
      <c r="J45" s="512">
        <v>0</v>
      </c>
      <c r="K45" s="512">
        <v>0</v>
      </c>
      <c r="L45" s="512">
        <v>0</v>
      </c>
      <c r="M45" s="512">
        <v>0</v>
      </c>
      <c r="N45" s="512">
        <v>0</v>
      </c>
      <c r="O45" s="512">
        <v>0</v>
      </c>
      <c r="P45" s="512">
        <v>0</v>
      </c>
      <c r="Q45" s="512">
        <v>0</v>
      </c>
      <c r="R45" s="512">
        <v>0</v>
      </c>
      <c r="S45" s="512">
        <v>0</v>
      </c>
      <c r="T45" s="512">
        <v>0</v>
      </c>
      <c r="U45" s="512">
        <v>0</v>
      </c>
      <c r="V45" s="512">
        <v>0</v>
      </c>
      <c r="W45" s="512">
        <v>0</v>
      </c>
      <c r="X45" s="512">
        <v>0</v>
      </c>
      <c r="Y45" s="512">
        <v>0</v>
      </c>
      <c r="Z45" s="512">
        <v>0</v>
      </c>
      <c r="AA45" s="512">
        <v>0</v>
      </c>
      <c r="AB45" s="512">
        <v>0</v>
      </c>
      <c r="AC45" s="512">
        <v>0</v>
      </c>
      <c r="AD45" s="512">
        <v>0</v>
      </c>
      <c r="AE45" s="512">
        <v>0</v>
      </c>
      <c r="AF45" s="512">
        <v>0</v>
      </c>
      <c r="AG45" s="512">
        <v>3.5150000000000001</v>
      </c>
      <c r="AH45" s="512">
        <v>3.5150000000000001</v>
      </c>
      <c r="AI45" s="512">
        <v>3.5150000000000001</v>
      </c>
      <c r="AJ45" s="512">
        <v>3.5150000000000001</v>
      </c>
      <c r="AK45" s="512">
        <v>3.5150000000000001</v>
      </c>
      <c r="AL45" s="512">
        <v>3.5150000000000001</v>
      </c>
      <c r="AM45" s="512">
        <v>3.5150000000000001</v>
      </c>
      <c r="AN45" s="512">
        <v>0</v>
      </c>
      <c r="AO45" s="513">
        <v>0</v>
      </c>
      <c r="AP45" s="513">
        <v>0</v>
      </c>
      <c r="AQ45" s="513">
        <v>0</v>
      </c>
      <c r="AR45" s="513">
        <v>0</v>
      </c>
      <c r="AS45" s="513">
        <v>0</v>
      </c>
      <c r="AT45" s="513">
        <v>0</v>
      </c>
      <c r="AU45" s="513">
        <v>0</v>
      </c>
      <c r="AV45" s="513">
        <v>0</v>
      </c>
      <c r="AW45" s="513">
        <v>0</v>
      </c>
      <c r="AX45" s="513">
        <v>0</v>
      </c>
      <c r="AY45" s="513">
        <v>0</v>
      </c>
      <c r="AZ45" s="513">
        <v>107.143967</v>
      </c>
      <c r="BA45" s="513">
        <v>107.143967</v>
      </c>
      <c r="BB45" s="513">
        <v>110.743967</v>
      </c>
      <c r="BC45" s="513">
        <v>110.743967</v>
      </c>
      <c r="BD45" s="513">
        <v>110.743967</v>
      </c>
    </row>
    <row r="46" spans="1:56" ht="16.5" customHeight="1">
      <c r="A46" s="509"/>
      <c r="B46" s="510"/>
      <c r="C46" s="511"/>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c r="AJ46" s="511"/>
      <c r="AK46" s="511"/>
      <c r="AL46" s="511"/>
      <c r="AM46" s="511"/>
      <c r="AN46" s="511"/>
      <c r="AO46" s="504"/>
      <c r="AP46" s="504"/>
      <c r="AQ46" s="504"/>
      <c r="AR46" s="504"/>
      <c r="AS46" s="504"/>
      <c r="AT46" s="504"/>
      <c r="AU46" s="504"/>
      <c r="AV46" s="504"/>
      <c r="AW46" s="504"/>
      <c r="AX46" s="504"/>
      <c r="AY46" s="504"/>
      <c r="AZ46" s="504"/>
      <c r="BA46" s="504"/>
      <c r="BB46" s="504"/>
      <c r="BC46" s="504"/>
      <c r="BD46" s="504"/>
    </row>
    <row r="47" spans="1:56" ht="16.5" customHeight="1">
      <c r="A47" s="505" t="s">
        <v>445</v>
      </c>
      <c r="B47" s="506" t="s">
        <v>446</v>
      </c>
      <c r="C47" s="507">
        <v>0</v>
      </c>
      <c r="D47" s="507">
        <v>0</v>
      </c>
      <c r="E47" s="507">
        <v>0</v>
      </c>
      <c r="F47" s="507">
        <v>0</v>
      </c>
      <c r="G47" s="507">
        <v>0</v>
      </c>
      <c r="H47" s="507">
        <v>0</v>
      </c>
      <c r="I47" s="507">
        <v>0</v>
      </c>
      <c r="J47" s="507">
        <v>303.74899999999991</v>
      </c>
      <c r="K47" s="507">
        <v>502.16046600000004</v>
      </c>
      <c r="L47" s="507">
        <v>502.16046600000004</v>
      </c>
      <c r="M47" s="507">
        <v>502.16046600000004</v>
      </c>
      <c r="N47" s="507">
        <v>477.37821600000007</v>
      </c>
      <c r="O47" s="507">
        <v>522.35433200000011</v>
      </c>
      <c r="P47" s="507">
        <v>563.02008699999988</v>
      </c>
      <c r="Q47" s="507">
        <v>709.01456599999983</v>
      </c>
      <c r="R47" s="507">
        <v>760.30179399999975</v>
      </c>
      <c r="S47" s="507">
        <v>957.91281299999991</v>
      </c>
      <c r="T47" s="507">
        <v>1111.7664229999998</v>
      </c>
      <c r="U47" s="507">
        <v>1421.1139969999999</v>
      </c>
      <c r="V47" s="507">
        <v>1345.9546740000001</v>
      </c>
      <c r="W47" s="507">
        <v>1097.4000299999998</v>
      </c>
      <c r="X47" s="507">
        <v>1147.5015679999997</v>
      </c>
      <c r="Y47" s="507">
        <v>1074.3758809999999</v>
      </c>
      <c r="Z47" s="507">
        <v>973.89911399999983</v>
      </c>
      <c r="AA47" s="507">
        <v>987.01167250000026</v>
      </c>
      <c r="AB47" s="507">
        <v>987.61469880999994</v>
      </c>
      <c r="AC47" s="507">
        <v>987.90412218000029</v>
      </c>
      <c r="AD47" s="507">
        <v>964.24856999999986</v>
      </c>
      <c r="AE47" s="507">
        <v>815.01807333999989</v>
      </c>
      <c r="AF47" s="507">
        <v>829.00589168999988</v>
      </c>
      <c r="AG47" s="507">
        <v>879.56600669000034</v>
      </c>
      <c r="AH47" s="507">
        <v>783.56822769379312</v>
      </c>
      <c r="AI47" s="507">
        <v>728.4015081</v>
      </c>
      <c r="AJ47" s="507">
        <v>626.68072635999999</v>
      </c>
      <c r="AK47" s="507">
        <v>702.04092421000007</v>
      </c>
      <c r="AL47" s="507">
        <v>860.31270639999991</v>
      </c>
      <c r="AM47" s="507">
        <v>1136.02626151</v>
      </c>
      <c r="AN47" s="507">
        <v>1214.9587380400001</v>
      </c>
      <c r="AO47" s="508">
        <v>2300.1123070199992</v>
      </c>
      <c r="AP47" s="508">
        <v>2583.8162419999999</v>
      </c>
      <c r="AQ47" s="508">
        <v>2828.7816888536649</v>
      </c>
      <c r="AR47" s="508">
        <v>2783.8348632041857</v>
      </c>
      <c r="AS47" s="508">
        <v>2614.354993311681</v>
      </c>
      <c r="AT47" s="508">
        <v>2994.8673294889336</v>
      </c>
      <c r="AU47" s="508">
        <v>2660.8722954435084</v>
      </c>
      <c r="AV47" s="508">
        <v>2610.2756306442334</v>
      </c>
      <c r="AW47" s="508">
        <v>2571.964406937097</v>
      </c>
      <c r="AX47" s="508">
        <v>1818.6549297441982</v>
      </c>
      <c r="AY47" s="508">
        <v>1566.6874621341976</v>
      </c>
      <c r="AZ47" s="508">
        <v>1518.7520036264834</v>
      </c>
      <c r="BA47" s="508">
        <v>1626.8607322698992</v>
      </c>
      <c r="BB47" s="508">
        <v>1542.129128801779</v>
      </c>
      <c r="BC47" s="508">
        <v>1945.7750698424302</v>
      </c>
      <c r="BD47" s="508">
        <v>1906.2233462202012</v>
      </c>
    </row>
    <row r="48" spans="1:56" ht="16.5" customHeight="1">
      <c r="A48" s="509"/>
      <c r="B48" s="510"/>
      <c r="C48" s="511"/>
      <c r="D48" s="511"/>
      <c r="E48" s="511"/>
      <c r="F48" s="511"/>
      <c r="G48" s="511"/>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c r="AM48" s="511"/>
      <c r="AN48" s="511"/>
      <c r="AO48" s="504"/>
      <c r="AP48" s="504"/>
      <c r="AQ48" s="504"/>
      <c r="AR48" s="504"/>
      <c r="AS48" s="504"/>
      <c r="AT48" s="504"/>
      <c r="AU48" s="504"/>
      <c r="AV48" s="504"/>
      <c r="AW48" s="504"/>
      <c r="AX48" s="504"/>
      <c r="AY48" s="504"/>
      <c r="AZ48" s="504"/>
      <c r="BA48" s="504"/>
      <c r="BB48" s="504"/>
      <c r="BC48" s="504"/>
      <c r="BD48" s="504"/>
    </row>
    <row r="49" spans="1:56" ht="16.5" customHeight="1">
      <c r="A49" s="505" t="s">
        <v>447</v>
      </c>
      <c r="B49" s="506" t="s">
        <v>448</v>
      </c>
      <c r="C49" s="507">
        <v>0.97697899999999993</v>
      </c>
      <c r="D49" s="507">
        <v>0.97697899999999993</v>
      </c>
      <c r="E49" s="507">
        <v>0.97697899999999993</v>
      </c>
      <c r="F49" s="507">
        <v>0.97697899999999993</v>
      </c>
      <c r="G49" s="507">
        <v>700.304979</v>
      </c>
      <c r="H49" s="507">
        <v>0.97697899999999993</v>
      </c>
      <c r="I49" s="507">
        <v>0.97697899999999993</v>
      </c>
      <c r="J49" s="507">
        <v>1949.5115290000001</v>
      </c>
      <c r="K49" s="507">
        <v>6727.3778899999998</v>
      </c>
      <c r="L49" s="507">
        <v>6727.3778899999998</v>
      </c>
      <c r="M49" s="507">
        <v>6727.3778899999998</v>
      </c>
      <c r="N49" s="507">
        <v>5101.1285029999999</v>
      </c>
      <c r="O49" s="507">
        <v>5899.3738249999997</v>
      </c>
      <c r="P49" s="507">
        <v>7178.258124</v>
      </c>
      <c r="Q49" s="507">
        <v>6962.9102419999999</v>
      </c>
      <c r="R49" s="507">
        <v>7176.5287470000003</v>
      </c>
      <c r="S49" s="507">
        <v>8050.2318850000011</v>
      </c>
      <c r="T49" s="507">
        <v>9350.0623379999997</v>
      </c>
      <c r="U49" s="507">
        <v>10061.164205000001</v>
      </c>
      <c r="V49" s="507">
        <v>9783.8574340000014</v>
      </c>
      <c r="W49" s="507">
        <v>8884.4224610000001</v>
      </c>
      <c r="X49" s="507">
        <v>8906.7630180000015</v>
      </c>
      <c r="Y49" s="507">
        <v>8989.1163437203486</v>
      </c>
      <c r="Z49" s="507">
        <v>7621.8026020000007</v>
      </c>
      <c r="AA49" s="507">
        <v>8098.1933754899992</v>
      </c>
      <c r="AB49" s="507">
        <v>8103.3600904899986</v>
      </c>
      <c r="AC49" s="507">
        <v>7987.70630239</v>
      </c>
      <c r="AD49" s="507">
        <v>7666.8660758100004</v>
      </c>
      <c r="AE49" s="507">
        <v>7059.1474340511413</v>
      </c>
      <c r="AF49" s="507">
        <v>6924.8333079799986</v>
      </c>
      <c r="AG49" s="507">
        <v>6810.575498449999</v>
      </c>
      <c r="AH49" s="507">
        <v>5899.4714549999999</v>
      </c>
      <c r="AI49" s="507">
        <v>5548.3711433400003</v>
      </c>
      <c r="AJ49" s="507">
        <v>5151.53506191</v>
      </c>
      <c r="AK49" s="507">
        <v>5432.9948068099993</v>
      </c>
      <c r="AL49" s="507">
        <v>5650.9292838000001</v>
      </c>
      <c r="AM49" s="507">
        <v>8292.3251740800006</v>
      </c>
      <c r="AN49" s="507">
        <v>8229.7347259200014</v>
      </c>
      <c r="AO49" s="508">
        <v>10911.038199100001</v>
      </c>
      <c r="AP49" s="508">
        <v>12400.236332000002</v>
      </c>
      <c r="AQ49" s="508">
        <v>14397.987373506336</v>
      </c>
      <c r="AR49" s="508">
        <v>15073.430049965815</v>
      </c>
      <c r="AS49" s="508">
        <v>14639.647727208319</v>
      </c>
      <c r="AT49" s="508">
        <v>16841.729297471069</v>
      </c>
      <c r="AU49" s="508">
        <v>16527.854840426491</v>
      </c>
      <c r="AV49" s="508">
        <v>16256.050535835768</v>
      </c>
      <c r="AW49" s="508">
        <v>16006.596918962901</v>
      </c>
      <c r="AX49" s="508">
        <v>14816.341808295803</v>
      </c>
      <c r="AY49" s="508">
        <v>15805.867442425804</v>
      </c>
      <c r="AZ49" s="508">
        <v>16853.601829623516</v>
      </c>
      <c r="BA49" s="508">
        <v>19037.1664735501</v>
      </c>
      <c r="BB49" s="508">
        <v>19558.669342488218</v>
      </c>
      <c r="BC49" s="508">
        <v>21690.958455277567</v>
      </c>
      <c r="BD49" s="508">
        <v>21769.819955249801</v>
      </c>
    </row>
    <row r="50" spans="1:56" ht="16.5" customHeight="1">
      <c r="A50" s="509"/>
      <c r="B50" s="510"/>
      <c r="C50" s="511"/>
      <c r="D50" s="511"/>
      <c r="E50" s="511"/>
      <c r="F50" s="511"/>
      <c r="G50" s="511"/>
      <c r="H50" s="511"/>
      <c r="I50" s="511"/>
      <c r="J50" s="511"/>
      <c r="K50" s="511"/>
      <c r="L50" s="511"/>
      <c r="M50" s="511"/>
      <c r="N50" s="511"/>
      <c r="O50" s="511"/>
      <c r="P50" s="511"/>
      <c r="Q50" s="511"/>
      <c r="R50" s="511"/>
      <c r="S50" s="511"/>
      <c r="T50" s="511"/>
      <c r="U50" s="511"/>
      <c r="V50" s="511"/>
      <c r="W50" s="511"/>
      <c r="X50" s="511"/>
      <c r="Y50" s="511"/>
      <c r="Z50" s="511"/>
      <c r="AA50" s="511"/>
      <c r="AB50" s="511"/>
      <c r="AC50" s="511"/>
      <c r="AD50" s="511"/>
      <c r="AE50" s="511"/>
      <c r="AF50" s="511"/>
      <c r="AG50" s="511"/>
      <c r="AH50" s="511"/>
      <c r="AI50" s="511"/>
      <c r="AJ50" s="511"/>
      <c r="AK50" s="511"/>
      <c r="AL50" s="511"/>
      <c r="AM50" s="511"/>
      <c r="AN50" s="511"/>
      <c r="AO50" s="504"/>
      <c r="AP50" s="504"/>
      <c r="AQ50" s="504"/>
      <c r="AR50" s="504"/>
      <c r="AS50" s="504"/>
      <c r="AT50" s="504"/>
      <c r="AU50" s="504"/>
      <c r="AV50" s="504"/>
      <c r="AW50" s="504"/>
      <c r="AX50" s="504"/>
      <c r="AY50" s="504"/>
      <c r="AZ50" s="504"/>
      <c r="BA50" s="504"/>
      <c r="BB50" s="504"/>
      <c r="BC50" s="504"/>
      <c r="BD50" s="504"/>
    </row>
    <row r="51" spans="1:56" ht="16.5" customHeight="1">
      <c r="A51" s="505" t="s">
        <v>449</v>
      </c>
      <c r="B51" s="506" t="s">
        <v>201</v>
      </c>
      <c r="C51" s="507">
        <v>0</v>
      </c>
      <c r="D51" s="507">
        <v>0</v>
      </c>
      <c r="E51" s="507">
        <v>0</v>
      </c>
      <c r="F51" s="507">
        <v>0</v>
      </c>
      <c r="G51" s="507">
        <v>0</v>
      </c>
      <c r="H51" s="507">
        <v>0</v>
      </c>
      <c r="I51" s="507">
        <v>0</v>
      </c>
      <c r="J51" s="507">
        <v>0</v>
      </c>
      <c r="K51" s="507">
        <v>0</v>
      </c>
      <c r="L51" s="507">
        <v>0</v>
      </c>
      <c r="M51" s="507">
        <v>0</v>
      </c>
      <c r="N51" s="507">
        <v>0</v>
      </c>
      <c r="O51" s="507">
        <v>0</v>
      </c>
      <c r="P51" s="507">
        <v>0</v>
      </c>
      <c r="Q51" s="507">
        <v>0</v>
      </c>
      <c r="R51" s="507">
        <v>0</v>
      </c>
      <c r="S51" s="507">
        <v>0</v>
      </c>
      <c r="T51" s="507">
        <v>0</v>
      </c>
      <c r="U51" s="507">
        <v>0</v>
      </c>
      <c r="V51" s="507">
        <v>0</v>
      </c>
      <c r="W51" s="507">
        <v>0</v>
      </c>
      <c r="X51" s="507">
        <v>0</v>
      </c>
      <c r="Y51" s="507">
        <v>0</v>
      </c>
      <c r="Z51" s="507">
        <v>0</v>
      </c>
      <c r="AA51" s="507">
        <v>0</v>
      </c>
      <c r="AB51" s="507">
        <v>0</v>
      </c>
      <c r="AC51" s="507">
        <v>0</v>
      </c>
      <c r="AD51" s="507">
        <v>0</v>
      </c>
      <c r="AE51" s="507">
        <v>0</v>
      </c>
      <c r="AF51" s="507">
        <v>0</v>
      </c>
      <c r="AG51" s="507">
        <v>0</v>
      </c>
      <c r="AH51" s="507">
        <v>0</v>
      </c>
      <c r="AI51" s="507">
        <v>0</v>
      </c>
      <c r="AJ51" s="507">
        <v>0</v>
      </c>
      <c r="AK51" s="507">
        <v>0</v>
      </c>
      <c r="AL51" s="507">
        <v>0</v>
      </c>
      <c r="AM51" s="507">
        <v>0</v>
      </c>
      <c r="AN51" s="507">
        <v>0</v>
      </c>
      <c r="AO51" s="508">
        <v>0</v>
      </c>
      <c r="AP51" s="508">
        <v>0</v>
      </c>
      <c r="AQ51" s="508">
        <v>0</v>
      </c>
      <c r="AR51" s="508">
        <v>0</v>
      </c>
      <c r="AS51" s="508">
        <v>0</v>
      </c>
      <c r="AT51" s="508">
        <v>0</v>
      </c>
      <c r="AU51" s="508">
        <v>0</v>
      </c>
      <c r="AV51" s="508">
        <v>0</v>
      </c>
      <c r="AW51" s="508">
        <v>0</v>
      </c>
      <c r="AX51" s="508">
        <v>0</v>
      </c>
      <c r="AY51" s="508">
        <v>900</v>
      </c>
      <c r="AZ51" s="508">
        <v>0</v>
      </c>
      <c r="BA51" s="508">
        <v>0</v>
      </c>
      <c r="BB51" s="508">
        <v>0</v>
      </c>
      <c r="BC51" s="508">
        <v>0</v>
      </c>
      <c r="BD51" s="508">
        <v>0</v>
      </c>
    </row>
    <row r="52" spans="1:56" ht="16.5" customHeight="1">
      <c r="A52" s="509"/>
      <c r="B52" s="532"/>
      <c r="C52" s="511"/>
      <c r="D52" s="511"/>
      <c r="E52" s="511"/>
      <c r="F52" s="511"/>
      <c r="G52" s="511"/>
      <c r="H52" s="511"/>
      <c r="I52" s="511"/>
      <c r="J52" s="511"/>
      <c r="K52" s="511"/>
      <c r="L52" s="511"/>
      <c r="M52" s="511"/>
      <c r="N52" s="511"/>
      <c r="O52" s="511"/>
      <c r="P52" s="511"/>
      <c r="Q52" s="511"/>
      <c r="R52" s="511"/>
      <c r="S52" s="511"/>
      <c r="T52" s="511"/>
      <c r="U52" s="511"/>
      <c r="V52" s="511"/>
      <c r="W52" s="511"/>
      <c r="X52" s="511"/>
      <c r="Y52" s="511"/>
      <c r="Z52" s="511"/>
      <c r="AA52" s="511"/>
      <c r="AB52" s="511"/>
      <c r="AC52" s="511"/>
      <c r="AD52" s="511"/>
      <c r="AE52" s="511"/>
      <c r="AF52" s="511"/>
      <c r="AG52" s="511"/>
      <c r="AH52" s="511"/>
      <c r="AI52" s="511"/>
      <c r="AJ52" s="511"/>
      <c r="AK52" s="511"/>
      <c r="AL52" s="511"/>
      <c r="AM52" s="511"/>
      <c r="AN52" s="511"/>
      <c r="AO52" s="504"/>
      <c r="AP52" s="504"/>
      <c r="AQ52" s="504"/>
      <c r="AR52" s="504"/>
      <c r="AS52" s="504"/>
      <c r="AT52" s="504"/>
      <c r="AU52" s="504"/>
      <c r="AV52" s="504"/>
      <c r="AW52" s="504"/>
      <c r="AX52" s="504"/>
      <c r="AY52" s="504"/>
      <c r="AZ52" s="504"/>
      <c r="BA52" s="504"/>
      <c r="BB52" s="504"/>
      <c r="BC52" s="504"/>
      <c r="BD52" s="504"/>
    </row>
    <row r="53" spans="1:56" ht="16.5" customHeight="1">
      <c r="A53" s="505" t="s">
        <v>450</v>
      </c>
      <c r="B53" s="506" t="s">
        <v>421</v>
      </c>
      <c r="C53" s="507">
        <v>0</v>
      </c>
      <c r="D53" s="507">
        <v>0</v>
      </c>
      <c r="E53" s="507">
        <v>0</v>
      </c>
      <c r="F53" s="507">
        <v>0</v>
      </c>
      <c r="G53" s="507">
        <v>0</v>
      </c>
      <c r="H53" s="507">
        <v>0</v>
      </c>
      <c r="I53" s="507">
        <v>0</v>
      </c>
      <c r="J53" s="507">
        <v>0</v>
      </c>
      <c r="K53" s="507">
        <v>0</v>
      </c>
      <c r="L53" s="507">
        <v>0</v>
      </c>
      <c r="M53" s="507">
        <v>0</v>
      </c>
      <c r="N53" s="507">
        <v>0</v>
      </c>
      <c r="O53" s="507">
        <v>0</v>
      </c>
      <c r="P53" s="507">
        <v>0</v>
      </c>
      <c r="Q53" s="507">
        <v>0</v>
      </c>
      <c r="R53" s="507">
        <v>0</v>
      </c>
      <c r="S53" s="507">
        <v>0</v>
      </c>
      <c r="T53" s="507">
        <v>0</v>
      </c>
      <c r="U53" s="507">
        <v>0</v>
      </c>
      <c r="V53" s="507">
        <v>0</v>
      </c>
      <c r="W53" s="507">
        <v>0</v>
      </c>
      <c r="X53" s="507">
        <v>0</v>
      </c>
      <c r="Y53" s="507">
        <v>0</v>
      </c>
      <c r="Z53" s="507">
        <v>0</v>
      </c>
      <c r="AA53" s="507">
        <v>0</v>
      </c>
      <c r="AB53" s="507">
        <v>0</v>
      </c>
      <c r="AC53" s="507">
        <v>0</v>
      </c>
      <c r="AD53" s="507">
        <v>0</v>
      </c>
      <c r="AE53" s="507">
        <v>0</v>
      </c>
      <c r="AF53" s="507">
        <v>0</v>
      </c>
      <c r="AG53" s="507">
        <v>0</v>
      </c>
      <c r="AH53" s="507">
        <v>0</v>
      </c>
      <c r="AI53" s="507">
        <v>0</v>
      </c>
      <c r="AJ53" s="507">
        <v>0</v>
      </c>
      <c r="AK53" s="507">
        <v>0</v>
      </c>
      <c r="AL53" s="507">
        <v>0</v>
      </c>
      <c r="AM53" s="507">
        <v>0</v>
      </c>
      <c r="AN53" s="507">
        <v>0</v>
      </c>
      <c r="AO53" s="508">
        <v>0</v>
      </c>
      <c r="AP53" s="508">
        <v>0</v>
      </c>
      <c r="AQ53" s="508">
        <v>0</v>
      </c>
      <c r="AR53" s="508">
        <v>0</v>
      </c>
      <c r="AS53" s="508">
        <v>0</v>
      </c>
      <c r="AT53" s="508">
        <v>0</v>
      </c>
      <c r="AU53" s="508">
        <v>0</v>
      </c>
      <c r="AV53" s="508">
        <v>0</v>
      </c>
      <c r="AW53" s="508">
        <v>0</v>
      </c>
      <c r="AX53" s="508">
        <v>0</v>
      </c>
      <c r="AY53" s="508">
        <v>0</v>
      </c>
      <c r="AZ53" s="508">
        <v>0</v>
      </c>
      <c r="BA53" s="508">
        <v>0</v>
      </c>
      <c r="BB53" s="508">
        <v>0</v>
      </c>
      <c r="BC53" s="508">
        <v>0</v>
      </c>
      <c r="BD53" s="508">
        <v>0</v>
      </c>
    </row>
    <row r="54" spans="1:56" ht="16.5" customHeight="1">
      <c r="A54" s="509"/>
      <c r="B54" s="510"/>
      <c r="C54" s="511"/>
      <c r="D54" s="511"/>
      <c r="E54" s="511"/>
      <c r="F54" s="511"/>
      <c r="G54" s="511"/>
      <c r="H54" s="511"/>
      <c r="I54" s="511"/>
      <c r="J54" s="511"/>
      <c r="K54" s="511"/>
      <c r="L54" s="511"/>
      <c r="M54" s="511"/>
      <c r="N54" s="511"/>
      <c r="O54" s="511"/>
      <c r="P54" s="511"/>
      <c r="Q54" s="511"/>
      <c r="R54" s="511"/>
      <c r="S54" s="511"/>
      <c r="T54" s="511"/>
      <c r="U54" s="511"/>
      <c r="V54" s="511"/>
      <c r="W54" s="511"/>
      <c r="X54" s="511"/>
      <c r="Y54" s="511"/>
      <c r="Z54" s="511"/>
      <c r="AA54" s="511"/>
      <c r="AB54" s="511"/>
      <c r="AC54" s="511"/>
      <c r="AD54" s="511"/>
      <c r="AE54" s="511"/>
      <c r="AF54" s="511"/>
      <c r="AG54" s="511"/>
      <c r="AH54" s="511"/>
      <c r="AI54" s="511"/>
      <c r="AJ54" s="511"/>
      <c r="AK54" s="511"/>
      <c r="AL54" s="511"/>
      <c r="AM54" s="511"/>
      <c r="AN54" s="511"/>
      <c r="AO54" s="504"/>
      <c r="AP54" s="504"/>
      <c r="AQ54" s="504"/>
      <c r="AR54" s="504"/>
      <c r="AS54" s="504"/>
      <c r="AT54" s="504"/>
      <c r="AU54" s="504"/>
      <c r="AV54" s="504"/>
      <c r="AW54" s="504"/>
      <c r="AX54" s="504"/>
      <c r="AY54" s="504"/>
      <c r="AZ54" s="504"/>
      <c r="BA54" s="504"/>
      <c r="BB54" s="504"/>
      <c r="BC54" s="504"/>
      <c r="BD54" s="504"/>
    </row>
    <row r="55" spans="1:56" ht="16.5" customHeight="1">
      <c r="A55" s="505" t="s">
        <v>451</v>
      </c>
      <c r="B55" s="506" t="s">
        <v>423</v>
      </c>
      <c r="C55" s="507">
        <v>0</v>
      </c>
      <c r="D55" s="507">
        <v>0</v>
      </c>
      <c r="E55" s="507">
        <v>0</v>
      </c>
      <c r="F55" s="507">
        <v>0</v>
      </c>
      <c r="G55" s="507">
        <v>0</v>
      </c>
      <c r="H55" s="507">
        <v>0</v>
      </c>
      <c r="I55" s="507">
        <v>0</v>
      </c>
      <c r="J55" s="507">
        <v>0</v>
      </c>
      <c r="K55" s="507">
        <v>0</v>
      </c>
      <c r="L55" s="507">
        <v>0</v>
      </c>
      <c r="M55" s="507">
        <v>0</v>
      </c>
      <c r="N55" s="507">
        <v>0</v>
      </c>
      <c r="O55" s="507">
        <v>0</v>
      </c>
      <c r="P55" s="507">
        <v>0</v>
      </c>
      <c r="Q55" s="507">
        <v>0</v>
      </c>
      <c r="R55" s="507">
        <v>0</v>
      </c>
      <c r="S55" s="507">
        <v>0</v>
      </c>
      <c r="T55" s="507">
        <v>0</v>
      </c>
      <c r="U55" s="507">
        <v>0</v>
      </c>
      <c r="V55" s="507">
        <v>0</v>
      </c>
      <c r="W55" s="507">
        <v>0</v>
      </c>
      <c r="X55" s="507">
        <v>0</v>
      </c>
      <c r="Y55" s="507">
        <v>0</v>
      </c>
      <c r="Z55" s="507">
        <v>0</v>
      </c>
      <c r="AA55" s="507">
        <v>0</v>
      </c>
      <c r="AB55" s="507">
        <v>0</v>
      </c>
      <c r="AC55" s="507">
        <v>0</v>
      </c>
      <c r="AD55" s="507">
        <v>0</v>
      </c>
      <c r="AE55" s="507">
        <v>0</v>
      </c>
      <c r="AF55" s="507">
        <v>0</v>
      </c>
      <c r="AG55" s="507">
        <v>0</v>
      </c>
      <c r="AH55" s="507">
        <v>0</v>
      </c>
      <c r="AI55" s="507">
        <v>0</v>
      </c>
      <c r="AJ55" s="507">
        <v>0</v>
      </c>
      <c r="AK55" s="507">
        <v>0</v>
      </c>
      <c r="AL55" s="507">
        <v>0</v>
      </c>
      <c r="AM55" s="507">
        <v>0</v>
      </c>
      <c r="AN55" s="507">
        <v>0</v>
      </c>
      <c r="AO55" s="508">
        <v>0</v>
      </c>
      <c r="AP55" s="508">
        <v>0</v>
      </c>
      <c r="AQ55" s="508">
        <v>0</v>
      </c>
      <c r="AR55" s="508">
        <v>0</v>
      </c>
      <c r="AS55" s="508">
        <v>0</v>
      </c>
      <c r="AT55" s="508">
        <v>0</v>
      </c>
      <c r="AU55" s="508">
        <v>0</v>
      </c>
      <c r="AV55" s="508">
        <v>0</v>
      </c>
      <c r="AW55" s="508">
        <v>0</v>
      </c>
      <c r="AX55" s="508">
        <v>0</v>
      </c>
      <c r="AY55" s="508">
        <v>0</v>
      </c>
      <c r="AZ55" s="508">
        <v>0</v>
      </c>
      <c r="BA55" s="508">
        <v>0</v>
      </c>
      <c r="BB55" s="508">
        <v>0</v>
      </c>
      <c r="BC55" s="508">
        <v>0</v>
      </c>
      <c r="BD55" s="508">
        <v>0</v>
      </c>
    </row>
    <row r="56" spans="1:56" ht="16.5" customHeight="1">
      <c r="A56" s="509"/>
      <c r="B56" s="510"/>
      <c r="C56" s="511"/>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1"/>
      <c r="AL56" s="511"/>
      <c r="AM56" s="511"/>
      <c r="AN56" s="511"/>
      <c r="AO56" s="504"/>
      <c r="AP56" s="504"/>
      <c r="AQ56" s="504"/>
      <c r="AR56" s="504"/>
      <c r="AS56" s="504"/>
      <c r="AT56" s="504"/>
      <c r="AU56" s="504"/>
      <c r="AV56" s="504"/>
      <c r="AW56" s="504"/>
      <c r="AX56" s="504"/>
      <c r="AY56" s="504"/>
      <c r="AZ56" s="504"/>
      <c r="BA56" s="504"/>
      <c r="BB56" s="504"/>
      <c r="BC56" s="504"/>
      <c r="BD56" s="504"/>
    </row>
    <row r="57" spans="1:56" ht="16.5" customHeight="1">
      <c r="A57" s="505" t="s">
        <v>452</v>
      </c>
      <c r="B57" s="506" t="s">
        <v>453</v>
      </c>
      <c r="C57" s="507">
        <v>538.21283592999998</v>
      </c>
      <c r="D57" s="507">
        <v>486.14490092999995</v>
      </c>
      <c r="E57" s="507">
        <v>618.69126218000008</v>
      </c>
      <c r="F57" s="507">
        <v>512.37668000999997</v>
      </c>
      <c r="G57" s="507">
        <v>590.64657192999994</v>
      </c>
      <c r="H57" s="507">
        <v>929.23720615000002</v>
      </c>
      <c r="I57" s="507">
        <v>2338.0420034099998</v>
      </c>
      <c r="J57" s="507">
        <v>927.75824321999994</v>
      </c>
      <c r="K57" s="507">
        <v>1072.1266438399998</v>
      </c>
      <c r="L57" s="507">
        <v>1049.9736225899999</v>
      </c>
      <c r="M57" s="507">
        <v>921.2037224899999</v>
      </c>
      <c r="N57" s="507">
        <v>975.29421922999995</v>
      </c>
      <c r="O57" s="507">
        <v>1179.0680737399998</v>
      </c>
      <c r="P57" s="507">
        <v>845.18880186000001</v>
      </c>
      <c r="Q57" s="507">
        <v>867.82027834999997</v>
      </c>
      <c r="R57" s="507">
        <v>1070.84335545</v>
      </c>
      <c r="S57" s="507">
        <v>1155.9288818900002</v>
      </c>
      <c r="T57" s="507">
        <v>1215.97244467</v>
      </c>
      <c r="U57" s="507">
        <v>1354.25470415</v>
      </c>
      <c r="V57" s="507">
        <v>1353.74939073</v>
      </c>
      <c r="W57" s="507">
        <v>978.95630284999993</v>
      </c>
      <c r="X57" s="507">
        <v>1123.9420090399999</v>
      </c>
      <c r="Y57" s="507">
        <v>1187.4279252400001</v>
      </c>
      <c r="Z57" s="507">
        <v>1138.04615612</v>
      </c>
      <c r="AA57" s="507">
        <v>1126.1566596799998</v>
      </c>
      <c r="AB57" s="507">
        <v>1034.2038716699999</v>
      </c>
      <c r="AC57" s="507">
        <v>1047.56163956</v>
      </c>
      <c r="AD57" s="507">
        <v>1100.7612842200001</v>
      </c>
      <c r="AE57" s="507">
        <v>1237.1838996199999</v>
      </c>
      <c r="AF57" s="507">
        <v>911.68682326999988</v>
      </c>
      <c r="AG57" s="507">
        <v>1625.31888514</v>
      </c>
      <c r="AH57" s="507">
        <v>1549.26650855</v>
      </c>
      <c r="AI57" s="507">
        <v>1568.3670513499999</v>
      </c>
      <c r="AJ57" s="507">
        <v>1263.2788130399999</v>
      </c>
      <c r="AK57" s="507">
        <v>1250.9957634699999</v>
      </c>
      <c r="AL57" s="507">
        <v>1312.9801299100004</v>
      </c>
      <c r="AM57" s="507">
        <v>1373.2369780400002</v>
      </c>
      <c r="AN57" s="507">
        <v>1294.51844523</v>
      </c>
      <c r="AO57" s="508">
        <v>1309.22184118</v>
      </c>
      <c r="AP57" s="508">
        <v>1381.3287188100001</v>
      </c>
      <c r="AQ57" s="508">
        <v>1284.6913234800343</v>
      </c>
      <c r="AR57" s="508">
        <v>1128.0638976000148</v>
      </c>
      <c r="AS57" s="508">
        <v>1389.1377747299755</v>
      </c>
      <c r="AT57" s="508">
        <v>1621.9914351249708</v>
      </c>
      <c r="AU57" s="508">
        <v>1429.9281341417975</v>
      </c>
      <c r="AV57" s="508">
        <v>1350.8092643812051</v>
      </c>
      <c r="AW57" s="508">
        <v>1363.481055648788</v>
      </c>
      <c r="AX57" s="508">
        <v>1481.0242033974096</v>
      </c>
      <c r="AY57" s="508">
        <v>1369.1390704724565</v>
      </c>
      <c r="AZ57" s="508">
        <v>1211.890613675366</v>
      </c>
      <c r="BA57" s="508">
        <v>1287.3444427282561</v>
      </c>
      <c r="BB57" s="508">
        <v>1167.436104729722</v>
      </c>
      <c r="BC57" s="508">
        <v>1144.7062325860024</v>
      </c>
      <c r="BD57" s="508">
        <v>1218.0753440913661</v>
      </c>
    </row>
    <row r="58" spans="1:56" ht="16.5" customHeight="1">
      <c r="A58" s="509"/>
      <c r="B58" s="510"/>
      <c r="C58" s="511"/>
      <c r="D58" s="511"/>
      <c r="E58" s="511"/>
      <c r="F58" s="511"/>
      <c r="G58" s="511"/>
      <c r="H58" s="511"/>
      <c r="I58" s="511"/>
      <c r="J58" s="511"/>
      <c r="K58" s="511"/>
      <c r="L58" s="511"/>
      <c r="M58" s="511"/>
      <c r="N58" s="511"/>
      <c r="O58" s="511"/>
      <c r="P58" s="511"/>
      <c r="Q58" s="511"/>
      <c r="R58" s="511"/>
      <c r="S58" s="511"/>
      <c r="T58" s="511"/>
      <c r="U58" s="511"/>
      <c r="V58" s="511"/>
      <c r="W58" s="511"/>
      <c r="X58" s="511"/>
      <c r="Y58" s="511"/>
      <c r="Z58" s="511"/>
      <c r="AA58" s="511"/>
      <c r="AB58" s="511"/>
      <c r="AC58" s="511"/>
      <c r="AD58" s="511"/>
      <c r="AE58" s="511"/>
      <c r="AF58" s="511"/>
      <c r="AG58" s="511"/>
      <c r="AH58" s="511"/>
      <c r="AI58" s="511"/>
      <c r="AJ58" s="511"/>
      <c r="AK58" s="511"/>
      <c r="AL58" s="511"/>
      <c r="AM58" s="511"/>
      <c r="AN58" s="511"/>
      <c r="AO58" s="504"/>
      <c r="AP58" s="504"/>
      <c r="AQ58" s="504"/>
      <c r="AR58" s="504"/>
      <c r="AS58" s="504"/>
      <c r="AT58" s="504"/>
      <c r="AU58" s="504"/>
      <c r="AV58" s="504"/>
      <c r="AW58" s="504"/>
      <c r="AX58" s="504"/>
      <c r="AY58" s="504"/>
      <c r="AZ58" s="504"/>
      <c r="BA58" s="504"/>
      <c r="BB58" s="504"/>
      <c r="BC58" s="504"/>
      <c r="BD58" s="504"/>
    </row>
    <row r="59" spans="1:56" ht="16.5" customHeight="1">
      <c r="A59" s="505" t="s">
        <v>454</v>
      </c>
      <c r="B59" s="506" t="s">
        <v>419</v>
      </c>
      <c r="C59" s="507">
        <v>19964.110167409999</v>
      </c>
      <c r="D59" s="507">
        <v>20456.15655851</v>
      </c>
      <c r="E59" s="507">
        <v>20656.54350453</v>
      </c>
      <c r="F59" s="507">
        <v>20976.469956159999</v>
      </c>
      <c r="G59" s="507">
        <v>23542.384742170001</v>
      </c>
      <c r="H59" s="507">
        <v>20273.87106505</v>
      </c>
      <c r="I59" s="507">
        <v>18508.569286829999</v>
      </c>
      <c r="J59" s="507">
        <v>19472.344551769998</v>
      </c>
      <c r="K59" s="507">
        <v>20495.222189169999</v>
      </c>
      <c r="L59" s="507">
        <v>20301.791217229998</v>
      </c>
      <c r="M59" s="507">
        <v>20191.020255150001</v>
      </c>
      <c r="N59" s="507">
        <v>21361.044988709997</v>
      </c>
      <c r="O59" s="507">
        <v>19413.827296809999</v>
      </c>
      <c r="P59" s="507">
        <v>19582.327154340001</v>
      </c>
      <c r="Q59" s="507">
        <v>18243.485036359998</v>
      </c>
      <c r="R59" s="507">
        <v>17904.736877859999</v>
      </c>
      <c r="S59" s="507">
        <v>18921.887750959999</v>
      </c>
      <c r="T59" s="507">
        <v>20149.1601701</v>
      </c>
      <c r="U59" s="507">
        <v>18753.241767789998</v>
      </c>
      <c r="V59" s="507">
        <v>19617.36774234</v>
      </c>
      <c r="W59" s="507">
        <v>19604.223607199998</v>
      </c>
      <c r="X59" s="507">
        <v>21354.738473539997</v>
      </c>
      <c r="Y59" s="507">
        <v>20283.88373102</v>
      </c>
      <c r="Z59" s="507">
        <v>19542.970377909998</v>
      </c>
      <c r="AA59" s="507">
        <v>21291.50351029</v>
      </c>
      <c r="AB59" s="507">
        <v>21595.119234289999</v>
      </c>
      <c r="AC59" s="507">
        <v>20783.147565799998</v>
      </c>
      <c r="AD59" s="507">
        <v>21203.46923585</v>
      </c>
      <c r="AE59" s="507">
        <v>19954.35588607</v>
      </c>
      <c r="AF59" s="507">
        <v>23783.569044779997</v>
      </c>
      <c r="AG59" s="507">
        <v>23780.145553330003</v>
      </c>
      <c r="AH59" s="507">
        <v>23569.844059790001</v>
      </c>
      <c r="AI59" s="507">
        <v>25164.681625080102</v>
      </c>
      <c r="AJ59" s="507">
        <v>26025.415872760001</v>
      </c>
      <c r="AK59" s="507">
        <v>25692.210255179998</v>
      </c>
      <c r="AL59" s="507">
        <v>25383.877467489987</v>
      </c>
      <c r="AM59" s="507">
        <v>25930.891317520014</v>
      </c>
      <c r="AN59" s="507">
        <v>25189.279282339961</v>
      </c>
      <c r="AO59" s="508">
        <v>25613.860504809993</v>
      </c>
      <c r="AP59" s="508">
        <v>25224.743159949947</v>
      </c>
      <c r="AQ59" s="508">
        <v>23948.197494770015</v>
      </c>
      <c r="AR59" s="508">
        <v>21850.039449129999</v>
      </c>
      <c r="AS59" s="508">
        <v>22254.871252340021</v>
      </c>
      <c r="AT59" s="508">
        <v>21879.72865525998</v>
      </c>
      <c r="AU59" s="508">
        <v>22545.301191179984</v>
      </c>
      <c r="AV59" s="508">
        <v>22101.591468449988</v>
      </c>
      <c r="AW59" s="508">
        <v>21365.243426009973</v>
      </c>
      <c r="AX59" s="508">
        <v>20881.14524601998</v>
      </c>
      <c r="AY59" s="508">
        <v>20472.976203240014</v>
      </c>
      <c r="AZ59" s="508">
        <v>21487.784692900019</v>
      </c>
      <c r="BA59" s="508">
        <v>21928.267963229922</v>
      </c>
      <c r="BB59" s="508">
        <v>21797.014970980046</v>
      </c>
      <c r="BC59" s="508">
        <v>22086.19730513003</v>
      </c>
      <c r="BD59" s="508">
        <v>22617.393927699974</v>
      </c>
    </row>
    <row r="60" spans="1:56" ht="16.5" customHeight="1">
      <c r="A60" s="509"/>
      <c r="B60" s="510"/>
      <c r="C60" s="512"/>
      <c r="D60" s="512"/>
      <c r="E60" s="512"/>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04"/>
      <c r="AP60" s="504"/>
      <c r="AQ60" s="504"/>
      <c r="AR60" s="504"/>
      <c r="AS60" s="504"/>
      <c r="AT60" s="504"/>
      <c r="AU60" s="504"/>
      <c r="AV60" s="504"/>
      <c r="AW60" s="504"/>
      <c r="AX60" s="504"/>
      <c r="AY60" s="504"/>
      <c r="AZ60" s="504"/>
      <c r="BA60" s="504"/>
      <c r="BB60" s="504"/>
      <c r="BC60" s="504"/>
      <c r="BD60" s="504"/>
    </row>
    <row r="61" spans="1:56" ht="16.5" customHeight="1">
      <c r="A61" s="505"/>
      <c r="B61" s="506" t="s">
        <v>455</v>
      </c>
      <c r="C61" s="507">
        <v>69596.492978319991</v>
      </c>
      <c r="D61" s="507">
        <v>70941.137481892089</v>
      </c>
      <c r="E61" s="507">
        <v>70499.654408622795</v>
      </c>
      <c r="F61" s="507">
        <v>71302.400435399992</v>
      </c>
      <c r="G61" s="507">
        <v>74450.371189439247</v>
      </c>
      <c r="H61" s="507">
        <v>73422.694705203787</v>
      </c>
      <c r="I61" s="507">
        <v>73741.023017996515</v>
      </c>
      <c r="J61" s="507">
        <v>74913.405949937558</v>
      </c>
      <c r="K61" s="507">
        <v>78694.334379371867</v>
      </c>
      <c r="L61" s="507">
        <v>79392.890201197049</v>
      </c>
      <c r="M61" s="507">
        <v>82982.38913011353</v>
      </c>
      <c r="N61" s="507">
        <v>86612.239956321166</v>
      </c>
      <c r="O61" s="507">
        <v>83585.412843679136</v>
      </c>
      <c r="P61" s="507">
        <v>83414.251738604406</v>
      </c>
      <c r="Q61" s="507">
        <v>84435.871824729984</v>
      </c>
      <c r="R61" s="507">
        <v>84082.643758713326</v>
      </c>
      <c r="S61" s="507">
        <v>85853.7490461774</v>
      </c>
      <c r="T61" s="507">
        <v>88592.546954006102</v>
      </c>
      <c r="U61" s="507">
        <v>88882.225156140514</v>
      </c>
      <c r="V61" s="507">
        <v>89112.098273285083</v>
      </c>
      <c r="W61" s="507">
        <v>87868.85674328811</v>
      </c>
      <c r="X61" s="507">
        <v>91091.426085718325</v>
      </c>
      <c r="Y61" s="507">
        <v>89540.306184057728</v>
      </c>
      <c r="Z61" s="507">
        <v>92681.040481569406</v>
      </c>
      <c r="AA61" s="507">
        <v>93057.427462320033</v>
      </c>
      <c r="AB61" s="507">
        <v>93216.006621315551</v>
      </c>
      <c r="AC61" s="507">
        <v>92395.195668494649</v>
      </c>
      <c r="AD61" s="507">
        <v>92343.333515853825</v>
      </c>
      <c r="AE61" s="507">
        <v>90504.874658527566</v>
      </c>
      <c r="AF61" s="507">
        <v>97002.375047003166</v>
      </c>
      <c r="AG61" s="507">
        <v>98020.36266122805</v>
      </c>
      <c r="AH61" s="507">
        <v>97950.904823900244</v>
      </c>
      <c r="AI61" s="507">
        <v>98887.514704928049</v>
      </c>
      <c r="AJ61" s="507">
        <v>98497.729015718214</v>
      </c>
      <c r="AK61" s="507">
        <v>99356.306201215775</v>
      </c>
      <c r="AL61" s="507">
        <v>100930.55116470347</v>
      </c>
      <c r="AM61" s="507">
        <v>104790.8711862858</v>
      </c>
      <c r="AN61" s="507">
        <v>104458.18777059334</v>
      </c>
      <c r="AO61" s="508">
        <v>108086.37032072496</v>
      </c>
      <c r="AP61" s="508">
        <v>107405.78630819431</v>
      </c>
      <c r="AQ61" s="508">
        <v>114390.36744273815</v>
      </c>
      <c r="AR61" s="508">
        <v>113988.66618276245</v>
      </c>
      <c r="AS61" s="508">
        <v>111194.3348185853</v>
      </c>
      <c r="AT61" s="508">
        <v>110092.93683619938</v>
      </c>
      <c r="AU61" s="508">
        <v>112471.1827692574</v>
      </c>
      <c r="AV61" s="508">
        <v>111686.14588464067</v>
      </c>
      <c r="AW61" s="508">
        <v>111021.07279987191</v>
      </c>
      <c r="AX61" s="508">
        <v>115230.05499443377</v>
      </c>
      <c r="AY61" s="508">
        <v>115477.48536903718</v>
      </c>
      <c r="AZ61" s="508">
        <v>120988.83522910152</v>
      </c>
      <c r="BA61" s="508">
        <v>122871.29449204239</v>
      </c>
      <c r="BB61" s="508">
        <v>127088.77066029809</v>
      </c>
      <c r="BC61" s="508">
        <v>128069.4762808027</v>
      </c>
      <c r="BD61" s="508">
        <v>130583.81207642556</v>
      </c>
    </row>
    <row r="62" spans="1:56" ht="16.5" customHeight="1" thickBot="1">
      <c r="A62" s="533"/>
      <c r="B62" s="534"/>
      <c r="C62" s="535"/>
      <c r="D62" s="535"/>
      <c r="E62" s="535"/>
      <c r="F62" s="535"/>
      <c r="G62" s="535"/>
      <c r="H62" s="535"/>
      <c r="I62" s="535"/>
      <c r="J62" s="536"/>
      <c r="K62" s="537"/>
      <c r="L62" s="537"/>
      <c r="M62" s="537"/>
      <c r="N62" s="537"/>
      <c r="O62" s="537"/>
      <c r="P62" s="537"/>
      <c r="Q62" s="537"/>
      <c r="R62" s="537"/>
      <c r="S62" s="537"/>
      <c r="T62" s="537"/>
      <c r="U62" s="537"/>
      <c r="V62" s="538"/>
      <c r="W62" s="538"/>
      <c r="X62" s="538"/>
      <c r="Y62" s="538"/>
      <c r="Z62" s="538"/>
      <c r="AA62" s="538"/>
      <c r="AB62" s="538"/>
      <c r="AC62" s="538"/>
      <c r="AD62" s="538"/>
      <c r="AE62" s="538"/>
      <c r="AF62" s="538"/>
      <c r="AG62" s="538"/>
      <c r="AH62" s="538"/>
      <c r="AI62" s="538"/>
      <c r="AJ62" s="538"/>
      <c r="AK62" s="538"/>
      <c r="AL62" s="538"/>
      <c r="AM62" s="538"/>
      <c r="AN62" s="538"/>
      <c r="AO62" s="539"/>
      <c r="AP62" s="539"/>
      <c r="AQ62" s="539"/>
      <c r="AR62" s="539"/>
      <c r="AS62" s="539"/>
      <c r="AT62" s="539"/>
      <c r="AU62" s="539"/>
      <c r="AV62" s="539"/>
      <c r="AW62" s="539"/>
      <c r="AX62" s="539"/>
      <c r="AY62" s="539"/>
      <c r="AZ62" s="539"/>
      <c r="BA62" s="539"/>
      <c r="BB62" s="539"/>
      <c r="BC62" s="539"/>
      <c r="BD62" s="539"/>
    </row>
    <row r="63" spans="1:56" ht="17.25" customHeight="1" thickTop="1">
      <c r="A63" s="482" t="s">
        <v>456</v>
      </c>
      <c r="B63" s="455"/>
    </row>
    <row r="64" spans="1:56" ht="14.25" customHeight="1">
      <c r="A64" s="540" t="s">
        <v>457</v>
      </c>
      <c r="B64" s="541"/>
    </row>
    <row r="65" spans="1:56" ht="14.25" customHeight="1">
      <c r="A65" s="542" t="s">
        <v>458</v>
      </c>
      <c r="B65" s="541"/>
    </row>
    <row r="66" spans="1:56" ht="14.25" customHeight="1">
      <c r="A66" s="482" t="s">
        <v>240</v>
      </c>
      <c r="B66" s="455"/>
    </row>
    <row r="67" spans="1:56" ht="13.5" customHeight="1">
      <c r="A67" s="482" t="s">
        <v>180</v>
      </c>
      <c r="B67" s="455"/>
    </row>
    <row r="68" spans="1:56">
      <c r="A68" s="543"/>
    </row>
    <row r="70" spans="1:56" ht="15.75">
      <c r="A70" s="522"/>
      <c r="B70" s="522"/>
      <c r="C70" s="522"/>
      <c r="D70" s="522"/>
      <c r="E70" s="522"/>
      <c r="F70" s="522"/>
      <c r="G70" s="522"/>
      <c r="H70" s="522"/>
      <c r="I70" s="522"/>
      <c r="J70" s="522"/>
      <c r="K70" s="522"/>
      <c r="L70" s="522"/>
      <c r="M70" s="522"/>
      <c r="N70" s="522"/>
      <c r="O70" s="522"/>
      <c r="P70" s="522"/>
      <c r="Q70" s="522"/>
      <c r="R70" s="522"/>
      <c r="S70" s="522"/>
      <c r="T70" s="522"/>
      <c r="U70" s="522"/>
      <c r="V70" s="522"/>
      <c r="W70" s="522"/>
      <c r="X70" s="522"/>
      <c r="Y70" s="522"/>
      <c r="Z70" s="522"/>
      <c r="AA70" s="522"/>
      <c r="AB70" s="522"/>
      <c r="AC70" s="522"/>
      <c r="AD70" s="522"/>
      <c r="AE70" s="522"/>
      <c r="AF70" s="522"/>
      <c r="AG70" s="522"/>
      <c r="AH70" s="522"/>
      <c r="AI70" s="522"/>
      <c r="AJ70" s="522"/>
      <c r="AK70" s="522"/>
      <c r="AL70" s="522"/>
      <c r="AM70" s="522"/>
      <c r="AN70" s="522"/>
      <c r="AO70" s="522"/>
      <c r="AP70" s="522"/>
      <c r="AQ70" s="522"/>
      <c r="AR70" s="522"/>
      <c r="AS70" s="522"/>
      <c r="AT70" s="522"/>
      <c r="AU70" s="522"/>
      <c r="AV70" s="522"/>
      <c r="AW70" s="522"/>
      <c r="AX70" s="522"/>
      <c r="AY70" s="522"/>
      <c r="AZ70" s="522"/>
      <c r="BA70" s="522"/>
      <c r="BB70" s="522"/>
      <c r="BC70" s="522"/>
      <c r="BD70" s="522"/>
    </row>
    <row r="71" spans="1:56" ht="15.75">
      <c r="A71" s="522"/>
      <c r="B71" s="522"/>
      <c r="C71" s="522"/>
      <c r="D71" s="522"/>
      <c r="E71" s="522"/>
      <c r="F71" s="522"/>
      <c r="G71" s="522"/>
      <c r="H71" s="522"/>
      <c r="I71" s="522"/>
      <c r="J71" s="522"/>
      <c r="K71" s="522"/>
      <c r="L71" s="522"/>
      <c r="M71" s="522"/>
      <c r="N71" s="522"/>
      <c r="O71" s="522"/>
      <c r="P71" s="522"/>
      <c r="Q71" s="522"/>
      <c r="R71" s="522"/>
      <c r="S71" s="522"/>
      <c r="T71" s="522"/>
      <c r="U71" s="522"/>
      <c r="V71" s="522"/>
      <c r="W71" s="522"/>
      <c r="X71" s="522"/>
      <c r="Y71" s="522"/>
      <c r="Z71" s="522"/>
      <c r="AA71" s="522"/>
      <c r="AB71" s="522"/>
      <c r="AC71" s="522"/>
      <c r="AD71" s="522"/>
      <c r="AE71" s="522"/>
      <c r="AF71" s="522"/>
      <c r="AG71" s="522"/>
      <c r="AH71" s="522"/>
      <c r="AI71" s="522"/>
      <c r="AJ71" s="522"/>
      <c r="AK71" s="522"/>
      <c r="AL71" s="522"/>
      <c r="AM71" s="522"/>
      <c r="AN71" s="522"/>
      <c r="AO71" s="522"/>
      <c r="AP71" s="522"/>
      <c r="AQ71" s="522"/>
      <c r="AR71" s="522"/>
      <c r="AS71" s="522"/>
      <c r="AT71" s="522"/>
      <c r="AU71" s="522"/>
      <c r="AV71" s="522"/>
      <c r="AW71" s="522"/>
      <c r="AX71" s="522"/>
      <c r="AY71" s="522"/>
      <c r="AZ71" s="522"/>
      <c r="BA71" s="522"/>
      <c r="BB71" s="522"/>
      <c r="BC71" s="522"/>
      <c r="BD71" s="522"/>
    </row>
    <row r="72" spans="1:56" ht="15.75">
      <c r="A72" s="522"/>
      <c r="B72" s="522"/>
      <c r="C72" s="522"/>
      <c r="D72" s="522"/>
      <c r="E72" s="522"/>
      <c r="F72" s="522"/>
      <c r="G72" s="522"/>
      <c r="H72" s="522"/>
      <c r="I72" s="522"/>
      <c r="J72" s="522"/>
      <c r="K72" s="522"/>
      <c r="L72" s="522"/>
      <c r="M72" s="522"/>
      <c r="N72" s="522"/>
      <c r="O72" s="522"/>
      <c r="P72" s="522"/>
      <c r="Q72" s="522"/>
      <c r="R72" s="522"/>
      <c r="S72" s="522"/>
      <c r="T72" s="522"/>
      <c r="U72" s="522"/>
      <c r="V72" s="522"/>
      <c r="W72" s="522"/>
      <c r="X72" s="522"/>
      <c r="Y72" s="522"/>
      <c r="Z72" s="522"/>
      <c r="AA72" s="522"/>
      <c r="AB72" s="522"/>
      <c r="AC72" s="522"/>
      <c r="AD72" s="522"/>
      <c r="AE72" s="522"/>
      <c r="AF72" s="522"/>
      <c r="AG72" s="522"/>
      <c r="AH72" s="522"/>
      <c r="AI72" s="522"/>
      <c r="AJ72" s="522"/>
      <c r="AK72" s="522"/>
      <c r="AL72" s="522"/>
      <c r="AM72" s="522"/>
      <c r="AN72" s="522"/>
      <c r="AO72" s="522"/>
      <c r="AP72" s="522"/>
      <c r="AQ72" s="522"/>
      <c r="AR72" s="522"/>
      <c r="AS72" s="522"/>
      <c r="AT72" s="522"/>
      <c r="AU72" s="522"/>
      <c r="AV72" s="522"/>
      <c r="AW72" s="522"/>
      <c r="AX72" s="522"/>
      <c r="AY72" s="522"/>
      <c r="AZ72" s="522"/>
      <c r="BA72" s="522"/>
      <c r="BB72" s="522"/>
      <c r="BC72" s="522"/>
      <c r="BD72" s="522"/>
    </row>
    <row r="73" spans="1:56" ht="15.75">
      <c r="A73" s="522"/>
      <c r="B73" s="522"/>
      <c r="C73" s="522"/>
      <c r="D73" s="522"/>
      <c r="E73" s="522"/>
      <c r="F73" s="522"/>
      <c r="G73" s="522"/>
      <c r="H73" s="522"/>
      <c r="I73" s="522"/>
      <c r="J73" s="522"/>
      <c r="K73" s="522"/>
      <c r="L73" s="522"/>
      <c r="M73" s="522"/>
      <c r="N73" s="522"/>
      <c r="O73" s="522"/>
      <c r="P73" s="522"/>
      <c r="Q73" s="522"/>
      <c r="R73" s="522"/>
      <c r="S73" s="522"/>
      <c r="T73" s="522"/>
      <c r="U73" s="522"/>
      <c r="V73" s="522"/>
      <c r="W73" s="522"/>
      <c r="X73" s="522"/>
      <c r="Y73" s="522"/>
      <c r="Z73" s="522"/>
      <c r="AA73" s="522"/>
      <c r="AB73" s="522"/>
      <c r="AC73" s="522"/>
      <c r="AD73" s="522"/>
      <c r="AE73" s="522"/>
      <c r="AF73" s="522"/>
      <c r="AG73" s="522"/>
      <c r="AH73" s="522"/>
      <c r="AI73" s="522"/>
      <c r="AJ73" s="522"/>
      <c r="AK73" s="522"/>
      <c r="AL73" s="522"/>
      <c r="AM73" s="522"/>
      <c r="AN73" s="522"/>
      <c r="AO73" s="522"/>
      <c r="AP73" s="522"/>
      <c r="AQ73" s="522"/>
      <c r="AR73" s="522"/>
      <c r="AS73" s="522"/>
      <c r="AT73" s="522"/>
      <c r="AU73" s="522"/>
      <c r="AV73" s="522"/>
      <c r="AW73" s="522"/>
      <c r="AX73" s="522"/>
      <c r="AY73" s="522"/>
      <c r="AZ73" s="522"/>
      <c r="BA73" s="522"/>
      <c r="BB73" s="522"/>
      <c r="BC73" s="522"/>
      <c r="BD73" s="522"/>
    </row>
  </sheetData>
  <printOptions horizontalCentered="1" verticalCentered="1"/>
  <pageMargins left="0" right="0" top="0.5" bottom="0" header="0" footer="0"/>
  <pageSetup paperSize="9" scale="53"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68"/>
  <sheetViews>
    <sheetView zoomScaleNormal="100" workbookViewId="0">
      <selection sqref="A1:DG67"/>
    </sheetView>
  </sheetViews>
  <sheetFormatPr defaultRowHeight="15"/>
  <cols>
    <col min="1" max="1" width="5.85546875" style="546" customWidth="1"/>
    <col min="2" max="2" width="57.140625" style="546" customWidth="1"/>
    <col min="3" max="43" width="9.140625" style="546" hidden="1" customWidth="1"/>
    <col min="44" max="44" width="9" style="546" hidden="1" customWidth="1"/>
    <col min="45" max="51" width="9.140625" style="546" hidden="1" customWidth="1"/>
    <col min="52" max="56" width="9" style="546" hidden="1" customWidth="1"/>
    <col min="57" max="61" width="8.85546875" style="546" hidden="1" customWidth="1"/>
    <col min="62" max="95" width="10.7109375" style="546" hidden="1" customWidth="1"/>
    <col min="96" max="96" width="11.85546875" style="546" hidden="1" customWidth="1"/>
    <col min="97" max="98" width="13.28515625" style="546" hidden="1" customWidth="1"/>
    <col min="99" max="111" width="13.28515625" style="546" customWidth="1"/>
    <col min="112" max="256" width="9.140625" style="546"/>
    <col min="257" max="257" width="5.85546875" style="546" customWidth="1"/>
    <col min="258" max="258" width="55.42578125" style="546" bestFit="1" customWidth="1"/>
    <col min="259" max="351" width="0" style="546" hidden="1" customWidth="1"/>
    <col min="352" max="362" width="10.7109375" style="546" customWidth="1"/>
    <col min="363" max="363" width="10.85546875" style="546" customWidth="1"/>
    <col min="364" max="364" width="10.7109375" style="546" bestFit="1" customWidth="1"/>
    <col min="365" max="512" width="9.140625" style="546"/>
    <col min="513" max="513" width="5.85546875" style="546" customWidth="1"/>
    <col min="514" max="514" width="55.42578125" style="546" bestFit="1" customWidth="1"/>
    <col min="515" max="607" width="0" style="546" hidden="1" customWidth="1"/>
    <col min="608" max="618" width="10.7109375" style="546" customWidth="1"/>
    <col min="619" max="619" width="10.85546875" style="546" customWidth="1"/>
    <col min="620" max="620" width="10.7109375" style="546" bestFit="1" customWidth="1"/>
    <col min="621" max="768" width="9.140625" style="546"/>
    <col min="769" max="769" width="5.85546875" style="546" customWidth="1"/>
    <col min="770" max="770" width="55.42578125" style="546" bestFit="1" customWidth="1"/>
    <col min="771" max="863" width="0" style="546" hidden="1" customWidth="1"/>
    <col min="864" max="874" width="10.7109375" style="546" customWidth="1"/>
    <col min="875" max="875" width="10.85546875" style="546" customWidth="1"/>
    <col min="876" max="876" width="10.7109375" style="546" bestFit="1" customWidth="1"/>
    <col min="877" max="1024" width="9.140625" style="546"/>
    <col min="1025" max="1025" width="5.85546875" style="546" customWidth="1"/>
    <col min="1026" max="1026" width="55.42578125" style="546" bestFit="1" customWidth="1"/>
    <col min="1027" max="1119" width="0" style="546" hidden="1" customWidth="1"/>
    <col min="1120" max="1130" width="10.7109375" style="546" customWidth="1"/>
    <col min="1131" max="1131" width="10.85546875" style="546" customWidth="1"/>
    <col min="1132" max="1132" width="10.7109375" style="546" bestFit="1" customWidth="1"/>
    <col min="1133" max="1280" width="9.140625" style="546"/>
    <col min="1281" max="1281" width="5.85546875" style="546" customWidth="1"/>
    <col min="1282" max="1282" width="55.42578125" style="546" bestFit="1" customWidth="1"/>
    <col min="1283" max="1375" width="0" style="546" hidden="1" customWidth="1"/>
    <col min="1376" max="1386" width="10.7109375" style="546" customWidth="1"/>
    <col min="1387" max="1387" width="10.85546875" style="546" customWidth="1"/>
    <col min="1388" max="1388" width="10.7109375" style="546" bestFit="1" customWidth="1"/>
    <col min="1389" max="1536" width="9.140625" style="546"/>
    <col min="1537" max="1537" width="5.85546875" style="546" customWidth="1"/>
    <col min="1538" max="1538" width="55.42578125" style="546" bestFit="1" customWidth="1"/>
    <col min="1539" max="1631" width="0" style="546" hidden="1" customWidth="1"/>
    <col min="1632" max="1642" width="10.7109375" style="546" customWidth="1"/>
    <col min="1643" max="1643" width="10.85546875" style="546" customWidth="1"/>
    <col min="1644" max="1644" width="10.7109375" style="546" bestFit="1" customWidth="1"/>
    <col min="1645" max="1792" width="9.140625" style="546"/>
    <col min="1793" max="1793" width="5.85546875" style="546" customWidth="1"/>
    <col min="1794" max="1794" width="55.42578125" style="546" bestFit="1" customWidth="1"/>
    <col min="1795" max="1887" width="0" style="546" hidden="1" customWidth="1"/>
    <col min="1888" max="1898" width="10.7109375" style="546" customWidth="1"/>
    <col min="1899" max="1899" width="10.85546875" style="546" customWidth="1"/>
    <col min="1900" max="1900" width="10.7109375" style="546" bestFit="1" customWidth="1"/>
    <col min="1901" max="2048" width="9.140625" style="546"/>
    <col min="2049" max="2049" width="5.85546875" style="546" customWidth="1"/>
    <col min="2050" max="2050" width="55.42578125" style="546" bestFit="1" customWidth="1"/>
    <col min="2051" max="2143" width="0" style="546" hidden="1" customWidth="1"/>
    <col min="2144" max="2154" width="10.7109375" style="546" customWidth="1"/>
    <col min="2155" max="2155" width="10.85546875" style="546" customWidth="1"/>
    <col min="2156" max="2156" width="10.7109375" style="546" bestFit="1" customWidth="1"/>
    <col min="2157" max="2304" width="9.140625" style="546"/>
    <col min="2305" max="2305" width="5.85546875" style="546" customWidth="1"/>
    <col min="2306" max="2306" width="55.42578125" style="546" bestFit="1" customWidth="1"/>
    <col min="2307" max="2399" width="0" style="546" hidden="1" customWidth="1"/>
    <col min="2400" max="2410" width="10.7109375" style="546" customWidth="1"/>
    <col min="2411" max="2411" width="10.85546875" style="546" customWidth="1"/>
    <col min="2412" max="2412" width="10.7109375" style="546" bestFit="1" customWidth="1"/>
    <col min="2413" max="2560" width="9.140625" style="546"/>
    <col min="2561" max="2561" width="5.85546875" style="546" customWidth="1"/>
    <col min="2562" max="2562" width="55.42578125" style="546" bestFit="1" customWidth="1"/>
    <col min="2563" max="2655" width="0" style="546" hidden="1" customWidth="1"/>
    <col min="2656" max="2666" width="10.7109375" style="546" customWidth="1"/>
    <col min="2667" max="2667" width="10.85546875" style="546" customWidth="1"/>
    <col min="2668" max="2668" width="10.7109375" style="546" bestFit="1" customWidth="1"/>
    <col min="2669" max="2816" width="9.140625" style="546"/>
    <col min="2817" max="2817" width="5.85546875" style="546" customWidth="1"/>
    <col min="2818" max="2818" width="55.42578125" style="546" bestFit="1" customWidth="1"/>
    <col min="2819" max="2911" width="0" style="546" hidden="1" customWidth="1"/>
    <col min="2912" max="2922" width="10.7109375" style="546" customWidth="1"/>
    <col min="2923" max="2923" width="10.85546875" style="546" customWidth="1"/>
    <col min="2924" max="2924" width="10.7109375" style="546" bestFit="1" customWidth="1"/>
    <col min="2925" max="3072" width="9.140625" style="546"/>
    <col min="3073" max="3073" width="5.85546875" style="546" customWidth="1"/>
    <col min="3074" max="3074" width="55.42578125" style="546" bestFit="1" customWidth="1"/>
    <col min="3075" max="3167" width="0" style="546" hidden="1" customWidth="1"/>
    <col min="3168" max="3178" width="10.7109375" style="546" customWidth="1"/>
    <col min="3179" max="3179" width="10.85546875" style="546" customWidth="1"/>
    <col min="3180" max="3180" width="10.7109375" style="546" bestFit="1" customWidth="1"/>
    <col min="3181" max="3328" width="9.140625" style="546"/>
    <col min="3329" max="3329" width="5.85546875" style="546" customWidth="1"/>
    <col min="3330" max="3330" width="55.42578125" style="546" bestFit="1" customWidth="1"/>
    <col min="3331" max="3423" width="0" style="546" hidden="1" customWidth="1"/>
    <col min="3424" max="3434" width="10.7109375" style="546" customWidth="1"/>
    <col min="3435" max="3435" width="10.85546875" style="546" customWidth="1"/>
    <col min="3436" max="3436" width="10.7109375" style="546" bestFit="1" customWidth="1"/>
    <col min="3437" max="3584" width="9.140625" style="546"/>
    <col min="3585" max="3585" width="5.85546875" style="546" customWidth="1"/>
    <col min="3586" max="3586" width="55.42578125" style="546" bestFit="1" customWidth="1"/>
    <col min="3587" max="3679" width="0" style="546" hidden="1" customWidth="1"/>
    <col min="3680" max="3690" width="10.7109375" style="546" customWidth="1"/>
    <col min="3691" max="3691" width="10.85546875" style="546" customWidth="1"/>
    <col min="3692" max="3692" width="10.7109375" style="546" bestFit="1" customWidth="1"/>
    <col min="3693" max="3840" width="9.140625" style="546"/>
    <col min="3841" max="3841" width="5.85546875" style="546" customWidth="1"/>
    <col min="3842" max="3842" width="55.42578125" style="546" bestFit="1" customWidth="1"/>
    <col min="3843" max="3935" width="0" style="546" hidden="1" customWidth="1"/>
    <col min="3936" max="3946" width="10.7109375" style="546" customWidth="1"/>
    <col min="3947" max="3947" width="10.85546875" style="546" customWidth="1"/>
    <col min="3948" max="3948" width="10.7109375" style="546" bestFit="1" customWidth="1"/>
    <col min="3949" max="4096" width="9.140625" style="546"/>
    <col min="4097" max="4097" width="5.85546875" style="546" customWidth="1"/>
    <col min="4098" max="4098" width="55.42578125" style="546" bestFit="1" customWidth="1"/>
    <col min="4099" max="4191" width="0" style="546" hidden="1" customWidth="1"/>
    <col min="4192" max="4202" width="10.7109375" style="546" customWidth="1"/>
    <col min="4203" max="4203" width="10.85546875" style="546" customWidth="1"/>
    <col min="4204" max="4204" width="10.7109375" style="546" bestFit="1" customWidth="1"/>
    <col min="4205" max="4352" width="9.140625" style="546"/>
    <col min="4353" max="4353" width="5.85546875" style="546" customWidth="1"/>
    <col min="4354" max="4354" width="55.42578125" style="546" bestFit="1" customWidth="1"/>
    <col min="4355" max="4447" width="0" style="546" hidden="1" customWidth="1"/>
    <col min="4448" max="4458" width="10.7109375" style="546" customWidth="1"/>
    <col min="4459" max="4459" width="10.85546875" style="546" customWidth="1"/>
    <col min="4460" max="4460" width="10.7109375" style="546" bestFit="1" customWidth="1"/>
    <col min="4461" max="4608" width="9.140625" style="546"/>
    <col min="4609" max="4609" width="5.85546875" style="546" customWidth="1"/>
    <col min="4610" max="4610" width="55.42578125" style="546" bestFit="1" customWidth="1"/>
    <col min="4611" max="4703" width="0" style="546" hidden="1" customWidth="1"/>
    <col min="4704" max="4714" width="10.7109375" style="546" customWidth="1"/>
    <col min="4715" max="4715" width="10.85546875" style="546" customWidth="1"/>
    <col min="4716" max="4716" width="10.7109375" style="546" bestFit="1" customWidth="1"/>
    <col min="4717" max="4864" width="9.140625" style="546"/>
    <col min="4865" max="4865" width="5.85546875" style="546" customWidth="1"/>
    <col min="4866" max="4866" width="55.42578125" style="546" bestFit="1" customWidth="1"/>
    <col min="4867" max="4959" width="0" style="546" hidden="1" customWidth="1"/>
    <col min="4960" max="4970" width="10.7109375" style="546" customWidth="1"/>
    <col min="4971" max="4971" width="10.85546875" style="546" customWidth="1"/>
    <col min="4972" max="4972" width="10.7109375" style="546" bestFit="1" customWidth="1"/>
    <col min="4973" max="5120" width="9.140625" style="546"/>
    <col min="5121" max="5121" width="5.85546875" style="546" customWidth="1"/>
    <col min="5122" max="5122" width="55.42578125" style="546" bestFit="1" customWidth="1"/>
    <col min="5123" max="5215" width="0" style="546" hidden="1" customWidth="1"/>
    <col min="5216" max="5226" width="10.7109375" style="546" customWidth="1"/>
    <col min="5227" max="5227" width="10.85546875" style="546" customWidth="1"/>
    <col min="5228" max="5228" width="10.7109375" style="546" bestFit="1" customWidth="1"/>
    <col min="5229" max="5376" width="9.140625" style="546"/>
    <col min="5377" max="5377" width="5.85546875" style="546" customWidth="1"/>
    <col min="5378" max="5378" width="55.42578125" style="546" bestFit="1" customWidth="1"/>
    <col min="5379" max="5471" width="0" style="546" hidden="1" customWidth="1"/>
    <col min="5472" max="5482" width="10.7109375" style="546" customWidth="1"/>
    <col min="5483" max="5483" width="10.85546875" style="546" customWidth="1"/>
    <col min="5484" max="5484" width="10.7109375" style="546" bestFit="1" customWidth="1"/>
    <col min="5485" max="5632" width="9.140625" style="546"/>
    <col min="5633" max="5633" width="5.85546875" style="546" customWidth="1"/>
    <col min="5634" max="5634" width="55.42578125" style="546" bestFit="1" customWidth="1"/>
    <col min="5635" max="5727" width="0" style="546" hidden="1" customWidth="1"/>
    <col min="5728" max="5738" width="10.7109375" style="546" customWidth="1"/>
    <col min="5739" max="5739" width="10.85546875" style="546" customWidth="1"/>
    <col min="5740" max="5740" width="10.7109375" style="546" bestFit="1" customWidth="1"/>
    <col min="5741" max="5888" width="9.140625" style="546"/>
    <col min="5889" max="5889" width="5.85546875" style="546" customWidth="1"/>
    <col min="5890" max="5890" width="55.42578125" style="546" bestFit="1" customWidth="1"/>
    <col min="5891" max="5983" width="0" style="546" hidden="1" customWidth="1"/>
    <col min="5984" max="5994" width="10.7109375" style="546" customWidth="1"/>
    <col min="5995" max="5995" width="10.85546875" style="546" customWidth="1"/>
    <col min="5996" max="5996" width="10.7109375" style="546" bestFit="1" customWidth="1"/>
    <col min="5997" max="6144" width="9.140625" style="546"/>
    <col min="6145" max="6145" width="5.85546875" style="546" customWidth="1"/>
    <col min="6146" max="6146" width="55.42578125" style="546" bestFit="1" customWidth="1"/>
    <col min="6147" max="6239" width="0" style="546" hidden="1" customWidth="1"/>
    <col min="6240" max="6250" width="10.7109375" style="546" customWidth="1"/>
    <col min="6251" max="6251" width="10.85546875" style="546" customWidth="1"/>
    <col min="6252" max="6252" width="10.7109375" style="546" bestFit="1" customWidth="1"/>
    <col min="6253" max="6400" width="9.140625" style="546"/>
    <col min="6401" max="6401" width="5.85546875" style="546" customWidth="1"/>
    <col min="6402" max="6402" width="55.42578125" style="546" bestFit="1" customWidth="1"/>
    <col min="6403" max="6495" width="0" style="546" hidden="1" customWidth="1"/>
    <col min="6496" max="6506" width="10.7109375" style="546" customWidth="1"/>
    <col min="6507" max="6507" width="10.85546875" style="546" customWidth="1"/>
    <col min="6508" max="6508" width="10.7109375" style="546" bestFit="1" customWidth="1"/>
    <col min="6509" max="6656" width="9.140625" style="546"/>
    <col min="6657" max="6657" width="5.85546875" style="546" customWidth="1"/>
    <col min="6658" max="6658" width="55.42578125" style="546" bestFit="1" customWidth="1"/>
    <col min="6659" max="6751" width="0" style="546" hidden="1" customWidth="1"/>
    <col min="6752" max="6762" width="10.7109375" style="546" customWidth="1"/>
    <col min="6763" max="6763" width="10.85546875" style="546" customWidth="1"/>
    <col min="6764" max="6764" width="10.7109375" style="546" bestFit="1" customWidth="1"/>
    <col min="6765" max="6912" width="9.140625" style="546"/>
    <col min="6913" max="6913" width="5.85546875" style="546" customWidth="1"/>
    <col min="6914" max="6914" width="55.42578125" style="546" bestFit="1" customWidth="1"/>
    <col min="6915" max="7007" width="0" style="546" hidden="1" customWidth="1"/>
    <col min="7008" max="7018" width="10.7109375" style="546" customWidth="1"/>
    <col min="7019" max="7019" width="10.85546875" style="546" customWidth="1"/>
    <col min="7020" max="7020" width="10.7109375" style="546" bestFit="1" customWidth="1"/>
    <col min="7021" max="7168" width="9.140625" style="546"/>
    <col min="7169" max="7169" width="5.85546875" style="546" customWidth="1"/>
    <col min="7170" max="7170" width="55.42578125" style="546" bestFit="1" customWidth="1"/>
    <col min="7171" max="7263" width="0" style="546" hidden="1" customWidth="1"/>
    <col min="7264" max="7274" width="10.7109375" style="546" customWidth="1"/>
    <col min="7275" max="7275" width="10.85546875" style="546" customWidth="1"/>
    <col min="7276" max="7276" width="10.7109375" style="546" bestFit="1" customWidth="1"/>
    <col min="7277" max="7424" width="9.140625" style="546"/>
    <col min="7425" max="7425" width="5.85546875" style="546" customWidth="1"/>
    <col min="7426" max="7426" width="55.42578125" style="546" bestFit="1" customWidth="1"/>
    <col min="7427" max="7519" width="0" style="546" hidden="1" customWidth="1"/>
    <col min="7520" max="7530" width="10.7109375" style="546" customWidth="1"/>
    <col min="7531" max="7531" width="10.85546875" style="546" customWidth="1"/>
    <col min="7532" max="7532" width="10.7109375" style="546" bestFit="1" customWidth="1"/>
    <col min="7533" max="7680" width="9.140625" style="546"/>
    <col min="7681" max="7681" width="5.85546875" style="546" customWidth="1"/>
    <col min="7682" max="7682" width="55.42578125" style="546" bestFit="1" customWidth="1"/>
    <col min="7683" max="7775" width="0" style="546" hidden="1" customWidth="1"/>
    <col min="7776" max="7786" width="10.7109375" style="546" customWidth="1"/>
    <col min="7787" max="7787" width="10.85546875" style="546" customWidth="1"/>
    <col min="7788" max="7788" width="10.7109375" style="546" bestFit="1" customWidth="1"/>
    <col min="7789" max="7936" width="9.140625" style="546"/>
    <col min="7937" max="7937" width="5.85546875" style="546" customWidth="1"/>
    <col min="7938" max="7938" width="55.42578125" style="546" bestFit="1" customWidth="1"/>
    <col min="7939" max="8031" width="0" style="546" hidden="1" customWidth="1"/>
    <col min="8032" max="8042" width="10.7109375" style="546" customWidth="1"/>
    <col min="8043" max="8043" width="10.85546875" style="546" customWidth="1"/>
    <col min="8044" max="8044" width="10.7109375" style="546" bestFit="1" customWidth="1"/>
    <col min="8045" max="8192" width="9.140625" style="546"/>
    <col min="8193" max="8193" width="5.85546875" style="546" customWidth="1"/>
    <col min="8194" max="8194" width="55.42578125" style="546" bestFit="1" customWidth="1"/>
    <col min="8195" max="8287" width="0" style="546" hidden="1" customWidth="1"/>
    <col min="8288" max="8298" width="10.7109375" style="546" customWidth="1"/>
    <col min="8299" max="8299" width="10.85546875" style="546" customWidth="1"/>
    <col min="8300" max="8300" width="10.7109375" style="546" bestFit="1" customWidth="1"/>
    <col min="8301" max="8448" width="9.140625" style="546"/>
    <col min="8449" max="8449" width="5.85546875" style="546" customWidth="1"/>
    <col min="8450" max="8450" width="55.42578125" style="546" bestFit="1" customWidth="1"/>
    <col min="8451" max="8543" width="0" style="546" hidden="1" customWidth="1"/>
    <col min="8544" max="8554" width="10.7109375" style="546" customWidth="1"/>
    <col min="8555" max="8555" width="10.85546875" style="546" customWidth="1"/>
    <col min="8556" max="8556" width="10.7109375" style="546" bestFit="1" customWidth="1"/>
    <col min="8557" max="8704" width="9.140625" style="546"/>
    <col min="8705" max="8705" width="5.85546875" style="546" customWidth="1"/>
    <col min="8706" max="8706" width="55.42578125" style="546" bestFit="1" customWidth="1"/>
    <col min="8707" max="8799" width="0" style="546" hidden="1" customWidth="1"/>
    <col min="8800" max="8810" width="10.7109375" style="546" customWidth="1"/>
    <col min="8811" max="8811" width="10.85546875" style="546" customWidth="1"/>
    <col min="8812" max="8812" width="10.7109375" style="546" bestFit="1" customWidth="1"/>
    <col min="8813" max="8960" width="9.140625" style="546"/>
    <col min="8961" max="8961" width="5.85546875" style="546" customWidth="1"/>
    <col min="8962" max="8962" width="55.42578125" style="546" bestFit="1" customWidth="1"/>
    <col min="8963" max="9055" width="0" style="546" hidden="1" customWidth="1"/>
    <col min="9056" max="9066" width="10.7109375" style="546" customWidth="1"/>
    <col min="9067" max="9067" width="10.85546875" style="546" customWidth="1"/>
    <col min="9068" max="9068" width="10.7109375" style="546" bestFit="1" customWidth="1"/>
    <col min="9069" max="9216" width="9.140625" style="546"/>
    <col min="9217" max="9217" width="5.85546875" style="546" customWidth="1"/>
    <col min="9218" max="9218" width="55.42578125" style="546" bestFit="1" customWidth="1"/>
    <col min="9219" max="9311" width="0" style="546" hidden="1" customWidth="1"/>
    <col min="9312" max="9322" width="10.7109375" style="546" customWidth="1"/>
    <col min="9323" max="9323" width="10.85546875" style="546" customWidth="1"/>
    <col min="9324" max="9324" width="10.7109375" style="546" bestFit="1" customWidth="1"/>
    <col min="9325" max="9472" width="9.140625" style="546"/>
    <col min="9473" max="9473" width="5.85546875" style="546" customWidth="1"/>
    <col min="9474" max="9474" width="55.42578125" style="546" bestFit="1" customWidth="1"/>
    <col min="9475" max="9567" width="0" style="546" hidden="1" customWidth="1"/>
    <col min="9568" max="9578" width="10.7109375" style="546" customWidth="1"/>
    <col min="9579" max="9579" width="10.85546875" style="546" customWidth="1"/>
    <col min="9580" max="9580" width="10.7109375" style="546" bestFit="1" customWidth="1"/>
    <col min="9581" max="9728" width="9.140625" style="546"/>
    <col min="9729" max="9729" width="5.85546875" style="546" customWidth="1"/>
    <col min="9730" max="9730" width="55.42578125" style="546" bestFit="1" customWidth="1"/>
    <col min="9731" max="9823" width="0" style="546" hidden="1" customWidth="1"/>
    <col min="9824" max="9834" width="10.7109375" style="546" customWidth="1"/>
    <col min="9835" max="9835" width="10.85546875" style="546" customWidth="1"/>
    <col min="9836" max="9836" width="10.7109375" style="546" bestFit="1" customWidth="1"/>
    <col min="9837" max="9984" width="9.140625" style="546"/>
    <col min="9985" max="9985" width="5.85546875" style="546" customWidth="1"/>
    <col min="9986" max="9986" width="55.42578125" style="546" bestFit="1" customWidth="1"/>
    <col min="9987" max="10079" width="0" style="546" hidden="1" customWidth="1"/>
    <col min="10080" max="10090" width="10.7109375" style="546" customWidth="1"/>
    <col min="10091" max="10091" width="10.85546875" style="546" customWidth="1"/>
    <col min="10092" max="10092" width="10.7109375" style="546" bestFit="1" customWidth="1"/>
    <col min="10093" max="10240" width="9.140625" style="546"/>
    <col min="10241" max="10241" width="5.85546875" style="546" customWidth="1"/>
    <col min="10242" max="10242" width="55.42578125" style="546" bestFit="1" customWidth="1"/>
    <col min="10243" max="10335" width="0" style="546" hidden="1" customWidth="1"/>
    <col min="10336" max="10346" width="10.7109375" style="546" customWidth="1"/>
    <col min="10347" max="10347" width="10.85546875" style="546" customWidth="1"/>
    <col min="10348" max="10348" width="10.7109375" style="546" bestFit="1" customWidth="1"/>
    <col min="10349" max="10496" width="9.140625" style="546"/>
    <col min="10497" max="10497" width="5.85546875" style="546" customWidth="1"/>
    <col min="10498" max="10498" width="55.42578125" style="546" bestFit="1" customWidth="1"/>
    <col min="10499" max="10591" width="0" style="546" hidden="1" customWidth="1"/>
    <col min="10592" max="10602" width="10.7109375" style="546" customWidth="1"/>
    <col min="10603" max="10603" width="10.85546875" style="546" customWidth="1"/>
    <col min="10604" max="10604" width="10.7109375" style="546" bestFit="1" customWidth="1"/>
    <col min="10605" max="10752" width="9.140625" style="546"/>
    <col min="10753" max="10753" width="5.85546875" style="546" customWidth="1"/>
    <col min="10754" max="10754" width="55.42578125" style="546" bestFit="1" customWidth="1"/>
    <col min="10755" max="10847" width="0" style="546" hidden="1" customWidth="1"/>
    <col min="10848" max="10858" width="10.7109375" style="546" customWidth="1"/>
    <col min="10859" max="10859" width="10.85546875" style="546" customWidth="1"/>
    <col min="10860" max="10860" width="10.7109375" style="546" bestFit="1" customWidth="1"/>
    <col min="10861" max="11008" width="9.140625" style="546"/>
    <col min="11009" max="11009" width="5.85546875" style="546" customWidth="1"/>
    <col min="11010" max="11010" width="55.42578125" style="546" bestFit="1" customWidth="1"/>
    <col min="11011" max="11103" width="0" style="546" hidden="1" customWidth="1"/>
    <col min="11104" max="11114" width="10.7109375" style="546" customWidth="1"/>
    <col min="11115" max="11115" width="10.85546875" style="546" customWidth="1"/>
    <col min="11116" max="11116" width="10.7109375" style="546" bestFit="1" customWidth="1"/>
    <col min="11117" max="11264" width="9.140625" style="546"/>
    <col min="11265" max="11265" width="5.85546875" style="546" customWidth="1"/>
    <col min="11266" max="11266" width="55.42578125" style="546" bestFit="1" customWidth="1"/>
    <col min="11267" max="11359" width="0" style="546" hidden="1" customWidth="1"/>
    <col min="11360" max="11370" width="10.7109375" style="546" customWidth="1"/>
    <col min="11371" max="11371" width="10.85546875" style="546" customWidth="1"/>
    <col min="11372" max="11372" width="10.7109375" style="546" bestFit="1" customWidth="1"/>
    <col min="11373" max="11520" width="9.140625" style="546"/>
    <col min="11521" max="11521" width="5.85546875" style="546" customWidth="1"/>
    <col min="11522" max="11522" width="55.42578125" style="546" bestFit="1" customWidth="1"/>
    <col min="11523" max="11615" width="0" style="546" hidden="1" customWidth="1"/>
    <col min="11616" max="11626" width="10.7109375" style="546" customWidth="1"/>
    <col min="11627" max="11627" width="10.85546875" style="546" customWidth="1"/>
    <col min="11628" max="11628" width="10.7109375" style="546" bestFit="1" customWidth="1"/>
    <col min="11629" max="11776" width="9.140625" style="546"/>
    <col min="11777" max="11777" width="5.85546875" style="546" customWidth="1"/>
    <col min="11778" max="11778" width="55.42578125" style="546" bestFit="1" customWidth="1"/>
    <col min="11779" max="11871" width="0" style="546" hidden="1" customWidth="1"/>
    <col min="11872" max="11882" width="10.7109375" style="546" customWidth="1"/>
    <col min="11883" max="11883" width="10.85546875" style="546" customWidth="1"/>
    <col min="11884" max="11884" width="10.7109375" style="546" bestFit="1" customWidth="1"/>
    <col min="11885" max="12032" width="9.140625" style="546"/>
    <col min="12033" max="12033" width="5.85546875" style="546" customWidth="1"/>
    <col min="12034" max="12034" width="55.42578125" style="546" bestFit="1" customWidth="1"/>
    <col min="12035" max="12127" width="0" style="546" hidden="1" customWidth="1"/>
    <col min="12128" max="12138" width="10.7109375" style="546" customWidth="1"/>
    <col min="12139" max="12139" width="10.85546875" style="546" customWidth="1"/>
    <col min="12140" max="12140" width="10.7109375" style="546" bestFit="1" customWidth="1"/>
    <col min="12141" max="12288" width="9.140625" style="546"/>
    <col min="12289" max="12289" width="5.85546875" style="546" customWidth="1"/>
    <col min="12290" max="12290" width="55.42578125" style="546" bestFit="1" customWidth="1"/>
    <col min="12291" max="12383" width="0" style="546" hidden="1" customWidth="1"/>
    <col min="12384" max="12394" width="10.7109375" style="546" customWidth="1"/>
    <col min="12395" max="12395" width="10.85546875" style="546" customWidth="1"/>
    <col min="12396" max="12396" width="10.7109375" style="546" bestFit="1" customWidth="1"/>
    <col min="12397" max="12544" width="9.140625" style="546"/>
    <col min="12545" max="12545" width="5.85546875" style="546" customWidth="1"/>
    <col min="12546" max="12546" width="55.42578125" style="546" bestFit="1" customWidth="1"/>
    <col min="12547" max="12639" width="0" style="546" hidden="1" customWidth="1"/>
    <col min="12640" max="12650" width="10.7109375" style="546" customWidth="1"/>
    <col min="12651" max="12651" width="10.85546875" style="546" customWidth="1"/>
    <col min="12652" max="12652" width="10.7109375" style="546" bestFit="1" customWidth="1"/>
    <col min="12653" max="12800" width="9.140625" style="546"/>
    <col min="12801" max="12801" width="5.85546875" style="546" customWidth="1"/>
    <col min="12802" max="12802" width="55.42578125" style="546" bestFit="1" customWidth="1"/>
    <col min="12803" max="12895" width="0" style="546" hidden="1" customWidth="1"/>
    <col min="12896" max="12906" width="10.7109375" style="546" customWidth="1"/>
    <col min="12907" max="12907" width="10.85546875" style="546" customWidth="1"/>
    <col min="12908" max="12908" width="10.7109375" style="546" bestFit="1" customWidth="1"/>
    <col min="12909" max="13056" width="9.140625" style="546"/>
    <col min="13057" max="13057" width="5.85546875" style="546" customWidth="1"/>
    <col min="13058" max="13058" width="55.42578125" style="546" bestFit="1" customWidth="1"/>
    <col min="13059" max="13151" width="0" style="546" hidden="1" customWidth="1"/>
    <col min="13152" max="13162" width="10.7109375" style="546" customWidth="1"/>
    <col min="13163" max="13163" width="10.85546875" style="546" customWidth="1"/>
    <col min="13164" max="13164" width="10.7109375" style="546" bestFit="1" customWidth="1"/>
    <col min="13165" max="13312" width="9.140625" style="546"/>
    <col min="13313" max="13313" width="5.85546875" style="546" customWidth="1"/>
    <col min="13314" max="13314" width="55.42578125" style="546" bestFit="1" customWidth="1"/>
    <col min="13315" max="13407" width="0" style="546" hidden="1" customWidth="1"/>
    <col min="13408" max="13418" width="10.7109375" style="546" customWidth="1"/>
    <col min="13419" max="13419" width="10.85546875" style="546" customWidth="1"/>
    <col min="13420" max="13420" width="10.7109375" style="546" bestFit="1" customWidth="1"/>
    <col min="13421" max="13568" width="9.140625" style="546"/>
    <col min="13569" max="13569" width="5.85546875" style="546" customWidth="1"/>
    <col min="13570" max="13570" width="55.42578125" style="546" bestFit="1" customWidth="1"/>
    <col min="13571" max="13663" width="0" style="546" hidden="1" customWidth="1"/>
    <col min="13664" max="13674" width="10.7109375" style="546" customWidth="1"/>
    <col min="13675" max="13675" width="10.85546875" style="546" customWidth="1"/>
    <col min="13676" max="13676" width="10.7109375" style="546" bestFit="1" customWidth="1"/>
    <col min="13677" max="13824" width="9.140625" style="546"/>
    <col min="13825" max="13825" width="5.85546875" style="546" customWidth="1"/>
    <col min="13826" max="13826" width="55.42578125" style="546" bestFit="1" customWidth="1"/>
    <col min="13827" max="13919" width="0" style="546" hidden="1" customWidth="1"/>
    <col min="13920" max="13930" width="10.7109375" style="546" customWidth="1"/>
    <col min="13931" max="13931" width="10.85546875" style="546" customWidth="1"/>
    <col min="13932" max="13932" width="10.7109375" style="546" bestFit="1" customWidth="1"/>
    <col min="13933" max="14080" width="9.140625" style="546"/>
    <col min="14081" max="14081" width="5.85546875" style="546" customWidth="1"/>
    <col min="14082" max="14082" width="55.42578125" style="546" bestFit="1" customWidth="1"/>
    <col min="14083" max="14175" width="0" style="546" hidden="1" customWidth="1"/>
    <col min="14176" max="14186" width="10.7109375" style="546" customWidth="1"/>
    <col min="14187" max="14187" width="10.85546875" style="546" customWidth="1"/>
    <col min="14188" max="14188" width="10.7109375" style="546" bestFit="1" customWidth="1"/>
    <col min="14189" max="14336" width="9.140625" style="546"/>
    <col min="14337" max="14337" width="5.85546875" style="546" customWidth="1"/>
    <col min="14338" max="14338" width="55.42578125" style="546" bestFit="1" customWidth="1"/>
    <col min="14339" max="14431" width="0" style="546" hidden="1" customWidth="1"/>
    <col min="14432" max="14442" width="10.7109375" style="546" customWidth="1"/>
    <col min="14443" max="14443" width="10.85546875" style="546" customWidth="1"/>
    <col min="14444" max="14444" width="10.7109375" style="546" bestFit="1" customWidth="1"/>
    <col min="14445" max="14592" width="9.140625" style="546"/>
    <col min="14593" max="14593" width="5.85546875" style="546" customWidth="1"/>
    <col min="14594" max="14594" width="55.42578125" style="546" bestFit="1" customWidth="1"/>
    <col min="14595" max="14687" width="0" style="546" hidden="1" customWidth="1"/>
    <col min="14688" max="14698" width="10.7109375" style="546" customWidth="1"/>
    <col min="14699" max="14699" width="10.85546875" style="546" customWidth="1"/>
    <col min="14700" max="14700" width="10.7109375" style="546" bestFit="1" customWidth="1"/>
    <col min="14701" max="14848" width="9.140625" style="546"/>
    <col min="14849" max="14849" width="5.85546875" style="546" customWidth="1"/>
    <col min="14850" max="14850" width="55.42578125" style="546" bestFit="1" customWidth="1"/>
    <col min="14851" max="14943" width="0" style="546" hidden="1" customWidth="1"/>
    <col min="14944" max="14954" width="10.7109375" style="546" customWidth="1"/>
    <col min="14955" max="14955" width="10.85546875" style="546" customWidth="1"/>
    <col min="14956" max="14956" width="10.7109375" style="546" bestFit="1" customWidth="1"/>
    <col min="14957" max="15104" width="9.140625" style="546"/>
    <col min="15105" max="15105" width="5.85546875" style="546" customWidth="1"/>
    <col min="15106" max="15106" width="55.42578125" style="546" bestFit="1" customWidth="1"/>
    <col min="15107" max="15199" width="0" style="546" hidden="1" customWidth="1"/>
    <col min="15200" max="15210" width="10.7109375" style="546" customWidth="1"/>
    <col min="15211" max="15211" width="10.85546875" style="546" customWidth="1"/>
    <col min="15212" max="15212" width="10.7109375" style="546" bestFit="1" customWidth="1"/>
    <col min="15213" max="15360" width="9.140625" style="546"/>
    <col min="15361" max="15361" width="5.85546875" style="546" customWidth="1"/>
    <col min="15362" max="15362" width="55.42578125" style="546" bestFit="1" customWidth="1"/>
    <col min="15363" max="15455" width="0" style="546" hidden="1" customWidth="1"/>
    <col min="15456" max="15466" width="10.7109375" style="546" customWidth="1"/>
    <col min="15467" max="15467" width="10.85546875" style="546" customWidth="1"/>
    <col min="15468" max="15468" width="10.7109375" style="546" bestFit="1" customWidth="1"/>
    <col min="15469" max="15616" width="9.140625" style="546"/>
    <col min="15617" max="15617" width="5.85546875" style="546" customWidth="1"/>
    <col min="15618" max="15618" width="55.42578125" style="546" bestFit="1" customWidth="1"/>
    <col min="15619" max="15711" width="0" style="546" hidden="1" customWidth="1"/>
    <col min="15712" max="15722" width="10.7109375" style="546" customWidth="1"/>
    <col min="15723" max="15723" width="10.85546875" style="546" customWidth="1"/>
    <col min="15724" max="15724" width="10.7109375" style="546" bestFit="1" customWidth="1"/>
    <col min="15725" max="15872" width="9.140625" style="546"/>
    <col min="15873" max="15873" width="5.85546875" style="546" customWidth="1"/>
    <col min="15874" max="15874" width="55.42578125" style="546" bestFit="1" customWidth="1"/>
    <col min="15875" max="15967" width="0" style="546" hidden="1" customWidth="1"/>
    <col min="15968" max="15978" width="10.7109375" style="546" customWidth="1"/>
    <col min="15979" max="15979" width="10.85546875" style="546" customWidth="1"/>
    <col min="15980" max="15980" width="10.7109375" style="546" bestFit="1" customWidth="1"/>
    <col min="15981" max="16128" width="9.140625" style="546"/>
    <col min="16129" max="16129" width="5.85546875" style="546" customWidth="1"/>
    <col min="16130" max="16130" width="55.42578125" style="546" bestFit="1" customWidth="1"/>
    <col min="16131" max="16223" width="0" style="546" hidden="1" customWidth="1"/>
    <col min="16224" max="16234" width="10.7109375" style="546" customWidth="1"/>
    <col min="16235" max="16235" width="10.85546875" style="546" customWidth="1"/>
    <col min="16236" max="16236" width="10.7109375" style="546" bestFit="1" customWidth="1"/>
    <col min="16237" max="16384" width="9.140625" style="546"/>
  </cols>
  <sheetData>
    <row r="1" spans="1:111" ht="18.75">
      <c r="A1" s="486" t="s">
        <v>459</v>
      </c>
      <c r="B1" s="544"/>
      <c r="C1" s="545"/>
      <c r="D1" s="403"/>
      <c r="E1" s="403"/>
      <c r="F1" s="403"/>
      <c r="G1" s="403"/>
      <c r="H1" s="403"/>
      <c r="I1" s="403"/>
      <c r="J1" s="403"/>
      <c r="K1" s="403"/>
      <c r="L1" s="403"/>
      <c r="M1" s="403"/>
      <c r="N1" s="403"/>
      <c r="O1" s="403"/>
      <c r="P1" s="403"/>
      <c r="Q1" s="403"/>
      <c r="R1" s="403"/>
      <c r="S1" s="403"/>
      <c r="T1" s="403"/>
      <c r="U1" s="403"/>
      <c r="V1" s="403"/>
      <c r="W1" s="403"/>
      <c r="X1" s="403"/>
      <c r="Y1" s="403"/>
      <c r="Z1" s="403"/>
      <c r="AA1" s="403"/>
      <c r="AB1" s="403"/>
      <c r="AC1" s="403"/>
    </row>
    <row r="2" spans="1:111" hidden="1">
      <c r="A2" s="547"/>
      <c r="B2" s="548"/>
      <c r="C2" s="549"/>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row>
    <row r="3" spans="1:111" ht="15.75" thickBot="1">
      <c r="A3" s="489"/>
      <c r="B3" s="489"/>
      <c r="C3" s="403"/>
      <c r="D3" s="403"/>
      <c r="E3" s="403"/>
      <c r="F3" s="403"/>
      <c r="G3" s="403"/>
      <c r="H3" s="403"/>
      <c r="I3" s="403"/>
      <c r="J3" s="403"/>
      <c r="K3" s="403"/>
      <c r="L3" s="403"/>
      <c r="M3" s="403"/>
      <c r="N3" s="403"/>
      <c r="O3" s="403"/>
      <c r="P3" s="403"/>
      <c r="Q3" s="403"/>
      <c r="R3" s="403"/>
      <c r="S3" s="403"/>
      <c r="T3" s="403"/>
      <c r="U3" s="406"/>
      <c r="V3" s="403"/>
      <c r="W3" s="403"/>
      <c r="X3" s="403"/>
      <c r="Y3" s="403"/>
      <c r="Z3" s="403"/>
      <c r="AA3" s="403"/>
      <c r="AB3" s="403"/>
      <c r="AC3" s="403"/>
      <c r="AE3" s="406"/>
      <c r="AH3" s="3215"/>
      <c r="AI3" s="3215"/>
      <c r="AM3" s="3215"/>
      <c r="AN3" s="3215"/>
      <c r="AO3" s="3215"/>
      <c r="AP3" s="3215"/>
      <c r="AZ3" s="3215"/>
      <c r="BA3" s="3215"/>
      <c r="BB3" s="3215"/>
      <c r="BC3" s="3215"/>
      <c r="BI3" s="3215"/>
      <c r="BJ3" s="3215"/>
      <c r="BK3" s="550"/>
      <c r="BL3" s="550"/>
      <c r="BO3" s="3215"/>
      <c r="BP3" s="3215"/>
      <c r="BV3" s="551"/>
      <c r="BW3" s="551"/>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Z3" s="405"/>
      <c r="DA3" s="405"/>
      <c r="DE3" s="552"/>
      <c r="DF3" s="552"/>
      <c r="DG3" s="552" t="s">
        <v>74</v>
      </c>
    </row>
    <row r="4" spans="1:111" ht="24" customHeight="1" thickTop="1" thickBot="1">
      <c r="A4" s="491" t="s">
        <v>401</v>
      </c>
      <c r="B4" s="492" t="s">
        <v>402</v>
      </c>
      <c r="C4" s="495">
        <v>38504</v>
      </c>
      <c r="D4" s="495">
        <v>38534</v>
      </c>
      <c r="E4" s="495">
        <v>38565</v>
      </c>
      <c r="F4" s="553">
        <v>38596</v>
      </c>
      <c r="G4" s="495">
        <v>38626</v>
      </c>
      <c r="H4" s="554">
        <v>38657</v>
      </c>
      <c r="I4" s="495">
        <v>38687</v>
      </c>
      <c r="J4" s="495">
        <v>38718</v>
      </c>
      <c r="K4" s="495">
        <v>38749</v>
      </c>
      <c r="L4" s="495">
        <v>38777</v>
      </c>
      <c r="M4" s="553">
        <v>38808</v>
      </c>
      <c r="N4" s="495">
        <v>38838</v>
      </c>
      <c r="O4" s="495">
        <v>38869</v>
      </c>
      <c r="P4" s="495">
        <v>38899</v>
      </c>
      <c r="Q4" s="495">
        <v>38930</v>
      </c>
      <c r="R4" s="495">
        <v>38961</v>
      </c>
      <c r="S4" s="495">
        <v>38991</v>
      </c>
      <c r="T4" s="495">
        <v>39022</v>
      </c>
      <c r="U4" s="495">
        <v>39052</v>
      </c>
      <c r="V4" s="495">
        <v>39083</v>
      </c>
      <c r="W4" s="495">
        <v>39114</v>
      </c>
      <c r="X4" s="495">
        <v>39142</v>
      </c>
      <c r="Y4" s="495">
        <v>39173</v>
      </c>
      <c r="Z4" s="495">
        <v>39203</v>
      </c>
      <c r="AA4" s="495">
        <v>39234</v>
      </c>
      <c r="AB4" s="553">
        <v>39264</v>
      </c>
      <c r="AC4" s="495">
        <v>39295</v>
      </c>
      <c r="AD4" s="495">
        <v>39326</v>
      </c>
      <c r="AE4" s="495">
        <v>39356</v>
      </c>
      <c r="AF4" s="495">
        <v>39387</v>
      </c>
      <c r="AG4" s="495">
        <v>39417</v>
      </c>
      <c r="AH4" s="495">
        <v>39448</v>
      </c>
      <c r="AI4" s="495">
        <v>39479</v>
      </c>
      <c r="AJ4" s="495">
        <v>39508</v>
      </c>
      <c r="AK4" s="495">
        <v>39539</v>
      </c>
      <c r="AL4" s="495">
        <v>39569</v>
      </c>
      <c r="AM4" s="495">
        <v>39600</v>
      </c>
      <c r="AN4" s="495">
        <v>39630</v>
      </c>
      <c r="AO4" s="495">
        <v>39661</v>
      </c>
      <c r="AP4" s="495">
        <v>39692</v>
      </c>
      <c r="AQ4" s="495">
        <v>39722</v>
      </c>
      <c r="AR4" s="495">
        <v>39753</v>
      </c>
      <c r="AS4" s="495">
        <v>39783</v>
      </c>
      <c r="AT4" s="495">
        <v>39814</v>
      </c>
      <c r="AU4" s="495">
        <v>39845</v>
      </c>
      <c r="AV4" s="495">
        <v>39881</v>
      </c>
      <c r="AW4" s="495">
        <v>39904</v>
      </c>
      <c r="AX4" s="495">
        <v>39934</v>
      </c>
      <c r="AY4" s="495">
        <v>39965</v>
      </c>
      <c r="AZ4" s="495">
        <v>39995</v>
      </c>
      <c r="BA4" s="495">
        <v>40026</v>
      </c>
      <c r="BB4" s="495">
        <v>40057</v>
      </c>
      <c r="BC4" s="495">
        <v>40087</v>
      </c>
      <c r="BD4" s="495">
        <v>40118</v>
      </c>
      <c r="BE4" s="495">
        <v>40148</v>
      </c>
      <c r="BF4" s="495">
        <v>40179</v>
      </c>
      <c r="BG4" s="495">
        <v>40210</v>
      </c>
      <c r="BH4" s="495">
        <v>40238</v>
      </c>
      <c r="BI4" s="495">
        <v>40269</v>
      </c>
      <c r="BJ4" s="495">
        <v>40299</v>
      </c>
      <c r="BK4" s="495">
        <v>40330</v>
      </c>
      <c r="BL4" s="495">
        <v>40360</v>
      </c>
      <c r="BM4" s="495">
        <v>40391</v>
      </c>
      <c r="BN4" s="495">
        <v>40422</v>
      </c>
      <c r="BO4" s="495">
        <v>40452</v>
      </c>
      <c r="BP4" s="495">
        <v>40483</v>
      </c>
      <c r="BQ4" s="495">
        <v>40513</v>
      </c>
      <c r="BR4" s="495">
        <v>40544</v>
      </c>
      <c r="BS4" s="495">
        <v>40575</v>
      </c>
      <c r="BT4" s="495">
        <v>40603</v>
      </c>
      <c r="BU4" s="495">
        <v>40634</v>
      </c>
      <c r="BV4" s="495">
        <v>40664</v>
      </c>
      <c r="BW4" s="495">
        <v>40695</v>
      </c>
      <c r="BX4" s="495">
        <v>40725</v>
      </c>
      <c r="BY4" s="495">
        <v>40756</v>
      </c>
      <c r="BZ4" s="495">
        <v>40787</v>
      </c>
      <c r="CA4" s="495">
        <v>40817</v>
      </c>
      <c r="CB4" s="495">
        <v>40848</v>
      </c>
      <c r="CC4" s="495">
        <v>40878</v>
      </c>
      <c r="CD4" s="495">
        <v>40909</v>
      </c>
      <c r="CE4" s="495">
        <v>40940</v>
      </c>
      <c r="CF4" s="495">
        <v>40969</v>
      </c>
      <c r="CG4" s="495">
        <v>41000</v>
      </c>
      <c r="CH4" s="495">
        <v>41030</v>
      </c>
      <c r="CI4" s="495">
        <v>41061</v>
      </c>
      <c r="CJ4" s="495">
        <v>41091</v>
      </c>
      <c r="CK4" s="495">
        <v>41122</v>
      </c>
      <c r="CL4" s="495">
        <v>41153</v>
      </c>
      <c r="CM4" s="495">
        <v>41183</v>
      </c>
      <c r="CN4" s="495">
        <v>41214</v>
      </c>
      <c r="CO4" s="495">
        <v>41244</v>
      </c>
      <c r="CP4" s="495">
        <v>41275</v>
      </c>
      <c r="CQ4" s="495">
        <v>41306</v>
      </c>
      <c r="CR4" s="495">
        <v>41334</v>
      </c>
      <c r="CS4" s="495">
        <v>41365</v>
      </c>
      <c r="CT4" s="495">
        <v>41395</v>
      </c>
      <c r="CU4" s="495">
        <v>41426</v>
      </c>
      <c r="CV4" s="495">
        <v>41456</v>
      </c>
      <c r="CW4" s="495">
        <v>41487</v>
      </c>
      <c r="CX4" s="495">
        <v>41518</v>
      </c>
      <c r="CY4" s="495">
        <v>41548</v>
      </c>
      <c r="CZ4" s="495">
        <v>41579</v>
      </c>
      <c r="DA4" s="495">
        <v>41609</v>
      </c>
      <c r="DB4" s="554">
        <v>41640</v>
      </c>
      <c r="DC4" s="493">
        <v>41671</v>
      </c>
      <c r="DD4" s="493">
        <v>41699</v>
      </c>
      <c r="DE4" s="493">
        <v>41730</v>
      </c>
      <c r="DF4" s="493">
        <v>41760</v>
      </c>
      <c r="DG4" s="493">
        <v>41791</v>
      </c>
    </row>
    <row r="5" spans="1:111" ht="17.100000000000001" customHeight="1" thickTop="1">
      <c r="A5" s="498"/>
      <c r="B5" s="499"/>
      <c r="C5" s="555"/>
      <c r="D5" s="555"/>
      <c r="E5" s="555"/>
      <c r="F5" s="556"/>
      <c r="G5" s="555"/>
      <c r="H5" s="557"/>
      <c r="I5" s="555"/>
      <c r="J5" s="555"/>
      <c r="K5" s="555"/>
      <c r="L5" s="555"/>
      <c r="M5" s="556"/>
      <c r="N5" s="555"/>
      <c r="O5" s="555"/>
      <c r="P5" s="555"/>
      <c r="Q5" s="555"/>
      <c r="R5" s="555"/>
      <c r="S5" s="555"/>
      <c r="T5" s="555"/>
      <c r="U5" s="555"/>
      <c r="V5" s="555"/>
      <c r="W5" s="555"/>
      <c r="X5" s="555"/>
      <c r="Y5" s="555"/>
      <c r="Z5" s="555"/>
      <c r="AA5" s="555"/>
      <c r="AB5" s="556"/>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8"/>
      <c r="BC5" s="558"/>
      <c r="BD5" s="558"/>
      <c r="BE5" s="558"/>
      <c r="BF5" s="558"/>
      <c r="BG5" s="558"/>
      <c r="BH5" s="558"/>
      <c r="BI5" s="558"/>
      <c r="BJ5" s="558"/>
      <c r="BK5" s="558"/>
      <c r="BL5" s="558"/>
      <c r="BM5" s="558"/>
      <c r="BN5" s="558"/>
      <c r="BO5" s="558"/>
      <c r="BP5" s="558"/>
      <c r="BQ5" s="558"/>
      <c r="BR5" s="558"/>
      <c r="BS5" s="558"/>
      <c r="BT5" s="558"/>
      <c r="BU5" s="558"/>
      <c r="BV5" s="558"/>
      <c r="BW5" s="558"/>
      <c r="BX5" s="558"/>
      <c r="BY5" s="558"/>
      <c r="BZ5" s="558"/>
      <c r="CA5" s="558"/>
      <c r="CB5" s="558"/>
      <c r="CC5" s="558"/>
      <c r="CD5" s="558"/>
      <c r="CE5" s="558"/>
      <c r="CF5" s="558"/>
      <c r="CG5" s="558"/>
      <c r="CH5" s="558"/>
      <c r="CI5" s="558"/>
      <c r="CJ5" s="558"/>
      <c r="CK5" s="558"/>
      <c r="CL5" s="558"/>
      <c r="CM5" s="558"/>
      <c r="CN5" s="558"/>
      <c r="CO5" s="558"/>
      <c r="CP5" s="558"/>
      <c r="CQ5" s="558"/>
      <c r="CR5" s="558"/>
      <c r="CS5" s="558"/>
      <c r="CT5" s="558"/>
      <c r="CU5" s="558"/>
      <c r="CV5" s="558"/>
      <c r="CW5" s="558"/>
      <c r="CX5" s="558"/>
      <c r="CY5" s="558"/>
      <c r="CZ5" s="558"/>
      <c r="DA5" s="558"/>
      <c r="DB5" s="559"/>
      <c r="DC5" s="558"/>
      <c r="DD5" s="560"/>
      <c r="DE5" s="560"/>
      <c r="DF5" s="560"/>
      <c r="DG5" s="560"/>
    </row>
    <row r="6" spans="1:111" ht="17.100000000000001" customHeight="1">
      <c r="A6" s="505" t="s">
        <v>403</v>
      </c>
      <c r="B6" s="506" t="s">
        <v>404</v>
      </c>
      <c r="C6" s="561">
        <v>0</v>
      </c>
      <c r="D6" s="561">
        <v>0</v>
      </c>
      <c r="E6" s="561">
        <v>0</v>
      </c>
      <c r="F6" s="562">
        <v>0</v>
      </c>
      <c r="G6" s="561">
        <v>0</v>
      </c>
      <c r="H6" s="563">
        <v>0</v>
      </c>
      <c r="I6" s="561">
        <v>0</v>
      </c>
      <c r="J6" s="561">
        <v>0</v>
      </c>
      <c r="K6" s="561">
        <v>0</v>
      </c>
      <c r="L6" s="561">
        <v>0</v>
      </c>
      <c r="M6" s="562">
        <v>0</v>
      </c>
      <c r="N6" s="561">
        <v>0</v>
      </c>
      <c r="O6" s="561">
        <v>0</v>
      </c>
      <c r="P6" s="561">
        <v>0</v>
      </c>
      <c r="Q6" s="561">
        <v>0</v>
      </c>
      <c r="R6" s="561">
        <v>0</v>
      </c>
      <c r="S6" s="561">
        <v>0</v>
      </c>
      <c r="T6" s="561">
        <v>0</v>
      </c>
      <c r="U6" s="561">
        <v>0</v>
      </c>
      <c r="V6" s="561">
        <v>0</v>
      </c>
      <c r="W6" s="561">
        <v>0</v>
      </c>
      <c r="X6" s="561">
        <v>0</v>
      </c>
      <c r="Y6" s="561">
        <v>0</v>
      </c>
      <c r="Z6" s="561">
        <v>0</v>
      </c>
      <c r="AA6" s="561">
        <v>0</v>
      </c>
      <c r="AB6" s="562">
        <v>0</v>
      </c>
      <c r="AC6" s="561">
        <v>0</v>
      </c>
      <c r="AD6" s="561">
        <v>0</v>
      </c>
      <c r="AE6" s="561">
        <v>0</v>
      </c>
      <c r="AF6" s="561">
        <v>0</v>
      </c>
      <c r="AG6" s="561">
        <v>0</v>
      </c>
      <c r="AH6" s="561">
        <v>0</v>
      </c>
      <c r="AI6" s="561">
        <v>0</v>
      </c>
      <c r="AJ6" s="561">
        <v>0</v>
      </c>
      <c r="AK6" s="561">
        <v>0</v>
      </c>
      <c r="AL6" s="561">
        <v>0</v>
      </c>
      <c r="AM6" s="561">
        <v>0</v>
      </c>
      <c r="AN6" s="561">
        <v>0</v>
      </c>
      <c r="AO6" s="561">
        <v>0</v>
      </c>
      <c r="AP6" s="561">
        <v>0</v>
      </c>
      <c r="AQ6" s="561">
        <v>0</v>
      </c>
      <c r="AR6" s="561">
        <v>0</v>
      </c>
      <c r="AS6" s="561">
        <v>0</v>
      </c>
      <c r="AT6" s="561">
        <v>0</v>
      </c>
      <c r="AU6" s="561">
        <v>0</v>
      </c>
      <c r="AV6" s="561">
        <v>0</v>
      </c>
      <c r="AW6" s="561">
        <v>0</v>
      </c>
      <c r="AX6" s="561">
        <v>0</v>
      </c>
      <c r="AY6" s="561">
        <v>0</v>
      </c>
      <c r="AZ6" s="561">
        <v>0</v>
      </c>
      <c r="BA6" s="561">
        <v>0</v>
      </c>
      <c r="BB6" s="561">
        <v>0</v>
      </c>
      <c r="BC6" s="561">
        <v>0</v>
      </c>
      <c r="BD6" s="561">
        <v>0</v>
      </c>
      <c r="BE6" s="561">
        <v>0</v>
      </c>
      <c r="BF6" s="561">
        <v>0</v>
      </c>
      <c r="BG6" s="561">
        <v>0</v>
      </c>
      <c r="BH6" s="561">
        <v>0</v>
      </c>
      <c r="BI6" s="561">
        <v>0</v>
      </c>
      <c r="BJ6" s="561">
        <v>0</v>
      </c>
      <c r="BK6" s="561">
        <v>0</v>
      </c>
      <c r="BL6" s="561">
        <v>0</v>
      </c>
      <c r="BM6" s="561">
        <v>0</v>
      </c>
      <c r="BN6" s="561">
        <v>0</v>
      </c>
      <c r="BO6" s="561">
        <v>0</v>
      </c>
      <c r="BP6" s="561">
        <v>0</v>
      </c>
      <c r="BQ6" s="561">
        <v>0</v>
      </c>
      <c r="BR6" s="561">
        <v>0</v>
      </c>
      <c r="BS6" s="561">
        <v>0</v>
      </c>
      <c r="BT6" s="561">
        <v>0</v>
      </c>
      <c r="BU6" s="561">
        <v>0</v>
      </c>
      <c r="BV6" s="561">
        <v>0</v>
      </c>
      <c r="BW6" s="561">
        <v>0</v>
      </c>
      <c r="BX6" s="561">
        <v>0</v>
      </c>
      <c r="BY6" s="561">
        <v>0</v>
      </c>
      <c r="BZ6" s="561">
        <v>0</v>
      </c>
      <c r="CA6" s="561">
        <v>0</v>
      </c>
      <c r="CB6" s="561">
        <v>0</v>
      </c>
      <c r="CC6" s="561">
        <v>0</v>
      </c>
      <c r="CD6" s="561">
        <v>0</v>
      </c>
      <c r="CE6" s="561">
        <v>0</v>
      </c>
      <c r="CF6" s="561">
        <v>0</v>
      </c>
      <c r="CG6" s="561">
        <v>0</v>
      </c>
      <c r="CH6" s="561">
        <v>0</v>
      </c>
      <c r="CI6" s="561">
        <v>0</v>
      </c>
      <c r="CJ6" s="561">
        <v>0</v>
      </c>
      <c r="CK6" s="561">
        <v>0</v>
      </c>
      <c r="CL6" s="561">
        <v>0</v>
      </c>
      <c r="CM6" s="561">
        <v>0</v>
      </c>
      <c r="CN6" s="561">
        <v>0</v>
      </c>
      <c r="CO6" s="561">
        <v>0</v>
      </c>
      <c r="CP6" s="561">
        <v>0</v>
      </c>
      <c r="CQ6" s="561">
        <v>0</v>
      </c>
      <c r="CR6" s="561">
        <v>0</v>
      </c>
      <c r="CS6" s="561">
        <v>0</v>
      </c>
      <c r="CT6" s="561">
        <v>0</v>
      </c>
      <c r="CU6" s="561">
        <v>0</v>
      </c>
      <c r="CV6" s="561">
        <v>0</v>
      </c>
      <c r="CW6" s="561">
        <v>0</v>
      </c>
      <c r="CX6" s="561">
        <v>0</v>
      </c>
      <c r="CY6" s="561">
        <v>0</v>
      </c>
      <c r="CZ6" s="561">
        <v>0</v>
      </c>
      <c r="DA6" s="561">
        <v>0</v>
      </c>
      <c r="DB6" s="564">
        <v>0</v>
      </c>
      <c r="DC6" s="561">
        <v>0</v>
      </c>
      <c r="DD6" s="507">
        <v>0</v>
      </c>
      <c r="DE6" s="507">
        <v>0</v>
      </c>
      <c r="DF6" s="507">
        <v>0</v>
      </c>
      <c r="DG6" s="507">
        <v>0</v>
      </c>
    </row>
    <row r="7" spans="1:111" ht="17.100000000000001" customHeight="1">
      <c r="A7" s="509"/>
      <c r="B7" s="510"/>
      <c r="C7" s="565"/>
      <c r="D7" s="565"/>
      <c r="E7" s="565"/>
      <c r="F7" s="566"/>
      <c r="G7" s="565"/>
      <c r="H7" s="567"/>
      <c r="I7" s="565"/>
      <c r="J7" s="565"/>
      <c r="K7" s="565"/>
      <c r="L7" s="565"/>
      <c r="M7" s="566"/>
      <c r="N7" s="565"/>
      <c r="O7" s="565"/>
      <c r="P7" s="565"/>
      <c r="Q7" s="565"/>
      <c r="R7" s="565"/>
      <c r="S7" s="565"/>
      <c r="T7" s="565"/>
      <c r="U7" s="565"/>
      <c r="V7" s="565"/>
      <c r="W7" s="565"/>
      <c r="X7" s="565"/>
      <c r="Y7" s="565"/>
      <c r="Z7" s="565"/>
      <c r="AA7" s="565"/>
      <c r="AB7" s="566"/>
      <c r="AC7" s="565"/>
      <c r="AD7" s="565"/>
      <c r="AE7" s="565"/>
      <c r="AF7" s="565"/>
      <c r="AG7" s="565"/>
      <c r="AH7" s="565"/>
      <c r="AI7" s="565"/>
      <c r="AJ7" s="565"/>
      <c r="AK7" s="565"/>
      <c r="AL7" s="565"/>
      <c r="AM7" s="565"/>
      <c r="AN7" s="565"/>
      <c r="AO7" s="565"/>
      <c r="AP7" s="565"/>
      <c r="AQ7" s="565"/>
      <c r="AR7" s="565"/>
      <c r="AS7" s="565"/>
      <c r="AT7" s="565"/>
      <c r="AU7" s="565"/>
      <c r="AV7" s="565"/>
      <c r="AW7" s="565"/>
      <c r="AX7" s="565"/>
      <c r="AY7" s="565"/>
      <c r="AZ7" s="565"/>
      <c r="BA7" s="565"/>
      <c r="BB7" s="565"/>
      <c r="BC7" s="565"/>
      <c r="BD7" s="565"/>
      <c r="BE7" s="565"/>
      <c r="BF7" s="565"/>
      <c r="BG7" s="565"/>
      <c r="BH7" s="565"/>
      <c r="BI7" s="565"/>
      <c r="BJ7" s="565"/>
      <c r="BK7" s="565"/>
      <c r="BL7" s="565"/>
      <c r="BM7" s="565"/>
      <c r="BN7" s="565"/>
      <c r="BO7" s="565"/>
      <c r="BP7" s="565"/>
      <c r="BQ7" s="565"/>
      <c r="BR7" s="565"/>
      <c r="BS7" s="565"/>
      <c r="BT7" s="565"/>
      <c r="BU7" s="565"/>
      <c r="BV7" s="565"/>
      <c r="BW7" s="565"/>
      <c r="BX7" s="565"/>
      <c r="BY7" s="565"/>
      <c r="BZ7" s="565"/>
      <c r="CA7" s="565"/>
      <c r="CB7" s="565"/>
      <c r="CC7" s="565"/>
      <c r="CD7" s="565"/>
      <c r="CE7" s="565"/>
      <c r="CF7" s="565"/>
      <c r="CG7" s="565"/>
      <c r="CH7" s="565"/>
      <c r="CI7" s="565"/>
      <c r="CJ7" s="565"/>
      <c r="CK7" s="565"/>
      <c r="CL7" s="565"/>
      <c r="CM7" s="565"/>
      <c r="CN7" s="565"/>
      <c r="CO7" s="565"/>
      <c r="CP7" s="565"/>
      <c r="CQ7" s="565"/>
      <c r="CR7" s="565"/>
      <c r="CS7" s="565"/>
      <c r="CT7" s="565"/>
      <c r="CU7" s="565"/>
      <c r="CV7" s="565"/>
      <c r="CW7" s="565"/>
      <c r="CX7" s="565"/>
      <c r="CY7" s="565"/>
      <c r="CZ7" s="565"/>
      <c r="DA7" s="565"/>
      <c r="DB7" s="568"/>
      <c r="DC7" s="565"/>
      <c r="DD7" s="511"/>
      <c r="DE7" s="511"/>
      <c r="DF7" s="511"/>
      <c r="DG7" s="511"/>
    </row>
    <row r="8" spans="1:111" ht="17.100000000000001" customHeight="1">
      <c r="A8" s="505" t="s">
        <v>405</v>
      </c>
      <c r="B8" s="506" t="s">
        <v>406</v>
      </c>
      <c r="C8" s="561">
        <v>136178.43999452301</v>
      </c>
      <c r="D8" s="561">
        <v>116230.03408391667</v>
      </c>
      <c r="E8" s="561">
        <v>130132.37196290678</v>
      </c>
      <c r="F8" s="562">
        <v>139521.98715559201</v>
      </c>
      <c r="G8" s="561">
        <v>139367.33836026196</v>
      </c>
      <c r="H8" s="563">
        <v>157762.66453401314</v>
      </c>
      <c r="I8" s="561">
        <v>143451.05274890381</v>
      </c>
      <c r="J8" s="561">
        <v>148155.25278240716</v>
      </c>
      <c r="K8" s="561">
        <v>177797.85328286284</v>
      </c>
      <c r="L8" s="561">
        <v>183467.7645240183</v>
      </c>
      <c r="M8" s="562">
        <v>169663.0647888302</v>
      </c>
      <c r="N8" s="561">
        <v>195799.69742275891</v>
      </c>
      <c r="O8" s="561">
        <v>187507.06538600696</v>
      </c>
      <c r="P8" s="561">
        <v>199013.7328134976</v>
      </c>
      <c r="Q8" s="561">
        <v>205198.34475756431</v>
      </c>
      <c r="R8" s="561">
        <v>230350.69407867076</v>
      </c>
      <c r="S8" s="561">
        <v>233076.84816871831</v>
      </c>
      <c r="T8" s="561">
        <v>250966.8914985405</v>
      </c>
      <c r="U8" s="561">
        <v>276375.87292437919</v>
      </c>
      <c r="V8" s="561">
        <v>243155.21555671969</v>
      </c>
      <c r="W8" s="561">
        <v>240416.3637943858</v>
      </c>
      <c r="X8" s="561">
        <v>239185.99880830882</v>
      </c>
      <c r="Y8" s="561">
        <v>228709.43412511045</v>
      </c>
      <c r="Z8" s="561">
        <v>227011.69903462991</v>
      </c>
      <c r="AA8" s="561">
        <v>234098.59419943648</v>
      </c>
      <c r="AB8" s="562">
        <v>260109.87297384226</v>
      </c>
      <c r="AC8" s="561">
        <v>272734.00079297763</v>
      </c>
      <c r="AD8" s="561">
        <v>276341.08277825976</v>
      </c>
      <c r="AE8" s="561">
        <v>264167.83444763487</v>
      </c>
      <c r="AF8" s="561">
        <v>295025.7933259884</v>
      </c>
      <c r="AG8" s="561">
        <v>276984.07760893798</v>
      </c>
      <c r="AH8" s="561">
        <v>293130.94655232655</v>
      </c>
      <c r="AI8" s="561">
        <v>268554.87057226081</v>
      </c>
      <c r="AJ8" s="561">
        <v>259006.22230780192</v>
      </c>
      <c r="AK8" s="561">
        <v>236645.51199449706</v>
      </c>
      <c r="AL8" s="561">
        <v>243650.5208996307</v>
      </c>
      <c r="AM8" s="561">
        <v>255585.31891297194</v>
      </c>
      <c r="AN8" s="561">
        <v>279887.81503659399</v>
      </c>
      <c r="AO8" s="561">
        <v>257411.54356240056</v>
      </c>
      <c r="AP8" s="561">
        <v>235388.51431186678</v>
      </c>
      <c r="AQ8" s="561">
        <v>242599.32134361344</v>
      </c>
      <c r="AR8" s="561">
        <v>242909.14039155218</v>
      </c>
      <c r="AS8" s="561">
        <v>222126.34724996117</v>
      </c>
      <c r="AT8" s="561">
        <v>244276.71415654916</v>
      </c>
      <c r="AU8" s="561">
        <v>251635.90433816437</v>
      </c>
      <c r="AV8" s="561">
        <v>257142.14499298923</v>
      </c>
      <c r="AW8" s="561">
        <v>246223.51353805588</v>
      </c>
      <c r="AX8" s="561">
        <v>242231.97659319796</v>
      </c>
      <c r="AY8" s="561">
        <v>233918.13117396811</v>
      </c>
      <c r="AZ8" s="561">
        <v>216309.13123138339</v>
      </c>
      <c r="BA8" s="561">
        <v>206554.12635361252</v>
      </c>
      <c r="BB8" s="561">
        <v>214871.6219141389</v>
      </c>
      <c r="BC8" s="561">
        <v>223527.69391904242</v>
      </c>
      <c r="BD8" s="561">
        <v>218840.07105076354</v>
      </c>
      <c r="BE8" s="561">
        <v>236285.32378748566</v>
      </c>
      <c r="BF8" s="561">
        <v>246330.23434637161</v>
      </c>
      <c r="BG8" s="561">
        <v>239911.35103890789</v>
      </c>
      <c r="BH8" s="561">
        <v>251110.30049444461</v>
      </c>
      <c r="BI8" s="561">
        <v>233179.76966713739</v>
      </c>
      <c r="BJ8" s="561">
        <v>265891.45698459179</v>
      </c>
      <c r="BK8" s="561">
        <v>251091.27311556888</v>
      </c>
      <c r="BL8" s="561">
        <v>206610.44095982582</v>
      </c>
      <c r="BM8" s="561">
        <v>234315.70890849963</v>
      </c>
      <c r="BN8" s="561">
        <v>237730.71370376952</v>
      </c>
      <c r="BO8" s="561">
        <v>244526.9694849565</v>
      </c>
      <c r="BP8" s="561">
        <v>251433.09264393171</v>
      </c>
      <c r="BQ8" s="561">
        <v>248371.92779843963</v>
      </c>
      <c r="BR8" s="561">
        <v>249037.7096510827</v>
      </c>
      <c r="BS8" s="561">
        <v>249966.23457969213</v>
      </c>
      <c r="BT8" s="561">
        <v>209095.88711222709</v>
      </c>
      <c r="BU8" s="561">
        <v>245681.91932774591</v>
      </c>
      <c r="BV8" s="561">
        <v>204668.14780793706</v>
      </c>
      <c r="BW8" s="561">
        <v>235655.57660381799</v>
      </c>
      <c r="BX8" s="561">
        <v>210901.19464144739</v>
      </c>
      <c r="BY8" s="561">
        <v>197483.72443542042</v>
      </c>
      <c r="BZ8" s="561">
        <v>209697.98557407345</v>
      </c>
      <c r="CA8" s="561">
        <v>210427.60377609509</v>
      </c>
      <c r="CB8" s="561">
        <v>257384.77811784571</v>
      </c>
      <c r="CC8" s="561">
        <v>207166.58874576859</v>
      </c>
      <c r="CD8" s="561">
        <v>167566.96571080218</v>
      </c>
      <c r="CE8" s="561">
        <v>188761.54489262865</v>
      </c>
      <c r="CF8" s="561">
        <v>237917.17436641685</v>
      </c>
      <c r="CG8" s="561">
        <v>235637.24590558562</v>
      </c>
      <c r="CH8" s="561">
        <v>243001.46460930759</v>
      </c>
      <c r="CI8" s="561">
        <v>184322.05402565229</v>
      </c>
      <c r="CJ8" s="561">
        <v>226817.20269414515</v>
      </c>
      <c r="CK8" s="561">
        <v>196214.34019245527</v>
      </c>
      <c r="CL8" s="561">
        <v>205966.0335260616</v>
      </c>
      <c r="CM8" s="561">
        <v>214191.04639274476</v>
      </c>
      <c r="CN8" s="561">
        <v>214750.81469717098</v>
      </c>
      <c r="CO8" s="561">
        <v>238219.25371931389</v>
      </c>
      <c r="CP8" s="561">
        <v>252737.0724059433</v>
      </c>
      <c r="CQ8" s="561">
        <v>206447.59290120611</v>
      </c>
      <c r="CR8" s="561">
        <v>244517.21015118383</v>
      </c>
      <c r="CS8" s="561">
        <v>247465.85431716559</v>
      </c>
      <c r="CT8" s="561">
        <v>270782.79846521025</v>
      </c>
      <c r="CU8" s="561">
        <v>250902.03883934926</v>
      </c>
      <c r="CV8" s="561">
        <v>269445.49592200166</v>
      </c>
      <c r="CW8" s="561">
        <v>242742.17159747274</v>
      </c>
      <c r="CX8" s="561">
        <v>239745.49042027007</v>
      </c>
      <c r="CY8" s="561">
        <v>234926.05418041517</v>
      </c>
      <c r="CZ8" s="561">
        <v>242721.10131536936</v>
      </c>
      <c r="DA8" s="561">
        <v>290584.88886338269</v>
      </c>
      <c r="DB8" s="564">
        <v>258532.7906612095</v>
      </c>
      <c r="DC8" s="561">
        <v>268814.4350144621</v>
      </c>
      <c r="DD8" s="507">
        <v>285706.13734245277</v>
      </c>
      <c r="DE8" s="507">
        <v>272951.72499069362</v>
      </c>
      <c r="DF8" s="507">
        <v>242969.68492250441</v>
      </c>
      <c r="DG8" s="507">
        <v>236050.20186665712</v>
      </c>
    </row>
    <row r="9" spans="1:111" ht="17.100000000000001" customHeight="1">
      <c r="A9" s="509" t="s">
        <v>407</v>
      </c>
      <c r="B9" s="510" t="s">
        <v>257</v>
      </c>
      <c r="C9" s="530">
        <v>2411.5080739245864</v>
      </c>
      <c r="D9" s="530">
        <v>2374.2704695120633</v>
      </c>
      <c r="E9" s="530">
        <v>2689.4286805223851</v>
      </c>
      <c r="F9" s="569">
        <v>2609.3305751896678</v>
      </c>
      <c r="G9" s="530">
        <v>2829.9908421619598</v>
      </c>
      <c r="H9" s="570">
        <v>3422.3627835995226</v>
      </c>
      <c r="I9" s="530">
        <v>3857.0544986418649</v>
      </c>
      <c r="J9" s="530">
        <v>2834.672189555828</v>
      </c>
      <c r="K9" s="530">
        <v>2471.2032170934831</v>
      </c>
      <c r="L9" s="530">
        <v>2242.8746434496229</v>
      </c>
      <c r="M9" s="569">
        <v>2325.7475869641262</v>
      </c>
      <c r="N9" s="530">
        <v>2201.1372161125737</v>
      </c>
      <c r="O9" s="530">
        <v>2000.4248363982758</v>
      </c>
      <c r="P9" s="530">
        <v>2248.1926656085639</v>
      </c>
      <c r="Q9" s="530">
        <v>2611.2474925302877</v>
      </c>
      <c r="R9" s="530">
        <v>2145.4001480244069</v>
      </c>
      <c r="S9" s="530">
        <v>2471.1521219531987</v>
      </c>
      <c r="T9" s="530">
        <v>2775.6725251363996</v>
      </c>
      <c r="U9" s="530">
        <v>3733.3959026907896</v>
      </c>
      <c r="V9" s="530">
        <v>2768.3246351410908</v>
      </c>
      <c r="W9" s="530">
        <v>2662.1335959648309</v>
      </c>
      <c r="X9" s="530">
        <v>2443.8508128417689</v>
      </c>
      <c r="Y9" s="530">
        <v>2448.3523229018556</v>
      </c>
      <c r="Z9" s="530">
        <v>2350.0757424319381</v>
      </c>
      <c r="AA9" s="530">
        <v>2179.8350122071138</v>
      </c>
      <c r="AB9" s="569">
        <v>2430.911087485094</v>
      </c>
      <c r="AC9" s="530">
        <v>2272.8653160495328</v>
      </c>
      <c r="AD9" s="530">
        <v>2236.8598920954041</v>
      </c>
      <c r="AE9" s="530">
        <v>2654.1271336085929</v>
      </c>
      <c r="AF9" s="530">
        <v>2637.0378675246689</v>
      </c>
      <c r="AG9" s="530">
        <v>4080.4407354679688</v>
      </c>
      <c r="AH9" s="530">
        <v>3184.1021022115565</v>
      </c>
      <c r="AI9" s="530">
        <v>2678.2470005154933</v>
      </c>
      <c r="AJ9" s="530">
        <v>2471.0397739160198</v>
      </c>
      <c r="AK9" s="530">
        <v>2611.3709323426338</v>
      </c>
      <c r="AL9" s="530">
        <v>2543.4467479521204</v>
      </c>
      <c r="AM9" s="530">
        <v>2419.4218642864121</v>
      </c>
      <c r="AN9" s="530">
        <v>2828.5732531700705</v>
      </c>
      <c r="AO9" s="530">
        <v>2635.5941385999749</v>
      </c>
      <c r="AP9" s="530">
        <v>2433.0508271385793</v>
      </c>
      <c r="AQ9" s="530">
        <v>2727.1367521419652</v>
      </c>
      <c r="AR9" s="530">
        <v>2735.8121807136531</v>
      </c>
      <c r="AS9" s="530">
        <v>4915.9890583607203</v>
      </c>
      <c r="AT9" s="530">
        <v>3156.0812645841052</v>
      </c>
      <c r="AU9" s="530">
        <v>2931.6981214160155</v>
      </c>
      <c r="AV9" s="530">
        <v>2635.3750150856335</v>
      </c>
      <c r="AW9" s="530">
        <v>2802.4667992532422</v>
      </c>
      <c r="AX9" s="530">
        <v>2500.8052513529528</v>
      </c>
      <c r="AY9" s="530">
        <v>2639.1395872433595</v>
      </c>
      <c r="AZ9" s="530">
        <v>2762.4244680578418</v>
      </c>
      <c r="BA9" s="530">
        <v>2763.1871916836071</v>
      </c>
      <c r="BB9" s="530">
        <v>2587.5747578782689</v>
      </c>
      <c r="BC9" s="530">
        <v>2615.9736950549827</v>
      </c>
      <c r="BD9" s="530">
        <v>2905.9479754705753</v>
      </c>
      <c r="BE9" s="530">
        <v>4540.4009026838485</v>
      </c>
      <c r="BF9" s="530">
        <v>3193.4770430194899</v>
      </c>
      <c r="BG9" s="530">
        <v>3013.6093341912247</v>
      </c>
      <c r="BH9" s="530">
        <v>3330.9740599154284</v>
      </c>
      <c r="BI9" s="530">
        <v>3034.4051382918592</v>
      </c>
      <c r="BJ9" s="530">
        <v>3057.9910606992457</v>
      </c>
      <c r="BK9" s="530">
        <v>3044.2690983029765</v>
      </c>
      <c r="BL9" s="530">
        <v>2922.3970337241335</v>
      </c>
      <c r="BM9" s="530">
        <v>3203.9671479032882</v>
      </c>
      <c r="BN9" s="530">
        <v>3270.4690305055519</v>
      </c>
      <c r="BO9" s="530">
        <v>3170.4250638812568</v>
      </c>
      <c r="BP9" s="530">
        <v>3235.2780204776659</v>
      </c>
      <c r="BQ9" s="530">
        <v>4205.9198756393207</v>
      </c>
      <c r="BR9" s="530">
        <v>3861.1149867947979</v>
      </c>
      <c r="BS9" s="530">
        <v>3247.8468417434906</v>
      </c>
      <c r="BT9" s="530">
        <v>3401.457315797285</v>
      </c>
      <c r="BU9" s="530">
        <v>3143.0336881032258</v>
      </c>
      <c r="BV9" s="530">
        <v>3347.6792710326076</v>
      </c>
      <c r="BW9" s="530">
        <v>3195.4686562305333</v>
      </c>
      <c r="BX9" s="530">
        <v>3270.5200782956481</v>
      </c>
      <c r="BY9" s="530">
        <v>3722.8116416959419</v>
      </c>
      <c r="BZ9" s="530">
        <v>3522.4362761507259</v>
      </c>
      <c r="CA9" s="530">
        <v>3952.2740490782348</v>
      </c>
      <c r="CB9" s="530">
        <v>3989.8715547605752</v>
      </c>
      <c r="CC9" s="530">
        <v>4740.2541348085651</v>
      </c>
      <c r="CD9" s="530">
        <v>3775.5713950513682</v>
      </c>
      <c r="CE9" s="530">
        <v>3639.9467417759838</v>
      </c>
      <c r="CF9" s="530">
        <v>3311.4361768832928</v>
      </c>
      <c r="CG9" s="530">
        <v>3394.0250294460238</v>
      </c>
      <c r="CH9" s="530">
        <v>3668.905479245519</v>
      </c>
      <c r="CI9" s="530">
        <v>3070.8687497072065</v>
      </c>
      <c r="CJ9" s="530">
        <v>3325.0385551201116</v>
      </c>
      <c r="CK9" s="530">
        <v>3591.2501800222963</v>
      </c>
      <c r="CL9" s="530">
        <v>3575.2710323313904</v>
      </c>
      <c r="CM9" s="530">
        <v>4228.1544489717844</v>
      </c>
      <c r="CN9" s="530">
        <v>3979.8004943419373</v>
      </c>
      <c r="CO9" s="530">
        <v>5631.2046430665814</v>
      </c>
      <c r="CP9" s="530">
        <v>4740.5413379273359</v>
      </c>
      <c r="CQ9" s="530">
        <v>4117.169277216608</v>
      </c>
      <c r="CR9" s="530">
        <v>4350.2830175349127</v>
      </c>
      <c r="CS9" s="530">
        <v>4595.5736209331744</v>
      </c>
      <c r="CT9" s="530">
        <v>4328.48083655542</v>
      </c>
      <c r="CU9" s="530">
        <v>4265.2787515115488</v>
      </c>
      <c r="CV9" s="530">
        <v>4924.9564298555197</v>
      </c>
      <c r="CW9" s="530">
        <v>4657.8419114214403</v>
      </c>
      <c r="CX9" s="530">
        <v>4653.6821646892813</v>
      </c>
      <c r="CY9" s="530">
        <v>5258.6775262798319</v>
      </c>
      <c r="CZ9" s="530">
        <v>5000.8422295872233</v>
      </c>
      <c r="DA9" s="530">
        <v>7541.1297477780081</v>
      </c>
      <c r="DB9" s="571">
        <v>5696.6861018466498</v>
      </c>
      <c r="DC9" s="530">
        <v>5342.9772100147902</v>
      </c>
      <c r="DD9" s="512">
        <v>5082.5744356377782</v>
      </c>
      <c r="DE9" s="512">
        <v>5534.5428225165551</v>
      </c>
      <c r="DF9" s="512">
        <v>4746.6565046213336</v>
      </c>
      <c r="DG9" s="512">
        <v>5116.0131775995214</v>
      </c>
    </row>
    <row r="10" spans="1:111" ht="17.100000000000001" customHeight="1">
      <c r="A10" s="509" t="s">
        <v>409</v>
      </c>
      <c r="B10" s="510" t="s">
        <v>460</v>
      </c>
      <c r="C10" s="530">
        <v>19372.497178089121</v>
      </c>
      <c r="D10" s="530">
        <v>21811.45304293888</v>
      </c>
      <c r="E10" s="530">
        <v>20140.064850267598</v>
      </c>
      <c r="F10" s="569">
        <v>22500.198349040598</v>
      </c>
      <c r="G10" s="530">
        <v>21091.447033129349</v>
      </c>
      <c r="H10" s="570">
        <v>33863.571290211439</v>
      </c>
      <c r="I10" s="530">
        <v>16950.46396142547</v>
      </c>
      <c r="J10" s="530">
        <v>24828.484319455329</v>
      </c>
      <c r="K10" s="530">
        <v>20520.348330811332</v>
      </c>
      <c r="L10" s="530">
        <v>21788.716617751496</v>
      </c>
      <c r="M10" s="569">
        <v>21136.533940462206</v>
      </c>
      <c r="N10" s="530">
        <v>21881.029047653123</v>
      </c>
      <c r="O10" s="530">
        <v>29961.791713402781</v>
      </c>
      <c r="P10" s="530">
        <v>72762.31758220683</v>
      </c>
      <c r="Q10" s="530">
        <v>19813.471024808143</v>
      </c>
      <c r="R10" s="530">
        <v>24781.925601504456</v>
      </c>
      <c r="S10" s="530">
        <v>23970.775045566035</v>
      </c>
      <c r="T10" s="530">
        <v>79364.872045984797</v>
      </c>
      <c r="U10" s="530">
        <v>90373.548526471655</v>
      </c>
      <c r="V10" s="530">
        <v>85467.674202021604</v>
      </c>
      <c r="W10" s="530">
        <v>85963.10252231441</v>
      </c>
      <c r="X10" s="530">
        <v>87001.712854412603</v>
      </c>
      <c r="Y10" s="530">
        <v>73024.245739335296</v>
      </c>
      <c r="Z10" s="530">
        <v>74868.258054711288</v>
      </c>
      <c r="AA10" s="530">
        <v>85554.140486566248</v>
      </c>
      <c r="AB10" s="569">
        <v>95310.67266924381</v>
      </c>
      <c r="AC10" s="530">
        <v>99393.637243461111</v>
      </c>
      <c r="AD10" s="530">
        <v>106461.49659481132</v>
      </c>
      <c r="AE10" s="530">
        <v>104985.64466603976</v>
      </c>
      <c r="AF10" s="530">
        <v>128165.25093603706</v>
      </c>
      <c r="AG10" s="530">
        <v>118998.08743565575</v>
      </c>
      <c r="AH10" s="530">
        <v>115973.95053092935</v>
      </c>
      <c r="AI10" s="530">
        <v>121881.17877102098</v>
      </c>
      <c r="AJ10" s="530">
        <v>115071.06459612236</v>
      </c>
      <c r="AK10" s="530">
        <v>103068.83960736473</v>
      </c>
      <c r="AL10" s="530">
        <v>115070.62113672115</v>
      </c>
      <c r="AM10" s="530">
        <v>116133.69736549529</v>
      </c>
      <c r="AN10" s="530">
        <v>124154.22723424113</v>
      </c>
      <c r="AO10" s="530">
        <v>122454.82181064108</v>
      </c>
      <c r="AP10" s="530">
        <v>102430.08047653887</v>
      </c>
      <c r="AQ10" s="530">
        <v>105500.37623858193</v>
      </c>
      <c r="AR10" s="530">
        <v>111256.13827532271</v>
      </c>
      <c r="AS10" s="530">
        <v>93611.401633474787</v>
      </c>
      <c r="AT10" s="530">
        <v>109013.44494751716</v>
      </c>
      <c r="AU10" s="530">
        <v>116223.12000862884</v>
      </c>
      <c r="AV10" s="530">
        <v>121059.02344704936</v>
      </c>
      <c r="AW10" s="530">
        <v>115228.04676245789</v>
      </c>
      <c r="AX10" s="530">
        <v>128385.0851598944</v>
      </c>
      <c r="AY10" s="530">
        <v>116008.65179457638</v>
      </c>
      <c r="AZ10" s="530">
        <v>112596.29078310099</v>
      </c>
      <c r="BA10" s="530">
        <v>92141.03188137633</v>
      </c>
      <c r="BB10" s="530">
        <v>111171.92101952963</v>
      </c>
      <c r="BC10" s="530">
        <v>126452.85822182799</v>
      </c>
      <c r="BD10" s="530">
        <v>117627.13513352763</v>
      </c>
      <c r="BE10" s="530">
        <v>131861.36605195337</v>
      </c>
      <c r="BF10" s="530">
        <v>84638.301057638717</v>
      </c>
      <c r="BG10" s="530">
        <v>111324.48024282596</v>
      </c>
      <c r="BH10" s="530">
        <v>116309.43157712731</v>
      </c>
      <c r="BI10" s="530">
        <v>123528.10856784337</v>
      </c>
      <c r="BJ10" s="530">
        <v>129109.5650927508</v>
      </c>
      <c r="BK10" s="530">
        <v>118853.8001190136</v>
      </c>
      <c r="BL10" s="530">
        <v>106418.78767673639</v>
      </c>
      <c r="BM10" s="530">
        <v>111174.67117188471</v>
      </c>
      <c r="BN10" s="530">
        <v>125694.95124885418</v>
      </c>
      <c r="BO10" s="530">
        <v>120080.24828405512</v>
      </c>
      <c r="BP10" s="530">
        <v>140257.65722166409</v>
      </c>
      <c r="BQ10" s="530">
        <v>130678.39432055525</v>
      </c>
      <c r="BR10" s="530">
        <v>112871.51547570368</v>
      </c>
      <c r="BS10" s="530">
        <v>126582.20599317455</v>
      </c>
      <c r="BT10" s="530">
        <v>105608.86744171046</v>
      </c>
      <c r="BU10" s="530">
        <v>99480.647649199571</v>
      </c>
      <c r="BV10" s="530">
        <v>94612.881897526109</v>
      </c>
      <c r="BW10" s="530">
        <v>111227.37928747242</v>
      </c>
      <c r="BX10" s="530">
        <v>95601.870036061155</v>
      </c>
      <c r="BY10" s="530">
        <v>96979.441764803458</v>
      </c>
      <c r="BZ10" s="530">
        <v>94022.876384923948</v>
      </c>
      <c r="CA10" s="530">
        <v>75984.590253608243</v>
      </c>
      <c r="CB10" s="530">
        <v>88303.756366307178</v>
      </c>
      <c r="CC10" s="530">
        <v>80666.989539758899</v>
      </c>
      <c r="CD10" s="530">
        <v>74904.430257042593</v>
      </c>
      <c r="CE10" s="530">
        <v>96230.596931217719</v>
      </c>
      <c r="CF10" s="530">
        <v>152820.72861303377</v>
      </c>
      <c r="CG10" s="530">
        <v>138913.21934683764</v>
      </c>
      <c r="CH10" s="530">
        <v>160088.27656827722</v>
      </c>
      <c r="CI10" s="530">
        <v>101587.37974218235</v>
      </c>
      <c r="CJ10" s="530">
        <v>141205.43091802069</v>
      </c>
      <c r="CK10" s="530">
        <v>100357.13402877848</v>
      </c>
      <c r="CL10" s="530">
        <v>113904.00472743899</v>
      </c>
      <c r="CM10" s="530">
        <v>122004.62938306242</v>
      </c>
      <c r="CN10" s="530">
        <v>123236.02790771764</v>
      </c>
      <c r="CO10" s="530">
        <v>142045.80793896987</v>
      </c>
      <c r="CP10" s="530">
        <v>150699.32882133598</v>
      </c>
      <c r="CQ10" s="530">
        <v>103299.29378094574</v>
      </c>
      <c r="CR10" s="530">
        <v>121203.6343163019</v>
      </c>
      <c r="CS10" s="530">
        <v>125864.31109058317</v>
      </c>
      <c r="CT10" s="530">
        <v>138876.43120396076</v>
      </c>
      <c r="CU10" s="530">
        <v>130521.48745361326</v>
      </c>
      <c r="CV10" s="530">
        <v>130921.21079618514</v>
      </c>
      <c r="CW10" s="530">
        <v>125529.51688840915</v>
      </c>
      <c r="CX10" s="530">
        <v>125287.93493414717</v>
      </c>
      <c r="CY10" s="530">
        <v>124316.86160103552</v>
      </c>
      <c r="CZ10" s="530">
        <v>139009.63917346575</v>
      </c>
      <c r="DA10" s="530">
        <v>167737.88234618085</v>
      </c>
      <c r="DB10" s="571">
        <v>129846.3850754505</v>
      </c>
      <c r="DC10" s="530">
        <v>126437.55507817506</v>
      </c>
      <c r="DD10" s="512">
        <v>130889.365528255</v>
      </c>
      <c r="DE10" s="512">
        <v>138172.23158810395</v>
      </c>
      <c r="DF10" s="512">
        <v>113329.40477299481</v>
      </c>
      <c r="DG10" s="512">
        <v>116568.44757469567</v>
      </c>
    </row>
    <row r="11" spans="1:111" ht="17.100000000000001" customHeight="1">
      <c r="A11" s="509" t="s">
        <v>411</v>
      </c>
      <c r="B11" s="510" t="s">
        <v>461</v>
      </c>
      <c r="C11" s="530">
        <v>70.920454319999934</v>
      </c>
      <c r="D11" s="530">
        <v>360.85227277419995</v>
      </c>
      <c r="E11" s="530">
        <v>575.23873825420014</v>
      </c>
      <c r="F11" s="569">
        <v>246.11876686240001</v>
      </c>
      <c r="G11" s="530">
        <v>218.11239322679995</v>
      </c>
      <c r="H11" s="570">
        <v>835.80947388940001</v>
      </c>
      <c r="I11" s="530">
        <v>763.9751539163999</v>
      </c>
      <c r="J11" s="530">
        <v>1359.5783642255999</v>
      </c>
      <c r="K11" s="530">
        <v>705.37565373860014</v>
      </c>
      <c r="L11" s="530">
        <v>411.56452298479996</v>
      </c>
      <c r="M11" s="569">
        <v>620.27342922080004</v>
      </c>
      <c r="N11" s="530">
        <v>360.01000025300004</v>
      </c>
      <c r="O11" s="530">
        <v>104.19486440619993</v>
      </c>
      <c r="P11" s="530">
        <v>335.37000679859995</v>
      </c>
      <c r="Q11" s="530">
        <v>65.502828061600027</v>
      </c>
      <c r="R11" s="530">
        <v>72.012554168299999</v>
      </c>
      <c r="S11" s="530">
        <v>61.778148959799928</v>
      </c>
      <c r="T11" s="530">
        <v>95.56619359200009</v>
      </c>
      <c r="U11" s="530">
        <v>98.153958074999935</v>
      </c>
      <c r="V11" s="530">
        <v>151.68436484839989</v>
      </c>
      <c r="W11" s="530">
        <v>138.59943383369992</v>
      </c>
      <c r="X11" s="530">
        <v>78.566557189999941</v>
      </c>
      <c r="Y11" s="530">
        <v>66.169113649999971</v>
      </c>
      <c r="Z11" s="530">
        <v>63.810968990000006</v>
      </c>
      <c r="AA11" s="530">
        <v>77.894420040000085</v>
      </c>
      <c r="AB11" s="569">
        <v>55.28352579999995</v>
      </c>
      <c r="AC11" s="530">
        <v>84.578675290000078</v>
      </c>
      <c r="AD11" s="530">
        <v>53.702130899999979</v>
      </c>
      <c r="AE11" s="530">
        <v>54.629029289999963</v>
      </c>
      <c r="AF11" s="530">
        <v>31.799534870000006</v>
      </c>
      <c r="AG11" s="530">
        <v>33.147472899999855</v>
      </c>
      <c r="AH11" s="530">
        <v>33.617811150000094</v>
      </c>
      <c r="AI11" s="530">
        <v>28.310095590000035</v>
      </c>
      <c r="AJ11" s="530">
        <v>28.007880570000051</v>
      </c>
      <c r="AK11" s="530">
        <v>30.128625680000066</v>
      </c>
      <c r="AL11" s="530">
        <v>80.019914529999738</v>
      </c>
      <c r="AM11" s="530">
        <v>68.183187889999985</v>
      </c>
      <c r="AN11" s="530">
        <v>98.778285340000039</v>
      </c>
      <c r="AO11" s="530">
        <v>77.690181239999887</v>
      </c>
      <c r="AP11" s="530">
        <v>94.587463599999907</v>
      </c>
      <c r="AQ11" s="530">
        <v>107.04570761999989</v>
      </c>
      <c r="AR11" s="530">
        <v>101.31739917999982</v>
      </c>
      <c r="AS11" s="530">
        <v>97.130994959999796</v>
      </c>
      <c r="AT11" s="530">
        <v>96.348543409999849</v>
      </c>
      <c r="AU11" s="530">
        <v>131.95658680999995</v>
      </c>
      <c r="AV11" s="530">
        <v>239.06982174000001</v>
      </c>
      <c r="AW11" s="530">
        <v>316.99842974000023</v>
      </c>
      <c r="AX11" s="530">
        <v>391.93407399000023</v>
      </c>
      <c r="AY11" s="530">
        <v>313.37631256999993</v>
      </c>
      <c r="AZ11" s="530">
        <v>430.17006928000023</v>
      </c>
      <c r="BA11" s="530">
        <v>415.23923310999987</v>
      </c>
      <c r="BB11" s="530">
        <v>271.22492728999998</v>
      </c>
      <c r="BC11" s="530">
        <v>381.38800407000019</v>
      </c>
      <c r="BD11" s="530">
        <v>341.2010708900001</v>
      </c>
      <c r="BE11" s="530">
        <v>557.14549523000005</v>
      </c>
      <c r="BF11" s="530">
        <v>421.33078375000002</v>
      </c>
      <c r="BG11" s="530">
        <v>507.93813001000046</v>
      </c>
      <c r="BH11" s="530">
        <v>692.28925011000013</v>
      </c>
      <c r="BI11" s="530">
        <v>424.70352194999981</v>
      </c>
      <c r="BJ11" s="530">
        <v>482.5556980799999</v>
      </c>
      <c r="BK11" s="530">
        <v>863.6718329399996</v>
      </c>
      <c r="BL11" s="530">
        <v>641.06922653000026</v>
      </c>
      <c r="BM11" s="530">
        <v>601.57831634000013</v>
      </c>
      <c r="BN11" s="530">
        <v>569.73809253999991</v>
      </c>
      <c r="BO11" s="530">
        <v>910.43725463000055</v>
      </c>
      <c r="BP11" s="530">
        <v>547.17586496000024</v>
      </c>
      <c r="BQ11" s="530">
        <v>495.22329861000014</v>
      </c>
      <c r="BR11" s="530">
        <v>583.4981277400002</v>
      </c>
      <c r="BS11" s="530">
        <v>569.72189308000031</v>
      </c>
      <c r="BT11" s="530">
        <v>668.82277629999999</v>
      </c>
      <c r="BU11" s="530">
        <v>1078.9575788999998</v>
      </c>
      <c r="BV11" s="530">
        <v>965.06436724999958</v>
      </c>
      <c r="BW11" s="530">
        <v>316.563514</v>
      </c>
      <c r="BX11" s="530">
        <v>747.3139162599997</v>
      </c>
      <c r="BY11" s="530">
        <v>457.11329188000013</v>
      </c>
      <c r="BZ11" s="530">
        <v>450.92952379999969</v>
      </c>
      <c r="CA11" s="530">
        <v>449.15714103000067</v>
      </c>
      <c r="CB11" s="530">
        <v>465.92530578999998</v>
      </c>
      <c r="CC11" s="530">
        <v>544.45027290000007</v>
      </c>
      <c r="CD11" s="530">
        <v>496.84693280999994</v>
      </c>
      <c r="CE11" s="530">
        <v>440.59300530000019</v>
      </c>
      <c r="CF11" s="530">
        <v>428.37721201000073</v>
      </c>
      <c r="CG11" s="530">
        <v>470.43509617999985</v>
      </c>
      <c r="CH11" s="530">
        <v>468.40562928999947</v>
      </c>
      <c r="CI11" s="530">
        <v>846.99559690000058</v>
      </c>
      <c r="CJ11" s="530">
        <v>551.03779815000007</v>
      </c>
      <c r="CK11" s="530">
        <v>522.49862458999917</v>
      </c>
      <c r="CL11" s="530">
        <v>550.27020068999957</v>
      </c>
      <c r="CM11" s="530">
        <v>521.57993880000015</v>
      </c>
      <c r="CN11" s="530">
        <v>503.31552029000187</v>
      </c>
      <c r="CO11" s="530">
        <v>474.16894263000012</v>
      </c>
      <c r="CP11" s="530">
        <v>444.25430463000009</v>
      </c>
      <c r="CQ11" s="530">
        <v>437.27444015999936</v>
      </c>
      <c r="CR11" s="530">
        <v>495.43944164249973</v>
      </c>
      <c r="CS11" s="530">
        <v>492.46616275000002</v>
      </c>
      <c r="CT11" s="530">
        <v>512.05535365999981</v>
      </c>
      <c r="CU11" s="530">
        <v>525.59625028999903</v>
      </c>
      <c r="CV11" s="530">
        <v>636.50294570000028</v>
      </c>
      <c r="CW11" s="530">
        <v>531.06777960999966</v>
      </c>
      <c r="CX11" s="530">
        <v>586.81111527000041</v>
      </c>
      <c r="CY11" s="530">
        <v>657.67253418999962</v>
      </c>
      <c r="CZ11" s="530">
        <v>589.27336230000117</v>
      </c>
      <c r="DA11" s="530">
        <v>515.06294638999941</v>
      </c>
      <c r="DB11" s="571">
        <v>552.18107610000038</v>
      </c>
      <c r="DC11" s="530">
        <v>517.36964908000084</v>
      </c>
      <c r="DD11" s="512">
        <v>538.15694584000016</v>
      </c>
      <c r="DE11" s="512">
        <v>665.4054015800009</v>
      </c>
      <c r="DF11" s="512">
        <v>643.64173960000039</v>
      </c>
      <c r="DG11" s="512">
        <v>760.17521486000044</v>
      </c>
    </row>
    <row r="12" spans="1:111" ht="17.100000000000001" customHeight="1">
      <c r="A12" s="509" t="s">
        <v>413</v>
      </c>
      <c r="B12" s="510" t="s">
        <v>462</v>
      </c>
      <c r="C12" s="530">
        <v>114323.5142881893</v>
      </c>
      <c r="D12" s="530">
        <v>91683.458298691534</v>
      </c>
      <c r="E12" s="530">
        <v>106727.6396938626</v>
      </c>
      <c r="F12" s="569">
        <v>114166.33946449935</v>
      </c>
      <c r="G12" s="530">
        <v>115227.78809174386</v>
      </c>
      <c r="H12" s="570">
        <v>119640.92098631279</v>
      </c>
      <c r="I12" s="530">
        <v>121879.55913492008</v>
      </c>
      <c r="J12" s="530">
        <v>119132.5179091704</v>
      </c>
      <c r="K12" s="530">
        <v>154100.92608121943</v>
      </c>
      <c r="L12" s="530">
        <v>159024.60873983239</v>
      </c>
      <c r="M12" s="569">
        <v>145580.50983218307</v>
      </c>
      <c r="N12" s="530">
        <v>171357.52115874022</v>
      </c>
      <c r="O12" s="530">
        <v>155440.65397179971</v>
      </c>
      <c r="P12" s="530">
        <v>123667.85255888358</v>
      </c>
      <c r="Q12" s="530">
        <v>182708.12341216428</v>
      </c>
      <c r="R12" s="530">
        <v>203351.35577497361</v>
      </c>
      <c r="S12" s="530">
        <v>206573.14285223928</v>
      </c>
      <c r="T12" s="530">
        <v>168730.7807338273</v>
      </c>
      <c r="U12" s="530">
        <v>182170.77453714173</v>
      </c>
      <c r="V12" s="530">
        <v>154767.53235470859</v>
      </c>
      <c r="W12" s="530">
        <v>151652.52824227285</v>
      </c>
      <c r="X12" s="530">
        <v>149661.86858386445</v>
      </c>
      <c r="Y12" s="530">
        <v>153170.66694922329</v>
      </c>
      <c r="Z12" s="530">
        <v>149729.55426849669</v>
      </c>
      <c r="AA12" s="530">
        <v>146286.72428062311</v>
      </c>
      <c r="AB12" s="569">
        <v>162313.00569131336</v>
      </c>
      <c r="AC12" s="530">
        <v>170982.919558177</v>
      </c>
      <c r="AD12" s="530">
        <v>167589.02416045303</v>
      </c>
      <c r="AE12" s="530">
        <v>156473.43361869655</v>
      </c>
      <c r="AF12" s="530">
        <v>164191.70498755667</v>
      </c>
      <c r="AG12" s="530">
        <v>153872.40196491426</v>
      </c>
      <c r="AH12" s="530">
        <v>173939.27610803567</v>
      </c>
      <c r="AI12" s="530">
        <v>143967.13470513438</v>
      </c>
      <c r="AJ12" s="530">
        <v>141436.11005719352</v>
      </c>
      <c r="AK12" s="530">
        <v>130935.17282910971</v>
      </c>
      <c r="AL12" s="530">
        <v>125956.43310042743</v>
      </c>
      <c r="AM12" s="530">
        <v>136964.01649530025</v>
      </c>
      <c r="AN12" s="530">
        <v>152806.23626384279</v>
      </c>
      <c r="AO12" s="530">
        <v>132243.4374319195</v>
      </c>
      <c r="AP12" s="530">
        <v>130430.79554458933</v>
      </c>
      <c r="AQ12" s="530">
        <v>134264.76264526957</v>
      </c>
      <c r="AR12" s="530">
        <v>128815.87253633582</v>
      </c>
      <c r="AS12" s="530">
        <v>123501.82556316566</v>
      </c>
      <c r="AT12" s="530">
        <v>132010.8394010379</v>
      </c>
      <c r="AU12" s="530">
        <v>132349.12962130949</v>
      </c>
      <c r="AV12" s="530">
        <v>133208.67670911422</v>
      </c>
      <c r="AW12" s="530">
        <v>127876.00154660475</v>
      </c>
      <c r="AX12" s="530">
        <v>110954.1521079606</v>
      </c>
      <c r="AY12" s="530">
        <v>114956.96347957836</v>
      </c>
      <c r="AZ12" s="530">
        <v>100520.24591094456</v>
      </c>
      <c r="BA12" s="530">
        <v>111234.66804744258</v>
      </c>
      <c r="BB12" s="530">
        <v>100840.901209441</v>
      </c>
      <c r="BC12" s="530">
        <v>94077.473998089437</v>
      </c>
      <c r="BD12" s="530">
        <v>97965.786870875338</v>
      </c>
      <c r="BE12" s="530">
        <v>99326.41133761844</v>
      </c>
      <c r="BF12" s="530">
        <v>158077.12546196338</v>
      </c>
      <c r="BG12" s="530">
        <v>125065.3233318807</v>
      </c>
      <c r="BH12" s="530">
        <v>130777.60560729186</v>
      </c>
      <c r="BI12" s="530">
        <v>106192.55243905216</v>
      </c>
      <c r="BJ12" s="530">
        <v>133241.34513306178</v>
      </c>
      <c r="BK12" s="530">
        <v>128329.53206531231</v>
      </c>
      <c r="BL12" s="530">
        <v>96628.187022835307</v>
      </c>
      <c r="BM12" s="530">
        <v>119335.49227237162</v>
      </c>
      <c r="BN12" s="530">
        <v>108195.55533186978</v>
      </c>
      <c r="BO12" s="530">
        <v>120365.85888239012</v>
      </c>
      <c r="BP12" s="530">
        <v>107392.98153682993</v>
      </c>
      <c r="BQ12" s="530">
        <v>112992.39030363502</v>
      </c>
      <c r="BR12" s="530">
        <v>131721.58106084421</v>
      </c>
      <c r="BS12" s="530">
        <v>119566.45985169409</v>
      </c>
      <c r="BT12" s="530">
        <v>99416.739578419336</v>
      </c>
      <c r="BU12" s="530">
        <v>141979.28041154312</v>
      </c>
      <c r="BV12" s="530">
        <v>105742.52227212832</v>
      </c>
      <c r="BW12" s="530">
        <v>120916.16514611505</v>
      </c>
      <c r="BX12" s="530">
        <v>111281.4906108306</v>
      </c>
      <c r="BY12" s="530">
        <v>96324.357737041006</v>
      </c>
      <c r="BZ12" s="530">
        <v>111701.74338919876</v>
      </c>
      <c r="CA12" s="530">
        <v>130041.58233237863</v>
      </c>
      <c r="CB12" s="530">
        <v>164625.22489098794</v>
      </c>
      <c r="CC12" s="530">
        <v>121214.89479830113</v>
      </c>
      <c r="CD12" s="530">
        <v>88390.117125898221</v>
      </c>
      <c r="CE12" s="530">
        <v>88450.408214334937</v>
      </c>
      <c r="CF12" s="530">
        <v>81356.632364489778</v>
      </c>
      <c r="CG12" s="530">
        <v>92859.566433121945</v>
      </c>
      <c r="CH12" s="530">
        <v>78775.876932494823</v>
      </c>
      <c r="CI12" s="530">
        <v>78816.809936862745</v>
      </c>
      <c r="CJ12" s="530">
        <v>81735.695422854333</v>
      </c>
      <c r="CK12" s="530">
        <v>91743.457359064501</v>
      </c>
      <c r="CL12" s="530">
        <v>87936.487565601215</v>
      </c>
      <c r="CM12" s="530">
        <v>87436.682621910542</v>
      </c>
      <c r="CN12" s="530">
        <v>87031.67077482141</v>
      </c>
      <c r="CO12" s="530">
        <v>90068.072194647422</v>
      </c>
      <c r="CP12" s="530">
        <v>96852.947942049985</v>
      </c>
      <c r="CQ12" s="530">
        <v>98593.855402883753</v>
      </c>
      <c r="CR12" s="530">
        <v>118467.85337570451</v>
      </c>
      <c r="CS12" s="530">
        <v>116513.50344289924</v>
      </c>
      <c r="CT12" s="530">
        <v>127065.83107103407</v>
      </c>
      <c r="CU12" s="530">
        <v>115589.67638393448</v>
      </c>
      <c r="CV12" s="530">
        <v>132962.82575026096</v>
      </c>
      <c r="CW12" s="530">
        <v>112023.74501803216</v>
      </c>
      <c r="CX12" s="530">
        <v>109217.06220616364</v>
      </c>
      <c r="CY12" s="530">
        <v>104692.84251890982</v>
      </c>
      <c r="CZ12" s="530">
        <v>98121.346550016358</v>
      </c>
      <c r="DA12" s="530">
        <v>114790.81382303382</v>
      </c>
      <c r="DB12" s="571">
        <v>122437.53840781232</v>
      </c>
      <c r="DC12" s="530">
        <v>136516.53307719223</v>
      </c>
      <c r="DD12" s="512">
        <v>149196.04043271998</v>
      </c>
      <c r="DE12" s="512">
        <v>128579.54517849312</v>
      </c>
      <c r="DF12" s="512">
        <v>124249.98190528827</v>
      </c>
      <c r="DG12" s="512">
        <v>113605.56589950193</v>
      </c>
    </row>
    <row r="13" spans="1:111" ht="17.100000000000001" customHeight="1">
      <c r="A13" s="509"/>
      <c r="B13" s="510"/>
      <c r="C13" s="565"/>
      <c r="D13" s="565"/>
      <c r="E13" s="565"/>
      <c r="F13" s="566"/>
      <c r="G13" s="565"/>
      <c r="H13" s="567"/>
      <c r="I13" s="565"/>
      <c r="J13" s="565"/>
      <c r="K13" s="565"/>
      <c r="L13" s="565"/>
      <c r="M13" s="566"/>
      <c r="N13" s="565"/>
      <c r="O13" s="565"/>
      <c r="P13" s="565"/>
      <c r="Q13" s="565"/>
      <c r="R13" s="565"/>
      <c r="S13" s="565"/>
      <c r="T13" s="565"/>
      <c r="U13" s="565"/>
      <c r="V13" s="565"/>
      <c r="W13" s="565"/>
      <c r="X13" s="565"/>
      <c r="Y13" s="565"/>
      <c r="Z13" s="565"/>
      <c r="AA13" s="565"/>
      <c r="AB13" s="566"/>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565"/>
      <c r="BW13" s="565"/>
      <c r="BX13" s="565"/>
      <c r="BY13" s="565"/>
      <c r="BZ13" s="565"/>
      <c r="CA13" s="565"/>
      <c r="CB13" s="565"/>
      <c r="CC13" s="565"/>
      <c r="CD13" s="565"/>
      <c r="CE13" s="565"/>
      <c r="CF13" s="565"/>
      <c r="CG13" s="565"/>
      <c r="CH13" s="565"/>
      <c r="CI13" s="565"/>
      <c r="CJ13" s="565"/>
      <c r="CK13" s="565"/>
      <c r="CL13" s="565"/>
      <c r="CM13" s="565"/>
      <c r="CN13" s="565"/>
      <c r="CO13" s="565"/>
      <c r="CP13" s="565"/>
      <c r="CQ13" s="565"/>
      <c r="CR13" s="565"/>
      <c r="CS13" s="565"/>
      <c r="CT13" s="565"/>
      <c r="CU13" s="565"/>
      <c r="CV13" s="565"/>
      <c r="CW13" s="565"/>
      <c r="CX13" s="565"/>
      <c r="CY13" s="565"/>
      <c r="CZ13" s="565"/>
      <c r="DA13" s="565"/>
      <c r="DB13" s="568"/>
      <c r="DC13" s="565"/>
      <c r="DD13" s="511"/>
      <c r="DE13" s="511"/>
      <c r="DF13" s="511"/>
      <c r="DG13" s="511"/>
    </row>
    <row r="14" spans="1:111" ht="17.100000000000001" customHeight="1">
      <c r="A14" s="505" t="s">
        <v>415</v>
      </c>
      <c r="B14" s="506" t="s">
        <v>416</v>
      </c>
      <c r="C14" s="561">
        <v>82626.360389128167</v>
      </c>
      <c r="D14" s="561">
        <v>83567.312453427832</v>
      </c>
      <c r="E14" s="561">
        <v>81757.699899994375</v>
      </c>
      <c r="F14" s="562">
        <v>78884.335197591121</v>
      </c>
      <c r="G14" s="561">
        <v>78272.290446320214</v>
      </c>
      <c r="H14" s="563">
        <v>75122.342548932065</v>
      </c>
      <c r="I14" s="561">
        <v>75086.610615830927</v>
      </c>
      <c r="J14" s="561">
        <v>79052.611168353935</v>
      </c>
      <c r="K14" s="561">
        <v>78442.486392192557</v>
      </c>
      <c r="L14" s="561">
        <v>77506.998995166694</v>
      </c>
      <c r="M14" s="562">
        <v>75068.16541095679</v>
      </c>
      <c r="N14" s="561">
        <v>78846.624319984214</v>
      </c>
      <c r="O14" s="561">
        <v>78192.37447742169</v>
      </c>
      <c r="P14" s="561">
        <v>79939.833705522149</v>
      </c>
      <c r="Q14" s="561">
        <v>79577.839826028052</v>
      </c>
      <c r="R14" s="561">
        <v>75443.570082636477</v>
      </c>
      <c r="S14" s="561">
        <v>73435.359609997497</v>
      </c>
      <c r="T14" s="561">
        <v>73111.319912955354</v>
      </c>
      <c r="U14" s="561">
        <v>72806.98069229089</v>
      </c>
      <c r="V14" s="561">
        <v>71631.351229818058</v>
      </c>
      <c r="W14" s="561">
        <v>71491.119043442348</v>
      </c>
      <c r="X14" s="561">
        <v>74327.344918298666</v>
      </c>
      <c r="Y14" s="561">
        <v>79945.004682946223</v>
      </c>
      <c r="Z14" s="561">
        <v>80173.080006361197</v>
      </c>
      <c r="AA14" s="561">
        <v>81236.374323242344</v>
      </c>
      <c r="AB14" s="562">
        <v>79670.135959241612</v>
      </c>
      <c r="AC14" s="561">
        <v>82412.880946665406</v>
      </c>
      <c r="AD14" s="561">
        <v>81030.313924400878</v>
      </c>
      <c r="AE14" s="561">
        <v>80479.601918408633</v>
      </c>
      <c r="AF14" s="561">
        <v>83925.043083417695</v>
      </c>
      <c r="AG14" s="561">
        <v>83452.727416757654</v>
      </c>
      <c r="AH14" s="561">
        <v>84871.637613946776</v>
      </c>
      <c r="AI14" s="561">
        <v>85970.033963058435</v>
      </c>
      <c r="AJ14" s="561">
        <v>74046.562791216333</v>
      </c>
      <c r="AK14" s="561">
        <v>81163.989926882714</v>
      </c>
      <c r="AL14" s="561">
        <v>91316.80742407497</v>
      </c>
      <c r="AM14" s="561">
        <v>96539.980371974438</v>
      </c>
      <c r="AN14" s="561">
        <v>85873.866492769506</v>
      </c>
      <c r="AO14" s="561">
        <v>81844.776786486545</v>
      </c>
      <c r="AP14" s="561">
        <v>79127.07622286542</v>
      </c>
      <c r="AQ14" s="561">
        <v>76678.124097262553</v>
      </c>
      <c r="AR14" s="561">
        <v>75556.470414682422</v>
      </c>
      <c r="AS14" s="561">
        <v>93979.843620965083</v>
      </c>
      <c r="AT14" s="561">
        <v>77661.819176369565</v>
      </c>
      <c r="AU14" s="561">
        <v>78211.744231205434</v>
      </c>
      <c r="AV14" s="561">
        <v>79222.317912360319</v>
      </c>
      <c r="AW14" s="561">
        <v>85033.590933520463</v>
      </c>
      <c r="AX14" s="561">
        <v>86563.229182468756</v>
      </c>
      <c r="AY14" s="561">
        <v>96730.023722333659</v>
      </c>
      <c r="AZ14" s="561">
        <v>105153.85390564824</v>
      </c>
      <c r="BA14" s="561">
        <v>103493.59486433576</v>
      </c>
      <c r="BB14" s="561">
        <v>100474.35102567454</v>
      </c>
      <c r="BC14" s="561">
        <v>102914.6563340412</v>
      </c>
      <c r="BD14" s="561">
        <v>106043.44249806491</v>
      </c>
      <c r="BE14" s="561">
        <v>111036.16839818955</v>
      </c>
      <c r="BF14" s="561">
        <v>111749.17520217151</v>
      </c>
      <c r="BG14" s="561">
        <v>121874.9351728171</v>
      </c>
      <c r="BH14" s="561">
        <v>123758.83719426092</v>
      </c>
      <c r="BI14" s="561">
        <v>129716.99442449595</v>
      </c>
      <c r="BJ14" s="561">
        <v>148053.71745124331</v>
      </c>
      <c r="BK14" s="561">
        <v>144583.08279840273</v>
      </c>
      <c r="BL14" s="561">
        <v>139212.11305088253</v>
      </c>
      <c r="BM14" s="561">
        <v>140677.9113324655</v>
      </c>
      <c r="BN14" s="561">
        <v>146843.16248045588</v>
      </c>
      <c r="BO14" s="561">
        <v>143749.85896578743</v>
      </c>
      <c r="BP14" s="561">
        <v>143582.35501178046</v>
      </c>
      <c r="BQ14" s="561">
        <v>140529.94717886351</v>
      </c>
      <c r="BR14" s="561">
        <v>132222.59223122144</v>
      </c>
      <c r="BS14" s="561">
        <v>128383.79347015778</v>
      </c>
      <c r="BT14" s="561">
        <v>129312.30198168219</v>
      </c>
      <c r="BU14" s="561">
        <v>127890.33080152266</v>
      </c>
      <c r="BV14" s="561">
        <v>120646.17313871859</v>
      </c>
      <c r="BW14" s="561">
        <v>130881.52481520401</v>
      </c>
      <c r="BX14" s="561">
        <v>134800.38709182254</v>
      </c>
      <c r="BY14" s="561">
        <v>136678.66558510187</v>
      </c>
      <c r="BZ14" s="561">
        <v>133408.66838813169</v>
      </c>
      <c r="CA14" s="561">
        <v>134942.43902747094</v>
      </c>
      <c r="CB14" s="561">
        <v>127668.48975939756</v>
      </c>
      <c r="CC14" s="561">
        <v>124817.16336947604</v>
      </c>
      <c r="CD14" s="561">
        <v>136694.46976323763</v>
      </c>
      <c r="CE14" s="561">
        <v>131440.71090583361</v>
      </c>
      <c r="CF14" s="561">
        <v>134575.68138529616</v>
      </c>
      <c r="CG14" s="561">
        <v>138333.95997681268</v>
      </c>
      <c r="CH14" s="561">
        <v>134417.71675145789</v>
      </c>
      <c r="CI14" s="561">
        <v>144801.20404873413</v>
      </c>
      <c r="CJ14" s="561">
        <v>137015.58247171863</v>
      </c>
      <c r="CK14" s="561">
        <v>142202.88458265382</v>
      </c>
      <c r="CL14" s="561">
        <v>144769.32789235353</v>
      </c>
      <c r="CM14" s="561">
        <v>146232.46112448504</v>
      </c>
      <c r="CN14" s="561">
        <v>153178.67398663203</v>
      </c>
      <c r="CO14" s="561">
        <v>133503.22152563324</v>
      </c>
      <c r="CP14" s="561">
        <v>138177.67327067017</v>
      </c>
      <c r="CQ14" s="561">
        <v>142999.52260843097</v>
      </c>
      <c r="CR14" s="561">
        <v>151331.4072328991</v>
      </c>
      <c r="CS14" s="561">
        <v>150923.370790405</v>
      </c>
      <c r="CT14" s="561">
        <v>152572.23217010536</v>
      </c>
      <c r="CU14" s="561">
        <v>148990.09043479088</v>
      </c>
      <c r="CV14" s="561">
        <v>159291.67256344034</v>
      </c>
      <c r="CW14" s="561">
        <v>157710.66728859462</v>
      </c>
      <c r="CX14" s="561">
        <v>161924.4571730243</v>
      </c>
      <c r="CY14" s="561">
        <v>150105.813795828</v>
      </c>
      <c r="CZ14" s="561">
        <v>156624.60616534439</v>
      </c>
      <c r="DA14" s="561">
        <v>150203.52151299853</v>
      </c>
      <c r="DB14" s="564">
        <v>154812.61306433793</v>
      </c>
      <c r="DC14" s="561">
        <v>154510.75644848877</v>
      </c>
      <c r="DD14" s="507">
        <v>158914.36183453017</v>
      </c>
      <c r="DE14" s="507">
        <v>154662.6408893498</v>
      </c>
      <c r="DF14" s="507">
        <v>160714.9066653242</v>
      </c>
      <c r="DG14" s="507">
        <v>165991.31300809968</v>
      </c>
    </row>
    <row r="15" spans="1:111" ht="17.100000000000001" customHeight="1">
      <c r="A15" s="509"/>
      <c r="B15" s="510"/>
      <c r="C15" s="565"/>
      <c r="D15" s="565"/>
      <c r="E15" s="565"/>
      <c r="F15" s="566"/>
      <c r="G15" s="565"/>
      <c r="H15" s="567"/>
      <c r="I15" s="565"/>
      <c r="J15" s="565"/>
      <c r="K15" s="565"/>
      <c r="L15" s="565"/>
      <c r="M15" s="566"/>
      <c r="N15" s="565"/>
      <c r="O15" s="565"/>
      <c r="P15" s="565"/>
      <c r="Q15" s="565"/>
      <c r="R15" s="565"/>
      <c r="S15" s="565"/>
      <c r="T15" s="565"/>
      <c r="U15" s="565"/>
      <c r="V15" s="565"/>
      <c r="W15" s="565"/>
      <c r="X15" s="565"/>
      <c r="Y15" s="565"/>
      <c r="Z15" s="565"/>
      <c r="AA15" s="565"/>
      <c r="AB15" s="566"/>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565"/>
      <c r="BW15" s="565"/>
      <c r="BX15" s="565"/>
      <c r="BY15" s="565"/>
      <c r="BZ15" s="565"/>
      <c r="CA15" s="565"/>
      <c r="CB15" s="565"/>
      <c r="CC15" s="565"/>
      <c r="CD15" s="565"/>
      <c r="CE15" s="565"/>
      <c r="CF15" s="565"/>
      <c r="CG15" s="565"/>
      <c r="CH15" s="565"/>
      <c r="CI15" s="565"/>
      <c r="CJ15" s="565"/>
      <c r="CK15" s="565"/>
      <c r="CL15" s="565"/>
      <c r="CM15" s="565"/>
      <c r="CN15" s="565"/>
      <c r="CO15" s="565"/>
      <c r="CP15" s="565"/>
      <c r="CQ15" s="565"/>
      <c r="CR15" s="565"/>
      <c r="CS15" s="565"/>
      <c r="CT15" s="565"/>
      <c r="CU15" s="565"/>
      <c r="CV15" s="565"/>
      <c r="CW15" s="565"/>
      <c r="CX15" s="565"/>
      <c r="CY15" s="565"/>
      <c r="CZ15" s="565"/>
      <c r="DA15" s="565"/>
      <c r="DB15" s="568"/>
      <c r="DC15" s="565"/>
      <c r="DD15" s="511"/>
      <c r="DE15" s="511"/>
      <c r="DF15" s="511"/>
      <c r="DG15" s="511"/>
    </row>
    <row r="16" spans="1:111" ht="17.100000000000001" customHeight="1">
      <c r="A16" s="505" t="s">
        <v>417</v>
      </c>
      <c r="B16" s="506" t="s">
        <v>201</v>
      </c>
      <c r="C16" s="561">
        <v>179764.18146169593</v>
      </c>
      <c r="D16" s="561">
        <v>179591.61172792967</v>
      </c>
      <c r="E16" s="561">
        <v>180400.63368034217</v>
      </c>
      <c r="F16" s="562">
        <v>190932.37516618377</v>
      </c>
      <c r="G16" s="561">
        <v>188730.85419042656</v>
      </c>
      <c r="H16" s="563">
        <v>192952.9797188151</v>
      </c>
      <c r="I16" s="561">
        <v>195300.45640721545</v>
      </c>
      <c r="J16" s="561">
        <v>191302.08613044658</v>
      </c>
      <c r="K16" s="561">
        <v>188755.17446339058</v>
      </c>
      <c r="L16" s="561">
        <v>191139.48148165486</v>
      </c>
      <c r="M16" s="562">
        <v>199822.1173350476</v>
      </c>
      <c r="N16" s="561">
        <v>200946.74230554287</v>
      </c>
      <c r="O16" s="561">
        <v>201150.54437579276</v>
      </c>
      <c r="P16" s="561">
        <v>206000.09023063336</v>
      </c>
      <c r="Q16" s="561">
        <v>211691.52381715903</v>
      </c>
      <c r="R16" s="561">
        <v>215910.97425066982</v>
      </c>
      <c r="S16" s="561">
        <v>220003.52132813956</v>
      </c>
      <c r="T16" s="561">
        <v>227908.96346601471</v>
      </c>
      <c r="U16" s="561">
        <v>232633.69410979754</v>
      </c>
      <c r="V16" s="561">
        <v>237287.73676774194</v>
      </c>
      <c r="W16" s="561">
        <v>242373.00131097407</v>
      </c>
      <c r="X16" s="561">
        <v>256451.18042543554</v>
      </c>
      <c r="Y16" s="561">
        <v>260758.93102484845</v>
      </c>
      <c r="Z16" s="561">
        <v>267888.69959609298</v>
      </c>
      <c r="AA16" s="561">
        <v>278542.66735049873</v>
      </c>
      <c r="AB16" s="562">
        <v>276414.0546749708</v>
      </c>
      <c r="AC16" s="561">
        <v>278190.94833163772</v>
      </c>
      <c r="AD16" s="561">
        <v>285376.88376735453</v>
      </c>
      <c r="AE16" s="561">
        <v>294626.79030478245</v>
      </c>
      <c r="AF16" s="561">
        <v>305220.11318666465</v>
      </c>
      <c r="AG16" s="561">
        <v>305414.48065076885</v>
      </c>
      <c r="AH16" s="561">
        <v>316464.27412598266</v>
      </c>
      <c r="AI16" s="561">
        <v>321488.08190471033</v>
      </c>
      <c r="AJ16" s="561">
        <v>324718.76942076941</v>
      </c>
      <c r="AK16" s="561">
        <v>334334.91390119802</v>
      </c>
      <c r="AL16" s="561">
        <v>353784.7891928301</v>
      </c>
      <c r="AM16" s="561">
        <v>344918.27478603664</v>
      </c>
      <c r="AN16" s="561">
        <v>351080.79259677895</v>
      </c>
      <c r="AO16" s="561">
        <v>366799.36755449406</v>
      </c>
      <c r="AP16" s="561">
        <v>378298.36246365175</v>
      </c>
      <c r="AQ16" s="561">
        <v>405673.81507120864</v>
      </c>
      <c r="AR16" s="561">
        <v>407645.48360256373</v>
      </c>
      <c r="AS16" s="561">
        <v>406034.25630723045</v>
      </c>
      <c r="AT16" s="561">
        <v>406375.12004752737</v>
      </c>
      <c r="AU16" s="561">
        <v>407599.22215343959</v>
      </c>
      <c r="AV16" s="561">
        <v>392946.15722075611</v>
      </c>
      <c r="AW16" s="561">
        <v>387571.1121437776</v>
      </c>
      <c r="AX16" s="561">
        <v>382553.5277641057</v>
      </c>
      <c r="AY16" s="561">
        <v>378714.36046257848</v>
      </c>
      <c r="AZ16" s="561">
        <v>384547.53966456914</v>
      </c>
      <c r="BA16" s="561">
        <v>392966.88784112025</v>
      </c>
      <c r="BB16" s="561">
        <v>390396.04204216122</v>
      </c>
      <c r="BC16" s="561">
        <v>374723.27415283828</v>
      </c>
      <c r="BD16" s="561">
        <v>368585.876975864</v>
      </c>
      <c r="BE16" s="561">
        <v>369234.04283372802</v>
      </c>
      <c r="BF16" s="561">
        <v>367004.62905803765</v>
      </c>
      <c r="BG16" s="561">
        <v>373325.19938802731</v>
      </c>
      <c r="BH16" s="561">
        <v>368662.33569503558</v>
      </c>
      <c r="BI16" s="561">
        <v>374090.97362944548</v>
      </c>
      <c r="BJ16" s="561">
        <v>400651.4841397191</v>
      </c>
      <c r="BK16" s="561">
        <v>411413.14709731407</v>
      </c>
      <c r="BL16" s="561">
        <v>410272.1869251008</v>
      </c>
      <c r="BM16" s="561">
        <v>419210.44856338523</v>
      </c>
      <c r="BN16" s="561">
        <v>414383.54595580377</v>
      </c>
      <c r="BO16" s="561">
        <v>411871.50668126525</v>
      </c>
      <c r="BP16" s="561">
        <v>414354.97821152146</v>
      </c>
      <c r="BQ16" s="561">
        <v>427334.60872403492</v>
      </c>
      <c r="BR16" s="561">
        <v>422538.62061731407</v>
      </c>
      <c r="BS16" s="561">
        <v>427846.11300471361</v>
      </c>
      <c r="BT16" s="561">
        <v>431186.02208875871</v>
      </c>
      <c r="BU16" s="561">
        <v>428538.19527020393</v>
      </c>
      <c r="BV16" s="561">
        <v>445161.06554927357</v>
      </c>
      <c r="BW16" s="561">
        <v>453707.34446915303</v>
      </c>
      <c r="BX16" s="561">
        <v>458523.23958994192</v>
      </c>
      <c r="BY16" s="561">
        <v>467036.74765025225</v>
      </c>
      <c r="BZ16" s="561">
        <v>474422.99957642856</v>
      </c>
      <c r="CA16" s="561">
        <v>475904.6376257154</v>
      </c>
      <c r="CB16" s="561">
        <v>484559.66586078994</v>
      </c>
      <c r="CC16" s="561">
        <v>496998.63777517405</v>
      </c>
      <c r="CD16" s="561">
        <v>500608.26110202086</v>
      </c>
      <c r="CE16" s="561">
        <v>488704.15101132356</v>
      </c>
      <c r="CF16" s="561">
        <v>489964.81371050281</v>
      </c>
      <c r="CG16" s="561">
        <v>490261.90212582826</v>
      </c>
      <c r="CH16" s="561">
        <v>501158.97295709484</v>
      </c>
      <c r="CI16" s="561">
        <v>520940.20937516302</v>
      </c>
      <c r="CJ16" s="561">
        <v>513303.51404687302</v>
      </c>
      <c r="CK16" s="561">
        <v>505733.67093811667</v>
      </c>
      <c r="CL16" s="561">
        <v>510038.05878588563</v>
      </c>
      <c r="CM16" s="561">
        <v>525115.37969341618</v>
      </c>
      <c r="CN16" s="561">
        <v>535255.1564709571</v>
      </c>
      <c r="CO16" s="561">
        <v>534442.85094956658</v>
      </c>
      <c r="CP16" s="561">
        <v>528829.43426212191</v>
      </c>
      <c r="CQ16" s="561">
        <v>535822.38178457937</v>
      </c>
      <c r="CR16" s="561">
        <v>525131.19322032225</v>
      </c>
      <c r="CS16" s="561">
        <v>534376.31631043565</v>
      </c>
      <c r="CT16" s="561">
        <v>535363.84443642141</v>
      </c>
      <c r="CU16" s="561">
        <v>538156.66287378431</v>
      </c>
      <c r="CV16" s="561">
        <v>543695.71162569243</v>
      </c>
      <c r="CW16" s="561">
        <v>551922.62491460016</v>
      </c>
      <c r="CX16" s="561">
        <v>544505.03973308753</v>
      </c>
      <c r="CY16" s="561">
        <v>543406.81317608012</v>
      </c>
      <c r="CZ16" s="561">
        <v>550613.79821316188</v>
      </c>
      <c r="DA16" s="561">
        <v>544218.35939599189</v>
      </c>
      <c r="DB16" s="564">
        <v>541476.82614647131</v>
      </c>
      <c r="DC16" s="561">
        <v>540511.9295587606</v>
      </c>
      <c r="DD16" s="507">
        <v>536325.59287506342</v>
      </c>
      <c r="DE16" s="507">
        <v>548346.18336922873</v>
      </c>
      <c r="DF16" s="507">
        <v>554961.94959534938</v>
      </c>
      <c r="DG16" s="507">
        <v>555541.68647027446</v>
      </c>
    </row>
    <row r="17" spans="1:111" ht="17.100000000000001" customHeight="1">
      <c r="A17" s="509"/>
      <c r="B17" s="510"/>
      <c r="C17" s="565"/>
      <c r="D17" s="565"/>
      <c r="E17" s="565"/>
      <c r="F17" s="566"/>
      <c r="G17" s="565"/>
      <c r="H17" s="567"/>
      <c r="I17" s="565"/>
      <c r="J17" s="565"/>
      <c r="K17" s="565"/>
      <c r="L17" s="565"/>
      <c r="M17" s="566"/>
      <c r="N17" s="565"/>
      <c r="O17" s="565"/>
      <c r="P17" s="565"/>
      <c r="Q17" s="565"/>
      <c r="R17" s="565"/>
      <c r="S17" s="565"/>
      <c r="T17" s="565"/>
      <c r="U17" s="565"/>
      <c r="V17" s="565"/>
      <c r="W17" s="565"/>
      <c r="X17" s="565"/>
      <c r="Y17" s="565"/>
      <c r="Z17" s="565"/>
      <c r="AA17" s="565"/>
      <c r="AB17" s="566"/>
      <c r="AC17" s="565"/>
      <c r="AD17" s="565"/>
      <c r="AE17" s="565"/>
      <c r="AF17" s="565"/>
      <c r="AG17" s="565"/>
      <c r="AH17" s="565"/>
      <c r="AI17" s="565"/>
      <c r="AJ17" s="565"/>
      <c r="AK17" s="565"/>
      <c r="AL17" s="565"/>
      <c r="AM17" s="565"/>
      <c r="AN17" s="565"/>
      <c r="AO17" s="565"/>
      <c r="AP17" s="565"/>
      <c r="AQ17" s="565"/>
      <c r="AR17" s="565"/>
      <c r="AS17" s="565"/>
      <c r="AT17" s="565"/>
      <c r="AU17" s="565"/>
      <c r="AV17" s="565"/>
      <c r="AW17" s="565"/>
      <c r="AX17" s="565"/>
      <c r="AY17" s="565"/>
      <c r="AZ17" s="565"/>
      <c r="BA17" s="565"/>
      <c r="BB17" s="565"/>
      <c r="BC17" s="565"/>
      <c r="BD17" s="565"/>
      <c r="BE17" s="565"/>
      <c r="BF17" s="565"/>
      <c r="BG17" s="565"/>
      <c r="BH17" s="565"/>
      <c r="BI17" s="565"/>
      <c r="BJ17" s="565"/>
      <c r="BK17" s="565"/>
      <c r="BL17" s="565"/>
      <c r="BM17" s="565"/>
      <c r="BN17" s="565"/>
      <c r="BO17" s="565"/>
      <c r="BP17" s="565"/>
      <c r="BQ17" s="565"/>
      <c r="BR17" s="565"/>
      <c r="BS17" s="565"/>
      <c r="BT17" s="565"/>
      <c r="BU17" s="565"/>
      <c r="BV17" s="565"/>
      <c r="BW17" s="565"/>
      <c r="BX17" s="565"/>
      <c r="BY17" s="565"/>
      <c r="BZ17" s="565"/>
      <c r="CA17" s="565"/>
      <c r="CB17" s="565"/>
      <c r="CC17" s="565"/>
      <c r="CD17" s="565"/>
      <c r="CE17" s="565"/>
      <c r="CF17" s="565"/>
      <c r="CG17" s="565"/>
      <c r="CH17" s="565"/>
      <c r="CI17" s="565"/>
      <c r="CJ17" s="565"/>
      <c r="CK17" s="565"/>
      <c r="CL17" s="565"/>
      <c r="CM17" s="565"/>
      <c r="CN17" s="565"/>
      <c r="CO17" s="565"/>
      <c r="CP17" s="565"/>
      <c r="CQ17" s="565"/>
      <c r="CR17" s="565"/>
      <c r="CS17" s="565"/>
      <c r="CT17" s="565"/>
      <c r="CU17" s="565"/>
      <c r="CV17" s="565"/>
      <c r="CW17" s="565"/>
      <c r="CX17" s="565"/>
      <c r="CY17" s="565"/>
      <c r="CZ17" s="565"/>
      <c r="DA17" s="565"/>
      <c r="DB17" s="568"/>
      <c r="DC17" s="565"/>
      <c r="DD17" s="511"/>
      <c r="DE17" s="511"/>
      <c r="DF17" s="511"/>
      <c r="DG17" s="511"/>
    </row>
    <row r="18" spans="1:111" ht="17.100000000000001" customHeight="1">
      <c r="A18" s="505" t="s">
        <v>418</v>
      </c>
      <c r="B18" s="506" t="s">
        <v>419</v>
      </c>
      <c r="C18" s="561">
        <v>5282.042762257528</v>
      </c>
      <c r="D18" s="561">
        <v>6123.5235808214493</v>
      </c>
      <c r="E18" s="561">
        <v>6153.1801983783034</v>
      </c>
      <c r="F18" s="562">
        <v>6063.0566770590876</v>
      </c>
      <c r="G18" s="561">
        <v>6273.5712235014062</v>
      </c>
      <c r="H18" s="563">
        <v>6431.3921764998713</v>
      </c>
      <c r="I18" s="561">
        <v>6675.5342359677488</v>
      </c>
      <c r="J18" s="561">
        <v>6123.3352067205733</v>
      </c>
      <c r="K18" s="561">
        <v>6391.2170966939248</v>
      </c>
      <c r="L18" s="561">
        <v>6609.6105331083254</v>
      </c>
      <c r="M18" s="562">
        <v>6482.459391530756</v>
      </c>
      <c r="N18" s="561">
        <v>6162.9194693860054</v>
      </c>
      <c r="O18" s="561">
        <v>7050.0320425050813</v>
      </c>
      <c r="P18" s="561">
        <v>7810.9919800473563</v>
      </c>
      <c r="Q18" s="561">
        <v>8162.7798835411477</v>
      </c>
      <c r="R18" s="561">
        <v>8339.9352781056496</v>
      </c>
      <c r="S18" s="561">
        <v>8775.1399464384449</v>
      </c>
      <c r="T18" s="561">
        <v>9056.0215949071808</v>
      </c>
      <c r="U18" s="561">
        <v>9113.2825619745945</v>
      </c>
      <c r="V18" s="561">
        <v>8864.1059087831745</v>
      </c>
      <c r="W18" s="561">
        <v>8836.9800189444995</v>
      </c>
      <c r="X18" s="561">
        <v>9046.9744280820723</v>
      </c>
      <c r="Y18" s="561">
        <v>8892.6326690806345</v>
      </c>
      <c r="Z18" s="561">
        <v>9159.700990851059</v>
      </c>
      <c r="AA18" s="561">
        <v>9714.1885484408103</v>
      </c>
      <c r="AB18" s="562">
        <v>9721.5077135713418</v>
      </c>
      <c r="AC18" s="561">
        <v>9637.4572681773534</v>
      </c>
      <c r="AD18" s="561">
        <v>9905.6636775367569</v>
      </c>
      <c r="AE18" s="561">
        <v>10070.92471456089</v>
      </c>
      <c r="AF18" s="561">
        <v>9905.6309114562446</v>
      </c>
      <c r="AG18" s="561">
        <v>9492.5063277130303</v>
      </c>
      <c r="AH18" s="561">
        <v>9140.6115855565113</v>
      </c>
      <c r="AI18" s="561">
        <v>9097.9581863881867</v>
      </c>
      <c r="AJ18" s="561">
        <v>9049.2120614765481</v>
      </c>
      <c r="AK18" s="561">
        <v>9451.7013272666081</v>
      </c>
      <c r="AL18" s="561">
        <v>9903.4702497332273</v>
      </c>
      <c r="AM18" s="561">
        <v>10266.522122360468</v>
      </c>
      <c r="AN18" s="561">
        <v>10138.398130109386</v>
      </c>
      <c r="AO18" s="561">
        <v>10258.146089774506</v>
      </c>
      <c r="AP18" s="561">
        <v>10123.111599918151</v>
      </c>
      <c r="AQ18" s="561">
        <v>10381.543188819252</v>
      </c>
      <c r="AR18" s="561">
        <v>10247.739571464119</v>
      </c>
      <c r="AS18" s="561">
        <v>10020.429651028317</v>
      </c>
      <c r="AT18" s="561">
        <v>10457.706461113652</v>
      </c>
      <c r="AU18" s="561">
        <v>10427.419027896141</v>
      </c>
      <c r="AV18" s="561">
        <v>10321.16999048943</v>
      </c>
      <c r="AW18" s="561">
        <v>10757.798135475576</v>
      </c>
      <c r="AX18" s="561">
        <v>10905.522944980214</v>
      </c>
      <c r="AY18" s="561">
        <v>11138.713318420934</v>
      </c>
      <c r="AZ18" s="561">
        <v>10946.915813885547</v>
      </c>
      <c r="BA18" s="561">
        <v>11002.011173572051</v>
      </c>
      <c r="BB18" s="561">
        <v>11322.968254376423</v>
      </c>
      <c r="BC18" s="561">
        <v>11229.967388345669</v>
      </c>
      <c r="BD18" s="561">
        <v>10773.805149697238</v>
      </c>
      <c r="BE18" s="561">
        <v>10544.653757608021</v>
      </c>
      <c r="BF18" s="561">
        <v>10624.524407957028</v>
      </c>
      <c r="BG18" s="561">
        <v>10114.274971665242</v>
      </c>
      <c r="BH18" s="561">
        <v>10400.813354384767</v>
      </c>
      <c r="BI18" s="561">
        <v>10340.646852045124</v>
      </c>
      <c r="BJ18" s="561">
        <v>10667.759708783247</v>
      </c>
      <c r="BK18" s="561">
        <v>10824.915072189777</v>
      </c>
      <c r="BL18" s="561">
        <v>10531.243095866486</v>
      </c>
      <c r="BM18" s="561">
        <v>10469.677174365628</v>
      </c>
      <c r="BN18" s="561">
        <v>10644.814493983091</v>
      </c>
      <c r="BO18" s="561">
        <v>10490.394928120415</v>
      </c>
      <c r="BP18" s="561">
        <v>10669.389382399033</v>
      </c>
      <c r="BQ18" s="561">
        <v>11197.725749705383</v>
      </c>
      <c r="BR18" s="561">
        <v>11143.212660116214</v>
      </c>
      <c r="BS18" s="561">
        <v>14201.062500297105</v>
      </c>
      <c r="BT18" s="561">
        <v>14189.63483859886</v>
      </c>
      <c r="BU18" s="561">
        <v>14068.346302054286</v>
      </c>
      <c r="BV18" s="561">
        <v>14326.580397842639</v>
      </c>
      <c r="BW18" s="561">
        <v>14744.866356662254</v>
      </c>
      <c r="BX18" s="561">
        <v>14606.023406897541</v>
      </c>
      <c r="BY18" s="561">
        <v>14364.851775402482</v>
      </c>
      <c r="BZ18" s="561">
        <v>15612.987536650087</v>
      </c>
      <c r="CA18" s="561">
        <v>15428.354063499448</v>
      </c>
      <c r="CB18" s="561">
        <v>15535.647640264111</v>
      </c>
      <c r="CC18" s="561">
        <v>12876.78512332525</v>
      </c>
      <c r="CD18" s="561">
        <v>12373.018670679581</v>
      </c>
      <c r="CE18" s="561">
        <v>12863.420396478494</v>
      </c>
      <c r="CF18" s="561">
        <v>14295.046985859741</v>
      </c>
      <c r="CG18" s="561">
        <v>14965.028151925204</v>
      </c>
      <c r="CH18" s="561">
        <v>15129.693912540921</v>
      </c>
      <c r="CI18" s="561">
        <v>15533.467592170398</v>
      </c>
      <c r="CJ18" s="561">
        <v>13880.737775192189</v>
      </c>
      <c r="CK18" s="561">
        <v>14211.997956327354</v>
      </c>
      <c r="CL18" s="561">
        <v>13462.792695712837</v>
      </c>
      <c r="CM18" s="561">
        <v>13994.288435268953</v>
      </c>
      <c r="CN18" s="561">
        <v>13732.079233812961</v>
      </c>
      <c r="CO18" s="561">
        <v>14474.851702859765</v>
      </c>
      <c r="CP18" s="561">
        <v>13976.891304580611</v>
      </c>
      <c r="CQ18" s="561">
        <v>13932.548674511505</v>
      </c>
      <c r="CR18" s="561">
        <v>14698.590223126781</v>
      </c>
      <c r="CS18" s="561">
        <v>15642.891883911605</v>
      </c>
      <c r="CT18" s="561">
        <v>17394.078206901158</v>
      </c>
      <c r="CU18" s="561">
        <v>16355.407337861781</v>
      </c>
      <c r="CV18" s="561">
        <v>15652.446757701458</v>
      </c>
      <c r="CW18" s="561">
        <v>14599.792227274063</v>
      </c>
      <c r="CX18" s="561">
        <v>15009.438083744617</v>
      </c>
      <c r="CY18" s="561">
        <v>15872.7082222155</v>
      </c>
      <c r="CZ18" s="561">
        <v>15703.22625433937</v>
      </c>
      <c r="DA18" s="561">
        <v>15337.347954661607</v>
      </c>
      <c r="DB18" s="564">
        <v>15291.423040849417</v>
      </c>
      <c r="DC18" s="561">
        <v>15304.248521302898</v>
      </c>
      <c r="DD18" s="507">
        <v>15759.424104716456</v>
      </c>
      <c r="DE18" s="507">
        <v>16177.778753034627</v>
      </c>
      <c r="DF18" s="507">
        <v>18564.249199538408</v>
      </c>
      <c r="DG18" s="507">
        <v>15253.110492563517</v>
      </c>
    </row>
    <row r="19" spans="1:111" ht="17.100000000000001" customHeight="1">
      <c r="A19" s="509"/>
      <c r="B19" s="514"/>
      <c r="C19" s="565"/>
      <c r="D19" s="565"/>
      <c r="E19" s="565"/>
      <c r="F19" s="566"/>
      <c r="G19" s="565"/>
      <c r="H19" s="567"/>
      <c r="I19" s="565"/>
      <c r="J19" s="565"/>
      <c r="K19" s="565"/>
      <c r="L19" s="565"/>
      <c r="M19" s="566"/>
      <c r="N19" s="565"/>
      <c r="O19" s="565"/>
      <c r="P19" s="565"/>
      <c r="Q19" s="565"/>
      <c r="R19" s="565"/>
      <c r="S19" s="565"/>
      <c r="T19" s="565"/>
      <c r="U19" s="565"/>
      <c r="V19" s="565"/>
      <c r="W19" s="565"/>
      <c r="X19" s="565"/>
      <c r="Y19" s="565"/>
      <c r="Z19" s="565"/>
      <c r="AA19" s="565"/>
      <c r="AB19" s="566"/>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565"/>
      <c r="BT19" s="565"/>
      <c r="BU19" s="565"/>
      <c r="BV19" s="565"/>
      <c r="BW19" s="565"/>
      <c r="BX19" s="565"/>
      <c r="BY19" s="565"/>
      <c r="BZ19" s="565"/>
      <c r="CA19" s="565"/>
      <c r="CB19" s="565"/>
      <c r="CC19" s="565"/>
      <c r="CD19" s="565"/>
      <c r="CE19" s="565"/>
      <c r="CF19" s="565"/>
      <c r="CG19" s="565"/>
      <c r="CH19" s="565"/>
      <c r="CI19" s="565"/>
      <c r="CJ19" s="565"/>
      <c r="CK19" s="565"/>
      <c r="CL19" s="565"/>
      <c r="CM19" s="565"/>
      <c r="CN19" s="565"/>
      <c r="CO19" s="565"/>
      <c r="CP19" s="565"/>
      <c r="CQ19" s="565"/>
      <c r="CR19" s="565"/>
      <c r="CS19" s="565"/>
      <c r="CT19" s="565"/>
      <c r="CU19" s="565"/>
      <c r="CV19" s="565"/>
      <c r="CW19" s="565"/>
      <c r="CX19" s="565"/>
      <c r="CY19" s="565"/>
      <c r="CZ19" s="565"/>
      <c r="DA19" s="565"/>
      <c r="DB19" s="568"/>
      <c r="DC19" s="565"/>
      <c r="DD19" s="511"/>
      <c r="DE19" s="511"/>
      <c r="DF19" s="511"/>
      <c r="DG19" s="511"/>
    </row>
    <row r="20" spans="1:111" ht="17.100000000000001" customHeight="1">
      <c r="A20" s="505" t="s">
        <v>420</v>
      </c>
      <c r="B20" s="506" t="s">
        <v>421</v>
      </c>
      <c r="C20" s="561">
        <v>0</v>
      </c>
      <c r="D20" s="561">
        <v>0</v>
      </c>
      <c r="E20" s="561">
        <v>0</v>
      </c>
      <c r="F20" s="562">
        <v>0</v>
      </c>
      <c r="G20" s="561">
        <v>0</v>
      </c>
      <c r="H20" s="563">
        <v>0</v>
      </c>
      <c r="I20" s="561">
        <v>0</v>
      </c>
      <c r="J20" s="561">
        <v>0</v>
      </c>
      <c r="K20" s="561">
        <v>0</v>
      </c>
      <c r="L20" s="561">
        <v>0</v>
      </c>
      <c r="M20" s="562">
        <v>0</v>
      </c>
      <c r="N20" s="561">
        <v>0</v>
      </c>
      <c r="O20" s="561">
        <v>0</v>
      </c>
      <c r="P20" s="561">
        <v>0</v>
      </c>
      <c r="Q20" s="561">
        <v>0</v>
      </c>
      <c r="R20" s="561">
        <v>0</v>
      </c>
      <c r="S20" s="561">
        <v>0</v>
      </c>
      <c r="T20" s="561">
        <v>0</v>
      </c>
      <c r="U20" s="561">
        <v>0</v>
      </c>
      <c r="V20" s="561">
        <v>0</v>
      </c>
      <c r="W20" s="561">
        <v>0</v>
      </c>
      <c r="X20" s="561">
        <v>0</v>
      </c>
      <c r="Y20" s="561">
        <v>0</v>
      </c>
      <c r="Z20" s="561">
        <v>0</v>
      </c>
      <c r="AA20" s="561">
        <v>0</v>
      </c>
      <c r="AB20" s="562">
        <v>0</v>
      </c>
      <c r="AC20" s="561">
        <v>0</v>
      </c>
      <c r="AD20" s="561">
        <v>0</v>
      </c>
      <c r="AE20" s="561">
        <v>0</v>
      </c>
      <c r="AF20" s="561">
        <v>0</v>
      </c>
      <c r="AG20" s="561">
        <v>0</v>
      </c>
      <c r="AH20" s="561">
        <v>0</v>
      </c>
      <c r="AI20" s="561">
        <v>0</v>
      </c>
      <c r="AJ20" s="561">
        <v>0</v>
      </c>
      <c r="AK20" s="561">
        <v>0</v>
      </c>
      <c r="AL20" s="561">
        <v>0</v>
      </c>
      <c r="AM20" s="561">
        <v>0</v>
      </c>
      <c r="AN20" s="561">
        <v>0</v>
      </c>
      <c r="AO20" s="561">
        <v>0</v>
      </c>
      <c r="AP20" s="561">
        <v>0</v>
      </c>
      <c r="AQ20" s="561">
        <v>0</v>
      </c>
      <c r="AR20" s="561">
        <v>0</v>
      </c>
      <c r="AS20" s="561">
        <v>0</v>
      </c>
      <c r="AT20" s="561">
        <v>0</v>
      </c>
      <c r="AU20" s="561">
        <v>0</v>
      </c>
      <c r="AV20" s="561">
        <v>0</v>
      </c>
      <c r="AW20" s="561">
        <v>0</v>
      </c>
      <c r="AX20" s="561">
        <v>0</v>
      </c>
      <c r="AY20" s="561">
        <v>0</v>
      </c>
      <c r="AZ20" s="561">
        <v>0</v>
      </c>
      <c r="BA20" s="561">
        <v>0</v>
      </c>
      <c r="BB20" s="561">
        <v>0</v>
      </c>
      <c r="BC20" s="561">
        <v>0</v>
      </c>
      <c r="BD20" s="561">
        <v>0</v>
      </c>
      <c r="BE20" s="561">
        <v>0</v>
      </c>
      <c r="BF20" s="561">
        <v>0</v>
      </c>
      <c r="BG20" s="561">
        <v>0</v>
      </c>
      <c r="BH20" s="561">
        <v>0</v>
      </c>
      <c r="BI20" s="561">
        <v>0</v>
      </c>
      <c r="BJ20" s="561">
        <v>0</v>
      </c>
      <c r="BK20" s="561">
        <v>0</v>
      </c>
      <c r="BL20" s="561">
        <v>0</v>
      </c>
      <c r="BM20" s="561">
        <v>0</v>
      </c>
      <c r="BN20" s="561">
        <v>0</v>
      </c>
      <c r="BO20" s="561">
        <v>0</v>
      </c>
      <c r="BP20" s="561">
        <v>0</v>
      </c>
      <c r="BQ20" s="561">
        <v>0</v>
      </c>
      <c r="BR20" s="561">
        <v>0</v>
      </c>
      <c r="BS20" s="561">
        <v>0</v>
      </c>
      <c r="BT20" s="561">
        <v>0</v>
      </c>
      <c r="BU20" s="561">
        <v>0</v>
      </c>
      <c r="BV20" s="561">
        <v>0</v>
      </c>
      <c r="BW20" s="561">
        <v>0</v>
      </c>
      <c r="BX20" s="561">
        <v>0</v>
      </c>
      <c r="BY20" s="561">
        <v>0</v>
      </c>
      <c r="BZ20" s="561">
        <v>0</v>
      </c>
      <c r="CA20" s="561">
        <v>0</v>
      </c>
      <c r="CB20" s="561">
        <v>0</v>
      </c>
      <c r="CC20" s="561">
        <v>0</v>
      </c>
      <c r="CD20" s="561">
        <v>0</v>
      </c>
      <c r="CE20" s="561">
        <v>0</v>
      </c>
      <c r="CF20" s="561">
        <v>0</v>
      </c>
      <c r="CG20" s="561">
        <v>0</v>
      </c>
      <c r="CH20" s="561">
        <v>0</v>
      </c>
      <c r="CI20" s="561">
        <v>0</v>
      </c>
      <c r="CJ20" s="561">
        <v>0</v>
      </c>
      <c r="CK20" s="561">
        <v>0</v>
      </c>
      <c r="CL20" s="561">
        <v>0</v>
      </c>
      <c r="CM20" s="561">
        <v>0</v>
      </c>
      <c r="CN20" s="561">
        <v>0</v>
      </c>
      <c r="CO20" s="561">
        <v>0</v>
      </c>
      <c r="CP20" s="561">
        <v>0</v>
      </c>
      <c r="CQ20" s="561">
        <v>0</v>
      </c>
      <c r="CR20" s="561">
        <v>0</v>
      </c>
      <c r="CS20" s="561">
        <v>0</v>
      </c>
      <c r="CT20" s="561">
        <v>0</v>
      </c>
      <c r="CU20" s="561">
        <v>0</v>
      </c>
      <c r="CV20" s="561">
        <v>0</v>
      </c>
      <c r="CW20" s="561">
        <v>0</v>
      </c>
      <c r="CX20" s="561">
        <v>0</v>
      </c>
      <c r="CY20" s="561">
        <v>0</v>
      </c>
      <c r="CZ20" s="561">
        <v>0</v>
      </c>
      <c r="DA20" s="561">
        <v>0</v>
      </c>
      <c r="DB20" s="564">
        <v>0</v>
      </c>
      <c r="DC20" s="561">
        <v>0</v>
      </c>
      <c r="DD20" s="507">
        <v>0</v>
      </c>
      <c r="DE20" s="507">
        <v>0</v>
      </c>
      <c r="DF20" s="507">
        <v>0</v>
      </c>
      <c r="DG20" s="507">
        <v>0</v>
      </c>
    </row>
    <row r="21" spans="1:111" ht="17.100000000000001" customHeight="1">
      <c r="A21" s="509"/>
      <c r="B21" s="510"/>
      <c r="C21" s="565"/>
      <c r="D21" s="565"/>
      <c r="E21" s="565"/>
      <c r="F21" s="566"/>
      <c r="G21" s="565"/>
      <c r="H21" s="567"/>
      <c r="I21" s="565"/>
      <c r="J21" s="565"/>
      <c r="K21" s="565"/>
      <c r="L21" s="565"/>
      <c r="M21" s="566"/>
      <c r="N21" s="565"/>
      <c r="O21" s="565"/>
      <c r="P21" s="565"/>
      <c r="Q21" s="565"/>
      <c r="R21" s="565"/>
      <c r="S21" s="565"/>
      <c r="T21" s="565"/>
      <c r="U21" s="565"/>
      <c r="V21" s="565"/>
      <c r="W21" s="565"/>
      <c r="X21" s="565"/>
      <c r="Y21" s="565"/>
      <c r="Z21" s="565"/>
      <c r="AA21" s="565"/>
      <c r="AB21" s="566"/>
      <c r="AC21" s="565"/>
      <c r="AD21" s="565"/>
      <c r="AE21" s="565"/>
      <c r="AF21" s="565"/>
      <c r="AG21" s="565"/>
      <c r="AH21" s="565"/>
      <c r="AI21" s="565"/>
      <c r="AJ21" s="565"/>
      <c r="AK21" s="565"/>
      <c r="AL21" s="565"/>
      <c r="AM21" s="565"/>
      <c r="AN21" s="565"/>
      <c r="AO21" s="565"/>
      <c r="AP21" s="565"/>
      <c r="AQ21" s="565"/>
      <c r="AR21" s="565"/>
      <c r="AS21" s="565"/>
      <c r="AT21" s="565"/>
      <c r="AU21" s="565"/>
      <c r="AV21" s="565"/>
      <c r="AW21" s="565"/>
      <c r="AX21" s="565"/>
      <c r="AY21" s="565"/>
      <c r="AZ21" s="565"/>
      <c r="BA21" s="565"/>
      <c r="BB21" s="565"/>
      <c r="BC21" s="565"/>
      <c r="BD21" s="565"/>
      <c r="BE21" s="565"/>
      <c r="BF21" s="565"/>
      <c r="BG21" s="565"/>
      <c r="BH21" s="565"/>
      <c r="BI21" s="565"/>
      <c r="BJ21" s="565"/>
      <c r="BK21" s="565"/>
      <c r="BL21" s="565"/>
      <c r="BM21" s="565"/>
      <c r="BN21" s="565"/>
      <c r="BO21" s="565"/>
      <c r="BP21" s="565"/>
      <c r="BQ21" s="565"/>
      <c r="BR21" s="565"/>
      <c r="BS21" s="565"/>
      <c r="BT21" s="565"/>
      <c r="BU21" s="565"/>
      <c r="BV21" s="565"/>
      <c r="BW21" s="565"/>
      <c r="BX21" s="565"/>
      <c r="BY21" s="565"/>
      <c r="BZ21" s="565"/>
      <c r="CA21" s="565"/>
      <c r="CB21" s="565"/>
      <c r="CC21" s="565"/>
      <c r="CD21" s="565"/>
      <c r="CE21" s="565"/>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8"/>
      <c r="DC21" s="565"/>
      <c r="DD21" s="511"/>
      <c r="DE21" s="511"/>
      <c r="DF21" s="511"/>
      <c r="DG21" s="511"/>
    </row>
    <row r="22" spans="1:111" ht="17.100000000000001" customHeight="1">
      <c r="A22" s="505" t="s">
        <v>422</v>
      </c>
      <c r="B22" s="506" t="s">
        <v>423</v>
      </c>
      <c r="C22" s="561">
        <v>26183.901282920295</v>
      </c>
      <c r="D22" s="561">
        <v>30920.629340638301</v>
      </c>
      <c r="E22" s="561">
        <v>30127.544491920886</v>
      </c>
      <c r="F22" s="562">
        <v>27572.021538983245</v>
      </c>
      <c r="G22" s="561">
        <v>33933.736539922735</v>
      </c>
      <c r="H22" s="563">
        <v>32760.140197956243</v>
      </c>
      <c r="I22" s="561">
        <v>30932.200626476388</v>
      </c>
      <c r="J22" s="561">
        <v>36789.194293661276</v>
      </c>
      <c r="K22" s="561">
        <v>38716.69300264043</v>
      </c>
      <c r="L22" s="561">
        <v>35113.899233169977</v>
      </c>
      <c r="M22" s="562">
        <v>38261.367843577915</v>
      </c>
      <c r="N22" s="561">
        <v>35373.730196793753</v>
      </c>
      <c r="O22" s="561">
        <v>30702.881672898991</v>
      </c>
      <c r="P22" s="561">
        <v>24608.514195546501</v>
      </c>
      <c r="Q22" s="561">
        <v>23590.456271051909</v>
      </c>
      <c r="R22" s="561">
        <v>26051.634146052649</v>
      </c>
      <c r="S22" s="561">
        <v>23754.468337843799</v>
      </c>
      <c r="T22" s="561">
        <v>26204.682153106383</v>
      </c>
      <c r="U22" s="561">
        <v>20675.033267786333</v>
      </c>
      <c r="V22" s="561">
        <v>22950.153968386727</v>
      </c>
      <c r="W22" s="561">
        <v>23418.528605273306</v>
      </c>
      <c r="X22" s="561">
        <v>25423.366629636468</v>
      </c>
      <c r="Y22" s="561">
        <v>29513.872719127681</v>
      </c>
      <c r="Z22" s="561">
        <v>23818.396172333396</v>
      </c>
      <c r="AA22" s="561">
        <v>34451.741724165789</v>
      </c>
      <c r="AB22" s="562">
        <v>33222.715717653664</v>
      </c>
      <c r="AC22" s="561">
        <v>30110.290967177945</v>
      </c>
      <c r="AD22" s="561">
        <v>28922.717702781105</v>
      </c>
      <c r="AE22" s="561">
        <v>34532.161147931627</v>
      </c>
      <c r="AF22" s="561">
        <v>30103.844928940875</v>
      </c>
      <c r="AG22" s="561">
        <v>26603.276718278383</v>
      </c>
      <c r="AH22" s="561">
        <v>26714.359443100075</v>
      </c>
      <c r="AI22" s="561">
        <v>40370.62161006096</v>
      </c>
      <c r="AJ22" s="561">
        <v>42571.506750741144</v>
      </c>
      <c r="AK22" s="561">
        <v>34963.558149141951</v>
      </c>
      <c r="AL22" s="561">
        <v>38700.580017500237</v>
      </c>
      <c r="AM22" s="561">
        <v>38769.383876147826</v>
      </c>
      <c r="AN22" s="561">
        <v>38750.924156272849</v>
      </c>
      <c r="AO22" s="561">
        <v>41982.447517360888</v>
      </c>
      <c r="AP22" s="561">
        <v>37091.78975061958</v>
      </c>
      <c r="AQ22" s="561">
        <v>57479.341437148803</v>
      </c>
      <c r="AR22" s="561">
        <v>42436.091494125823</v>
      </c>
      <c r="AS22" s="561">
        <v>48467.510631874728</v>
      </c>
      <c r="AT22" s="561">
        <v>43766.19374855388</v>
      </c>
      <c r="AU22" s="561">
        <v>43751.220261671922</v>
      </c>
      <c r="AV22" s="561">
        <v>43168.524312416805</v>
      </c>
      <c r="AW22" s="561">
        <v>54777.149352958186</v>
      </c>
      <c r="AX22" s="561">
        <v>56565.334847755534</v>
      </c>
      <c r="AY22" s="561">
        <v>70806.799089933018</v>
      </c>
      <c r="AZ22" s="561">
        <v>90527.344397130335</v>
      </c>
      <c r="BA22" s="561">
        <v>96028.651392077169</v>
      </c>
      <c r="BB22" s="561">
        <v>76118.656717261925</v>
      </c>
      <c r="BC22" s="561">
        <v>80474.430639867147</v>
      </c>
      <c r="BD22" s="561">
        <v>77218.847195249997</v>
      </c>
      <c r="BE22" s="561">
        <v>98721.071718576917</v>
      </c>
      <c r="BF22" s="561">
        <v>111246.1864692542</v>
      </c>
      <c r="BG22" s="561">
        <v>123630.10038815008</v>
      </c>
      <c r="BH22" s="561">
        <v>137628.01191243459</v>
      </c>
      <c r="BI22" s="561">
        <v>145174.68787323617</v>
      </c>
      <c r="BJ22" s="561">
        <v>179768.03997429187</v>
      </c>
      <c r="BK22" s="561">
        <v>170478.7823330292</v>
      </c>
      <c r="BL22" s="561">
        <v>161000.1806050069</v>
      </c>
      <c r="BM22" s="561">
        <v>164772.99928111248</v>
      </c>
      <c r="BN22" s="561">
        <v>180117.91477136695</v>
      </c>
      <c r="BO22" s="561">
        <v>196966.81957067244</v>
      </c>
      <c r="BP22" s="561">
        <v>164974.35568354317</v>
      </c>
      <c r="BQ22" s="561">
        <v>205532.71512867292</v>
      </c>
      <c r="BR22" s="561">
        <v>233615.43440302191</v>
      </c>
      <c r="BS22" s="561">
        <v>237429.01184841729</v>
      </c>
      <c r="BT22" s="561">
        <v>229439.60619730927</v>
      </c>
      <c r="BU22" s="561">
        <v>264086.64914514747</v>
      </c>
      <c r="BV22" s="561">
        <v>227132.10828651127</v>
      </c>
      <c r="BW22" s="561">
        <v>243937.36260248709</v>
      </c>
      <c r="BX22" s="561">
        <v>234468.511852241</v>
      </c>
      <c r="BY22" s="561">
        <v>223431.57729376826</v>
      </c>
      <c r="BZ22" s="561">
        <v>280749.98540102836</v>
      </c>
      <c r="CA22" s="561">
        <v>259276.10367702376</v>
      </c>
      <c r="CB22" s="561">
        <v>238813.20075755485</v>
      </c>
      <c r="CC22" s="561">
        <v>291326.19892175758</v>
      </c>
      <c r="CD22" s="561">
        <v>332228.6903683822</v>
      </c>
      <c r="CE22" s="561">
        <v>366057.60420105705</v>
      </c>
      <c r="CF22" s="561">
        <v>332692.92225448351</v>
      </c>
      <c r="CG22" s="561">
        <v>306885.93879038072</v>
      </c>
      <c r="CH22" s="561">
        <v>326897.43717744708</v>
      </c>
      <c r="CI22" s="561">
        <v>345977.21981359209</v>
      </c>
      <c r="CJ22" s="561">
        <v>356196.03470418812</v>
      </c>
      <c r="CK22" s="561">
        <v>345138.7756166319</v>
      </c>
      <c r="CL22" s="561">
        <v>352278.96527660429</v>
      </c>
      <c r="CM22" s="561">
        <v>331072.12614123517</v>
      </c>
      <c r="CN22" s="561">
        <v>288516.44618739793</v>
      </c>
      <c r="CO22" s="561">
        <v>281109.40385980502</v>
      </c>
      <c r="CP22" s="561">
        <v>298079.43139751867</v>
      </c>
      <c r="CQ22" s="561">
        <v>298951.46021708444</v>
      </c>
      <c r="CR22" s="561">
        <v>308166.34326273529</v>
      </c>
      <c r="CS22" s="561">
        <v>284867.13106017641</v>
      </c>
      <c r="CT22" s="561">
        <v>297357.83912524022</v>
      </c>
      <c r="CU22" s="561">
        <v>295323.93049225374</v>
      </c>
      <c r="CV22" s="561">
        <v>314515.56371994573</v>
      </c>
      <c r="CW22" s="561">
        <v>370297.8490114939</v>
      </c>
      <c r="CX22" s="561">
        <v>363107.71730177087</v>
      </c>
      <c r="CY22" s="561">
        <v>312843.50544339872</v>
      </c>
      <c r="CZ22" s="561">
        <v>290773.28742760501</v>
      </c>
      <c r="DA22" s="561">
        <v>245961.29706358048</v>
      </c>
      <c r="DB22" s="564">
        <v>228788.83545939447</v>
      </c>
      <c r="DC22" s="561">
        <v>236889.84815945203</v>
      </c>
      <c r="DD22" s="507">
        <v>224507.99969644891</v>
      </c>
      <c r="DE22" s="507">
        <v>216242.61411776507</v>
      </c>
      <c r="DF22" s="507">
        <v>210178.16381137507</v>
      </c>
      <c r="DG22" s="507">
        <v>199296.28029635065</v>
      </c>
    </row>
    <row r="23" spans="1:111" ht="17.100000000000001" customHeight="1">
      <c r="A23" s="509"/>
      <c r="B23" s="510"/>
      <c r="C23" s="565"/>
      <c r="D23" s="565"/>
      <c r="E23" s="565"/>
      <c r="F23" s="566"/>
      <c r="G23" s="565"/>
      <c r="H23" s="567"/>
      <c r="I23" s="565"/>
      <c r="J23" s="565"/>
      <c r="K23" s="565"/>
      <c r="L23" s="565"/>
      <c r="M23" s="566"/>
      <c r="N23" s="565"/>
      <c r="O23" s="565"/>
      <c r="P23" s="565"/>
      <c r="Q23" s="565"/>
      <c r="R23" s="565"/>
      <c r="S23" s="565"/>
      <c r="T23" s="565"/>
      <c r="U23" s="565"/>
      <c r="V23" s="565"/>
      <c r="W23" s="565"/>
      <c r="X23" s="565"/>
      <c r="Y23" s="565"/>
      <c r="Z23" s="565"/>
      <c r="AA23" s="565"/>
      <c r="AB23" s="566"/>
      <c r="AC23" s="565"/>
      <c r="AD23" s="565"/>
      <c r="AE23" s="565"/>
      <c r="AF23" s="565"/>
      <c r="AG23" s="565"/>
      <c r="AH23" s="565"/>
      <c r="AI23" s="565"/>
      <c r="AJ23" s="565"/>
      <c r="AK23" s="565"/>
      <c r="AL23" s="565"/>
      <c r="AM23" s="565"/>
      <c r="AN23" s="565"/>
      <c r="AO23" s="565"/>
      <c r="AP23" s="565"/>
      <c r="AQ23" s="565"/>
      <c r="AR23" s="565"/>
      <c r="AS23" s="565"/>
      <c r="AT23" s="565"/>
      <c r="AU23" s="565"/>
      <c r="AV23" s="565"/>
      <c r="AW23" s="565"/>
      <c r="AX23" s="565"/>
      <c r="AY23" s="565"/>
      <c r="AZ23" s="565"/>
      <c r="BA23" s="565"/>
      <c r="BB23" s="565"/>
      <c r="BC23" s="565"/>
      <c r="BD23" s="565"/>
      <c r="BE23" s="565"/>
      <c r="BF23" s="565"/>
      <c r="BG23" s="565"/>
      <c r="BH23" s="565"/>
      <c r="BI23" s="565"/>
      <c r="BJ23" s="565"/>
      <c r="BK23" s="565"/>
      <c r="BL23" s="565"/>
      <c r="BM23" s="565"/>
      <c r="BN23" s="565"/>
      <c r="BO23" s="565"/>
      <c r="BP23" s="565"/>
      <c r="BQ23" s="565"/>
      <c r="BR23" s="565"/>
      <c r="BS23" s="565"/>
      <c r="BT23" s="565"/>
      <c r="BU23" s="565"/>
      <c r="BV23" s="565"/>
      <c r="BW23" s="565"/>
      <c r="BX23" s="565"/>
      <c r="BY23" s="565"/>
      <c r="BZ23" s="565"/>
      <c r="CA23" s="565"/>
      <c r="CB23" s="565"/>
      <c r="CC23" s="565"/>
      <c r="CD23" s="565"/>
      <c r="CE23" s="565"/>
      <c r="CF23" s="565"/>
      <c r="CG23" s="565"/>
      <c r="CH23" s="565"/>
      <c r="CI23" s="565"/>
      <c r="CJ23" s="565"/>
      <c r="CK23" s="565"/>
      <c r="CL23" s="565"/>
      <c r="CM23" s="565"/>
      <c r="CN23" s="565"/>
      <c r="CO23" s="565"/>
      <c r="CP23" s="565"/>
      <c r="CQ23" s="565"/>
      <c r="CR23" s="565"/>
      <c r="CS23" s="565"/>
      <c r="CT23" s="565"/>
      <c r="CU23" s="565"/>
      <c r="CV23" s="565"/>
      <c r="CW23" s="565"/>
      <c r="CX23" s="565"/>
      <c r="CY23" s="565"/>
      <c r="CZ23" s="565"/>
      <c r="DA23" s="565"/>
      <c r="DB23" s="568"/>
      <c r="DC23" s="565"/>
      <c r="DD23" s="511"/>
      <c r="DE23" s="511"/>
      <c r="DF23" s="511"/>
      <c r="DG23" s="511"/>
    </row>
    <row r="24" spans="1:111" ht="17.100000000000001" customHeight="1">
      <c r="A24" s="505" t="s">
        <v>424</v>
      </c>
      <c r="B24" s="506" t="s">
        <v>425</v>
      </c>
      <c r="C24" s="561">
        <v>5586.798867614908</v>
      </c>
      <c r="D24" s="561">
        <v>5670.2383501161712</v>
      </c>
      <c r="E24" s="561">
        <v>6117.0573349504757</v>
      </c>
      <c r="F24" s="562">
        <v>7474.1806698326081</v>
      </c>
      <c r="G24" s="561">
        <v>6266.8263476957054</v>
      </c>
      <c r="H24" s="563">
        <v>6063.7564736961303</v>
      </c>
      <c r="I24" s="561">
        <v>6666.9401175171824</v>
      </c>
      <c r="J24" s="561">
        <v>6579.056281183487</v>
      </c>
      <c r="K24" s="561">
        <v>7008.9555369945765</v>
      </c>
      <c r="L24" s="561">
        <v>6820.9021825312575</v>
      </c>
      <c r="M24" s="562">
        <v>7631.3581200062245</v>
      </c>
      <c r="N24" s="561">
        <v>7806.0112989903628</v>
      </c>
      <c r="O24" s="561">
        <v>8382.2791541429269</v>
      </c>
      <c r="P24" s="561">
        <v>5165.1919955896801</v>
      </c>
      <c r="Q24" s="561">
        <v>5723.0687758585036</v>
      </c>
      <c r="R24" s="561">
        <v>7551.9510162780534</v>
      </c>
      <c r="S24" s="561">
        <v>7663.7134439486545</v>
      </c>
      <c r="T24" s="561">
        <v>8255.4748656612992</v>
      </c>
      <c r="U24" s="561">
        <v>7438.1685543321464</v>
      </c>
      <c r="V24" s="561">
        <v>6960.562159441788</v>
      </c>
      <c r="W24" s="561">
        <v>7857.1388660158736</v>
      </c>
      <c r="X24" s="561">
        <v>8484.5331707902569</v>
      </c>
      <c r="Y24" s="561">
        <v>11530.962587584701</v>
      </c>
      <c r="Z24" s="561">
        <v>12922.31894454308</v>
      </c>
      <c r="AA24" s="561">
        <v>13641.58370018477</v>
      </c>
      <c r="AB24" s="562">
        <v>11192.800028664689</v>
      </c>
      <c r="AC24" s="561">
        <v>11547.884203073783</v>
      </c>
      <c r="AD24" s="561">
        <v>10500.761405279829</v>
      </c>
      <c r="AE24" s="561">
        <v>11355.924284038227</v>
      </c>
      <c r="AF24" s="561">
        <v>10284.080548874359</v>
      </c>
      <c r="AG24" s="561">
        <v>10027.130049652962</v>
      </c>
      <c r="AH24" s="561">
        <v>10673.026815798956</v>
      </c>
      <c r="AI24" s="561">
        <v>11371.503905600166</v>
      </c>
      <c r="AJ24" s="561">
        <v>12145.767563427276</v>
      </c>
      <c r="AK24" s="561">
        <v>11209.264290815925</v>
      </c>
      <c r="AL24" s="561">
        <v>11222.241155054264</v>
      </c>
      <c r="AM24" s="561">
        <v>15181.785867937439</v>
      </c>
      <c r="AN24" s="561">
        <v>12850.536794886611</v>
      </c>
      <c r="AO24" s="561">
        <v>10483.63429309343</v>
      </c>
      <c r="AP24" s="561">
        <v>11581.603150539095</v>
      </c>
      <c r="AQ24" s="561">
        <v>14172.875508021096</v>
      </c>
      <c r="AR24" s="561">
        <v>11941.791449044793</v>
      </c>
      <c r="AS24" s="561">
        <v>12288.775715904736</v>
      </c>
      <c r="AT24" s="561">
        <v>9553.3905783131268</v>
      </c>
      <c r="AU24" s="561">
        <v>10175.363463764746</v>
      </c>
      <c r="AV24" s="561">
        <v>11673.019489467513</v>
      </c>
      <c r="AW24" s="561">
        <v>10714.075941908723</v>
      </c>
      <c r="AX24" s="561">
        <v>10561.569703707139</v>
      </c>
      <c r="AY24" s="561">
        <v>10127.180403858782</v>
      </c>
      <c r="AZ24" s="561">
        <v>8916.3755402082861</v>
      </c>
      <c r="BA24" s="561">
        <v>9591.3565887875484</v>
      </c>
      <c r="BB24" s="561">
        <v>8824.9289822759856</v>
      </c>
      <c r="BC24" s="561">
        <v>8438.262072096717</v>
      </c>
      <c r="BD24" s="561">
        <v>8294.6577118151545</v>
      </c>
      <c r="BE24" s="561">
        <v>10294.380814194436</v>
      </c>
      <c r="BF24" s="561">
        <v>10135.351869342354</v>
      </c>
      <c r="BG24" s="561">
        <v>9562.9213973704991</v>
      </c>
      <c r="BH24" s="561">
        <v>7538.2620045354715</v>
      </c>
      <c r="BI24" s="561">
        <v>6656.081488824997</v>
      </c>
      <c r="BJ24" s="561">
        <v>5651.6614854600657</v>
      </c>
      <c r="BK24" s="561">
        <v>8234.2420163253446</v>
      </c>
      <c r="BL24" s="561">
        <v>11081.159814091725</v>
      </c>
      <c r="BM24" s="561">
        <v>7295.7186112800837</v>
      </c>
      <c r="BN24" s="561">
        <v>6789.8075006472918</v>
      </c>
      <c r="BO24" s="561">
        <v>9774.654724436692</v>
      </c>
      <c r="BP24" s="561">
        <v>11503.842018809039</v>
      </c>
      <c r="BQ24" s="561">
        <v>11520.901851768776</v>
      </c>
      <c r="BR24" s="561">
        <v>11830.500007035427</v>
      </c>
      <c r="BS24" s="561">
        <v>10787.077786941991</v>
      </c>
      <c r="BT24" s="561">
        <v>22353.30464532099</v>
      </c>
      <c r="BU24" s="561">
        <v>21263.833247622191</v>
      </c>
      <c r="BV24" s="561">
        <v>16977.151872741804</v>
      </c>
      <c r="BW24" s="561">
        <v>15160.294477557121</v>
      </c>
      <c r="BX24" s="561">
        <v>14739.210506365067</v>
      </c>
      <c r="BY24" s="561">
        <v>6759.9391974346472</v>
      </c>
      <c r="BZ24" s="561">
        <v>16885.390142336248</v>
      </c>
      <c r="CA24" s="561">
        <v>16904.848590467151</v>
      </c>
      <c r="CB24" s="561">
        <v>18464.724621975449</v>
      </c>
      <c r="CC24" s="561">
        <v>20310.023745208211</v>
      </c>
      <c r="CD24" s="561">
        <v>18136.786126254097</v>
      </c>
      <c r="CE24" s="561">
        <v>17796.881000042162</v>
      </c>
      <c r="CF24" s="561">
        <v>17003.577548785706</v>
      </c>
      <c r="CG24" s="561">
        <v>18239.700907009203</v>
      </c>
      <c r="CH24" s="561">
        <v>24046.779311109243</v>
      </c>
      <c r="CI24" s="561">
        <v>23259.807723009948</v>
      </c>
      <c r="CJ24" s="561">
        <v>22427.249946578446</v>
      </c>
      <c r="CK24" s="561">
        <v>21077.458555829788</v>
      </c>
      <c r="CL24" s="561">
        <v>20634.046926593754</v>
      </c>
      <c r="CM24" s="561">
        <v>19142.322849267592</v>
      </c>
      <c r="CN24" s="561">
        <v>17976.597196121158</v>
      </c>
      <c r="CO24" s="561">
        <v>26161.113849849502</v>
      </c>
      <c r="CP24" s="561">
        <v>25694.24424716974</v>
      </c>
      <c r="CQ24" s="561">
        <v>25123.26334604172</v>
      </c>
      <c r="CR24" s="561">
        <v>22664.22862983244</v>
      </c>
      <c r="CS24" s="561">
        <v>22719.158965007482</v>
      </c>
      <c r="CT24" s="561">
        <v>20410.115132084626</v>
      </c>
      <c r="CU24" s="561">
        <v>21952.648839768572</v>
      </c>
      <c r="CV24" s="561">
        <v>24187.179030909549</v>
      </c>
      <c r="CW24" s="561">
        <v>24962.343440261437</v>
      </c>
      <c r="CX24" s="561">
        <v>24430.691481260808</v>
      </c>
      <c r="CY24" s="561">
        <v>21228.153566194575</v>
      </c>
      <c r="CZ24" s="561">
        <v>13460.171899606245</v>
      </c>
      <c r="DA24" s="561">
        <v>13161.578803034829</v>
      </c>
      <c r="DB24" s="564">
        <v>13353.000956889064</v>
      </c>
      <c r="DC24" s="561">
        <v>14770.634525825522</v>
      </c>
      <c r="DD24" s="507">
        <v>12678.348490215165</v>
      </c>
      <c r="DE24" s="507">
        <v>13485.476447141784</v>
      </c>
      <c r="DF24" s="507">
        <v>13662.931185628504</v>
      </c>
      <c r="DG24" s="507">
        <v>15004.016252179814</v>
      </c>
    </row>
    <row r="25" spans="1:111" ht="17.100000000000001" customHeight="1">
      <c r="A25" s="509"/>
      <c r="B25" s="510"/>
      <c r="C25" s="565"/>
      <c r="D25" s="565"/>
      <c r="E25" s="565"/>
      <c r="F25" s="566"/>
      <c r="G25" s="565"/>
      <c r="H25" s="567"/>
      <c r="I25" s="565"/>
      <c r="J25" s="565"/>
      <c r="K25" s="565"/>
      <c r="L25" s="565"/>
      <c r="M25" s="566"/>
      <c r="N25" s="565"/>
      <c r="O25" s="565"/>
      <c r="P25" s="565"/>
      <c r="Q25" s="565"/>
      <c r="R25" s="565"/>
      <c r="S25" s="565"/>
      <c r="T25" s="565"/>
      <c r="U25" s="565"/>
      <c r="V25" s="565"/>
      <c r="W25" s="565"/>
      <c r="X25" s="565"/>
      <c r="Y25" s="565"/>
      <c r="Z25" s="565"/>
      <c r="AA25" s="565"/>
      <c r="AB25" s="566"/>
      <c r="AC25" s="565"/>
      <c r="AD25" s="565"/>
      <c r="AE25" s="565"/>
      <c r="AF25" s="565"/>
      <c r="AG25" s="565"/>
      <c r="AH25" s="565"/>
      <c r="AI25" s="565"/>
      <c r="AJ25" s="565"/>
      <c r="AK25" s="565"/>
      <c r="AL25" s="565"/>
      <c r="AM25" s="565"/>
      <c r="AN25" s="565"/>
      <c r="AO25" s="565"/>
      <c r="AP25" s="565"/>
      <c r="AQ25" s="565"/>
      <c r="AR25" s="565"/>
      <c r="AS25" s="565"/>
      <c r="AT25" s="565"/>
      <c r="AU25" s="565"/>
      <c r="AV25" s="565"/>
      <c r="AW25" s="565"/>
      <c r="AX25" s="565"/>
      <c r="AY25" s="565"/>
      <c r="AZ25" s="565"/>
      <c r="BA25" s="565"/>
      <c r="BB25" s="565"/>
      <c r="BC25" s="565"/>
      <c r="BD25" s="565"/>
      <c r="BE25" s="565"/>
      <c r="BF25" s="565"/>
      <c r="BG25" s="565"/>
      <c r="BH25" s="565"/>
      <c r="BI25" s="565"/>
      <c r="BJ25" s="565"/>
      <c r="BK25" s="565"/>
      <c r="BL25" s="565"/>
      <c r="BM25" s="565"/>
      <c r="BN25" s="565"/>
      <c r="BO25" s="565"/>
      <c r="BP25" s="565"/>
      <c r="BQ25" s="565"/>
      <c r="BR25" s="565"/>
      <c r="BS25" s="565"/>
      <c r="BT25" s="565"/>
      <c r="BU25" s="565"/>
      <c r="BV25" s="565"/>
      <c r="BW25" s="565"/>
      <c r="BX25" s="565"/>
      <c r="BY25" s="565"/>
      <c r="BZ25" s="565"/>
      <c r="CA25" s="565"/>
      <c r="CB25" s="565"/>
      <c r="CC25" s="565"/>
      <c r="CD25" s="565"/>
      <c r="CE25" s="565"/>
      <c r="CF25" s="565"/>
      <c r="CG25" s="565"/>
      <c r="CH25" s="565"/>
      <c r="CI25" s="565"/>
      <c r="CJ25" s="565"/>
      <c r="CK25" s="565"/>
      <c r="CL25" s="565"/>
      <c r="CM25" s="565"/>
      <c r="CN25" s="565"/>
      <c r="CO25" s="565"/>
      <c r="CP25" s="565"/>
      <c r="CQ25" s="565"/>
      <c r="CR25" s="565"/>
      <c r="CS25" s="565"/>
      <c r="CT25" s="565"/>
      <c r="CU25" s="565"/>
      <c r="CV25" s="565"/>
      <c r="CW25" s="565"/>
      <c r="CX25" s="565"/>
      <c r="CY25" s="565"/>
      <c r="CZ25" s="565"/>
      <c r="DA25" s="565"/>
      <c r="DB25" s="568"/>
      <c r="DC25" s="565"/>
      <c r="DD25" s="511"/>
      <c r="DE25" s="511"/>
      <c r="DF25" s="511"/>
      <c r="DG25" s="511"/>
    </row>
    <row r="26" spans="1:111" ht="17.100000000000001" customHeight="1">
      <c r="A26" s="505" t="s">
        <v>426</v>
      </c>
      <c r="B26" s="506" t="s">
        <v>427</v>
      </c>
      <c r="C26" s="561">
        <v>10215.371715636911</v>
      </c>
      <c r="D26" s="561">
        <v>10230.386176877602</v>
      </c>
      <c r="E26" s="561">
        <v>10264.534151124984</v>
      </c>
      <c r="F26" s="562">
        <v>10292.840694966148</v>
      </c>
      <c r="G26" s="561">
        <v>10359.952542342509</v>
      </c>
      <c r="H26" s="563">
        <v>10372.829824412309</v>
      </c>
      <c r="I26" s="561">
        <v>10483.290079899974</v>
      </c>
      <c r="J26" s="561">
        <v>10492.661873524687</v>
      </c>
      <c r="K26" s="561">
        <v>10513.580191881219</v>
      </c>
      <c r="L26" s="561">
        <v>10547.697643533049</v>
      </c>
      <c r="M26" s="562">
        <v>10566.463638046363</v>
      </c>
      <c r="N26" s="561">
        <v>10727.152068725743</v>
      </c>
      <c r="O26" s="561">
        <v>10865.093985192434</v>
      </c>
      <c r="P26" s="561">
        <v>10887.929830016839</v>
      </c>
      <c r="Q26" s="561">
        <v>10915.478152448781</v>
      </c>
      <c r="R26" s="561">
        <v>10964.996223353954</v>
      </c>
      <c r="S26" s="561">
        <v>11007.866502909934</v>
      </c>
      <c r="T26" s="561">
        <v>11010.610413217419</v>
      </c>
      <c r="U26" s="561">
        <v>11076.806146190253</v>
      </c>
      <c r="V26" s="561">
        <v>11105.093902010241</v>
      </c>
      <c r="W26" s="561">
        <v>11117.860938733025</v>
      </c>
      <c r="X26" s="561">
        <v>11158.444612866819</v>
      </c>
      <c r="Y26" s="561">
        <v>11210.363676150844</v>
      </c>
      <c r="Z26" s="561">
        <v>11272.935388662529</v>
      </c>
      <c r="AA26" s="561">
        <v>11409.284636318876</v>
      </c>
      <c r="AB26" s="562">
        <v>11422.076131039485</v>
      </c>
      <c r="AC26" s="561">
        <v>11444.44480959927</v>
      </c>
      <c r="AD26" s="561">
        <v>11532.252476586686</v>
      </c>
      <c r="AE26" s="561">
        <v>11590.240126935367</v>
      </c>
      <c r="AF26" s="561">
        <v>11673.571102098638</v>
      </c>
      <c r="AG26" s="561">
        <v>11761.047168821962</v>
      </c>
      <c r="AH26" s="561">
        <v>11763.811328135618</v>
      </c>
      <c r="AI26" s="561">
        <v>11806.061369881943</v>
      </c>
      <c r="AJ26" s="561">
        <v>11816.139712376122</v>
      </c>
      <c r="AK26" s="561">
        <v>11890.545455707794</v>
      </c>
      <c r="AL26" s="561">
        <v>11921.049115748849</v>
      </c>
      <c r="AM26" s="561">
        <v>11991.176862374597</v>
      </c>
      <c r="AN26" s="561">
        <v>12033.192013161477</v>
      </c>
      <c r="AO26" s="561">
        <v>12206.364103932192</v>
      </c>
      <c r="AP26" s="561">
        <v>12245.542505985177</v>
      </c>
      <c r="AQ26" s="561">
        <v>12337.511775198873</v>
      </c>
      <c r="AR26" s="561">
        <v>12388.003471182003</v>
      </c>
      <c r="AS26" s="561">
        <v>13072.915050843339</v>
      </c>
      <c r="AT26" s="561">
        <v>13232.176902227937</v>
      </c>
      <c r="AU26" s="561">
        <v>13097.938985023256</v>
      </c>
      <c r="AV26" s="561">
        <v>13260.289285591152</v>
      </c>
      <c r="AW26" s="561">
        <v>13403.191097281138</v>
      </c>
      <c r="AX26" s="561">
        <v>13544.565267320062</v>
      </c>
      <c r="AY26" s="561">
        <v>13614.289342267039</v>
      </c>
      <c r="AZ26" s="561">
        <v>13729.554368000301</v>
      </c>
      <c r="BA26" s="561">
        <v>13814.866305836849</v>
      </c>
      <c r="BB26" s="561">
        <v>13823.782985256501</v>
      </c>
      <c r="BC26" s="561">
        <v>14031.010314083316</v>
      </c>
      <c r="BD26" s="561">
        <v>14127.162151959725</v>
      </c>
      <c r="BE26" s="561">
        <v>14227.102351594973</v>
      </c>
      <c r="BF26" s="561">
        <v>14202.525275436403</v>
      </c>
      <c r="BG26" s="561">
        <v>14302.397524761791</v>
      </c>
      <c r="BH26" s="561">
        <v>14389.834409854073</v>
      </c>
      <c r="BI26" s="561">
        <v>14673.937178870799</v>
      </c>
      <c r="BJ26" s="561">
        <v>14995.416754536564</v>
      </c>
      <c r="BK26" s="561">
        <v>15409.890920938726</v>
      </c>
      <c r="BL26" s="561">
        <v>15414.545802328117</v>
      </c>
      <c r="BM26" s="561">
        <v>15554.16291438724</v>
      </c>
      <c r="BN26" s="561">
        <v>15894.255435636198</v>
      </c>
      <c r="BO26" s="561">
        <v>15918.77249047435</v>
      </c>
      <c r="BP26" s="561">
        <v>17467.182184771249</v>
      </c>
      <c r="BQ26" s="561">
        <v>17739.609993181337</v>
      </c>
      <c r="BR26" s="561">
        <v>17793.811540942119</v>
      </c>
      <c r="BS26" s="561">
        <v>17828.298934435472</v>
      </c>
      <c r="BT26" s="561">
        <v>18001.626249843775</v>
      </c>
      <c r="BU26" s="561">
        <v>18001.995798082295</v>
      </c>
      <c r="BV26" s="561">
        <v>18130.633536210713</v>
      </c>
      <c r="BW26" s="561">
        <v>18376.006039425818</v>
      </c>
      <c r="BX26" s="561">
        <v>18603.568490555725</v>
      </c>
      <c r="BY26" s="561">
        <v>18828.461346276672</v>
      </c>
      <c r="BZ26" s="561">
        <v>18979.960087374864</v>
      </c>
      <c r="CA26" s="561">
        <v>19084.166463022997</v>
      </c>
      <c r="CB26" s="561">
        <v>19207.484316991893</v>
      </c>
      <c r="CC26" s="561">
        <v>19517.614369597417</v>
      </c>
      <c r="CD26" s="561">
        <v>19533.764193612762</v>
      </c>
      <c r="CE26" s="561">
        <v>19537.005283991602</v>
      </c>
      <c r="CF26" s="561">
        <v>19557.575459742613</v>
      </c>
      <c r="CG26" s="561">
        <v>19579.441299077534</v>
      </c>
      <c r="CH26" s="561">
        <v>20428.375245526004</v>
      </c>
      <c r="CI26" s="561">
        <v>20556.179191954445</v>
      </c>
      <c r="CJ26" s="561">
        <v>19193.325564116065</v>
      </c>
      <c r="CK26" s="561">
        <v>18991.125073870578</v>
      </c>
      <c r="CL26" s="561">
        <v>19013.707845548543</v>
      </c>
      <c r="CM26" s="561">
        <v>19070.792677045647</v>
      </c>
      <c r="CN26" s="561">
        <v>19076.525389458013</v>
      </c>
      <c r="CO26" s="561">
        <v>19357.708645800292</v>
      </c>
      <c r="CP26" s="561">
        <v>19415.312732245835</v>
      </c>
      <c r="CQ26" s="561">
        <v>19468.269430811728</v>
      </c>
      <c r="CR26" s="561">
        <v>19521.315935019076</v>
      </c>
      <c r="CS26" s="561">
        <v>19464.659475675766</v>
      </c>
      <c r="CT26" s="561">
        <v>19530.660201881532</v>
      </c>
      <c r="CU26" s="561">
        <v>19486.743338668759</v>
      </c>
      <c r="CV26" s="561">
        <v>19488.230982296118</v>
      </c>
      <c r="CW26" s="561">
        <v>19530.093976924174</v>
      </c>
      <c r="CX26" s="561">
        <v>19541.220467600302</v>
      </c>
      <c r="CY26" s="561">
        <v>19515.603282422369</v>
      </c>
      <c r="CZ26" s="561">
        <v>19492.077551158658</v>
      </c>
      <c r="DA26" s="561">
        <v>19635.664827378263</v>
      </c>
      <c r="DB26" s="564">
        <v>19751.275374700119</v>
      </c>
      <c r="DC26" s="561">
        <v>19729.127296518513</v>
      </c>
      <c r="DD26" s="507">
        <v>19607.286023135839</v>
      </c>
      <c r="DE26" s="507">
        <v>19587.437834158958</v>
      </c>
      <c r="DF26" s="507">
        <v>19604.578768136802</v>
      </c>
      <c r="DG26" s="507">
        <v>19760.417300341342</v>
      </c>
    </row>
    <row r="27" spans="1:111" ht="17.100000000000001" customHeight="1">
      <c r="A27" s="509"/>
      <c r="B27" s="510"/>
      <c r="C27" s="530"/>
      <c r="D27" s="530"/>
      <c r="E27" s="530"/>
      <c r="F27" s="569"/>
      <c r="G27" s="530"/>
      <c r="H27" s="570"/>
      <c r="I27" s="530"/>
      <c r="J27" s="530"/>
      <c r="K27" s="530"/>
      <c r="L27" s="530"/>
      <c r="M27" s="569"/>
      <c r="N27" s="530"/>
      <c r="O27" s="530"/>
      <c r="P27" s="530"/>
      <c r="Q27" s="530"/>
      <c r="R27" s="530"/>
      <c r="S27" s="530"/>
      <c r="T27" s="530"/>
      <c r="U27" s="530"/>
      <c r="V27" s="530"/>
      <c r="W27" s="530"/>
      <c r="X27" s="530"/>
      <c r="Y27" s="530"/>
      <c r="Z27" s="530"/>
      <c r="AA27" s="530"/>
      <c r="AB27" s="569"/>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30"/>
      <c r="BB27" s="530"/>
      <c r="BC27" s="530"/>
      <c r="BD27" s="530"/>
      <c r="BE27" s="530"/>
      <c r="BF27" s="530"/>
      <c r="BG27" s="530"/>
      <c r="BH27" s="530"/>
      <c r="BI27" s="530"/>
      <c r="BJ27" s="530"/>
      <c r="BK27" s="530"/>
      <c r="BL27" s="530"/>
      <c r="BM27" s="530"/>
      <c r="BN27" s="530"/>
      <c r="BO27" s="530"/>
      <c r="BP27" s="530"/>
      <c r="BQ27" s="530"/>
      <c r="BR27" s="530"/>
      <c r="BS27" s="530"/>
      <c r="BT27" s="530"/>
      <c r="BU27" s="530"/>
      <c r="BV27" s="530"/>
      <c r="BW27" s="530"/>
      <c r="BX27" s="530"/>
      <c r="BY27" s="530"/>
      <c r="BZ27" s="530"/>
      <c r="CA27" s="530"/>
      <c r="CB27" s="530"/>
      <c r="CC27" s="530"/>
      <c r="CD27" s="530"/>
      <c r="CE27" s="530"/>
      <c r="CF27" s="530"/>
      <c r="CG27" s="530"/>
      <c r="CH27" s="530"/>
      <c r="CI27" s="530"/>
      <c r="CJ27" s="530"/>
      <c r="CK27" s="530"/>
      <c r="CL27" s="530"/>
      <c r="CM27" s="530"/>
      <c r="CN27" s="530"/>
      <c r="CO27" s="530"/>
      <c r="CP27" s="530"/>
      <c r="CQ27" s="530"/>
      <c r="CR27" s="530"/>
      <c r="CS27" s="530"/>
      <c r="CT27" s="530"/>
      <c r="CU27" s="530"/>
      <c r="CV27" s="530"/>
      <c r="CW27" s="530"/>
      <c r="CX27" s="530"/>
      <c r="CY27" s="530"/>
      <c r="CZ27" s="530"/>
      <c r="DA27" s="530"/>
      <c r="DB27" s="571"/>
      <c r="DC27" s="530"/>
      <c r="DD27" s="512"/>
      <c r="DE27" s="512"/>
      <c r="DF27" s="512"/>
      <c r="DG27" s="512"/>
    </row>
    <row r="28" spans="1:111" ht="17.100000000000001" customHeight="1">
      <c r="A28" s="505"/>
      <c r="B28" s="506" t="s">
        <v>428</v>
      </c>
      <c r="C28" s="561">
        <v>445837.09647377668</v>
      </c>
      <c r="D28" s="561">
        <v>432333.73571372771</v>
      </c>
      <c r="E28" s="561">
        <v>444953.021719618</v>
      </c>
      <c r="F28" s="562">
        <v>460740.797100208</v>
      </c>
      <c r="G28" s="561">
        <v>463204.56965047109</v>
      </c>
      <c r="H28" s="563">
        <v>481466.10547432484</v>
      </c>
      <c r="I28" s="561">
        <v>468596.08483181143</v>
      </c>
      <c r="J28" s="561">
        <v>478494.19773629768</v>
      </c>
      <c r="K28" s="561">
        <v>507625.95996665611</v>
      </c>
      <c r="L28" s="561">
        <v>511206.35459318251</v>
      </c>
      <c r="M28" s="562">
        <v>507494.99652799591</v>
      </c>
      <c r="N28" s="561">
        <v>535662.87708218186</v>
      </c>
      <c r="O28" s="561">
        <v>523850.27109396091</v>
      </c>
      <c r="P28" s="561">
        <v>533426.28475085355</v>
      </c>
      <c r="Q28" s="561">
        <v>544859.49148365168</v>
      </c>
      <c r="R28" s="561">
        <v>574613.75507576729</v>
      </c>
      <c r="S28" s="561">
        <v>577716.91733799619</v>
      </c>
      <c r="T28" s="561">
        <v>606513.96390440303</v>
      </c>
      <c r="U28" s="561">
        <v>630119.83825675095</v>
      </c>
      <c r="V28" s="561">
        <v>601954.21949290158</v>
      </c>
      <c r="W28" s="561">
        <v>605510.99257776886</v>
      </c>
      <c r="X28" s="561">
        <v>624077.8429934188</v>
      </c>
      <c r="Y28" s="561">
        <v>630561.20148484898</v>
      </c>
      <c r="Z28" s="561">
        <v>632246.8301334742</v>
      </c>
      <c r="AA28" s="561">
        <v>663094.43448228785</v>
      </c>
      <c r="AB28" s="562">
        <v>681753.16319898376</v>
      </c>
      <c r="AC28" s="561">
        <v>696077.90731930907</v>
      </c>
      <c r="AD28" s="561">
        <v>703609.67573219968</v>
      </c>
      <c r="AE28" s="561">
        <v>706823.47694429208</v>
      </c>
      <c r="AF28" s="561">
        <v>746138.07708744076</v>
      </c>
      <c r="AG28" s="561">
        <v>723735.24594093079</v>
      </c>
      <c r="AH28" s="561">
        <v>752758.66746484721</v>
      </c>
      <c r="AI28" s="561">
        <v>748659.13151196076</v>
      </c>
      <c r="AJ28" s="561">
        <v>733354.18060780887</v>
      </c>
      <c r="AK28" s="561">
        <v>719659.48504551011</v>
      </c>
      <c r="AL28" s="561">
        <v>760499.45805457234</v>
      </c>
      <c r="AM28" s="561">
        <v>773252.44279980345</v>
      </c>
      <c r="AN28" s="561">
        <v>790615.52522057283</v>
      </c>
      <c r="AO28" s="561">
        <v>780986.27990754228</v>
      </c>
      <c r="AP28" s="561">
        <v>763856.00000544579</v>
      </c>
      <c r="AQ28" s="561">
        <v>819322.53242127271</v>
      </c>
      <c r="AR28" s="561">
        <v>803124.72039461497</v>
      </c>
      <c r="AS28" s="561">
        <v>805990.07822780788</v>
      </c>
      <c r="AT28" s="561">
        <v>805323.12107065471</v>
      </c>
      <c r="AU28" s="561">
        <v>814898.81246116548</v>
      </c>
      <c r="AV28" s="561">
        <v>807733.62320407038</v>
      </c>
      <c r="AW28" s="561">
        <v>808480.43114297767</v>
      </c>
      <c r="AX28" s="561">
        <v>802925.72630353528</v>
      </c>
      <c r="AY28" s="561">
        <v>815049.49751336011</v>
      </c>
      <c r="AZ28" s="561">
        <v>830130.71492082509</v>
      </c>
      <c r="BA28" s="561">
        <v>833451.49451934209</v>
      </c>
      <c r="BB28" s="561">
        <v>815832.35192114545</v>
      </c>
      <c r="BC28" s="561">
        <v>815339.29482031474</v>
      </c>
      <c r="BD28" s="561">
        <v>803883.86273341451</v>
      </c>
      <c r="BE28" s="561">
        <v>850342.74366137758</v>
      </c>
      <c r="BF28" s="561">
        <v>871292.62662857072</v>
      </c>
      <c r="BG28" s="561">
        <v>892721.17988169985</v>
      </c>
      <c r="BH28" s="561">
        <v>913488.39506494999</v>
      </c>
      <c r="BI28" s="561">
        <v>913833.09111405583</v>
      </c>
      <c r="BJ28" s="561">
        <v>1025679.536498626</v>
      </c>
      <c r="BK28" s="561">
        <v>1012035.3333537687</v>
      </c>
      <c r="BL28" s="561">
        <v>954121.8702531025</v>
      </c>
      <c r="BM28" s="561">
        <v>992296.62678549578</v>
      </c>
      <c r="BN28" s="561">
        <v>1012404.2143416627</v>
      </c>
      <c r="BO28" s="561">
        <v>1033298.9768457131</v>
      </c>
      <c r="BP28" s="561">
        <v>1013985.1951367562</v>
      </c>
      <c r="BQ28" s="561">
        <v>1062227.4364246663</v>
      </c>
      <c r="BR28" s="561">
        <v>1078181.8811107341</v>
      </c>
      <c r="BS28" s="561">
        <v>1086441.5921246554</v>
      </c>
      <c r="BT28" s="561">
        <v>1053578.3831137409</v>
      </c>
      <c r="BU28" s="561">
        <v>1119531.2698923787</v>
      </c>
      <c r="BV28" s="561">
        <v>1047041.8605892357</v>
      </c>
      <c r="BW28" s="561">
        <v>1112462.9753643072</v>
      </c>
      <c r="BX28" s="561">
        <v>1086642.1355792715</v>
      </c>
      <c r="BY28" s="561">
        <v>1064583.9672836566</v>
      </c>
      <c r="BZ28" s="561">
        <v>1149757.9767060231</v>
      </c>
      <c r="CA28" s="561">
        <v>1131968.1532232948</v>
      </c>
      <c r="CB28" s="561">
        <v>1161633.9910748196</v>
      </c>
      <c r="CC28" s="561">
        <v>1173013.0120503074</v>
      </c>
      <c r="CD28" s="561">
        <v>1187141.9559349895</v>
      </c>
      <c r="CE28" s="561">
        <v>1225161.3176913552</v>
      </c>
      <c r="CF28" s="561">
        <v>1246006.7917110873</v>
      </c>
      <c r="CG28" s="561">
        <v>1223903.2171566193</v>
      </c>
      <c r="CH28" s="561">
        <v>1265080.4399644835</v>
      </c>
      <c r="CI28" s="561">
        <v>1255390.1417702762</v>
      </c>
      <c r="CJ28" s="561">
        <v>1288833.6472028114</v>
      </c>
      <c r="CK28" s="561">
        <v>1243570.2529158853</v>
      </c>
      <c r="CL28" s="561">
        <v>1266162.93294876</v>
      </c>
      <c r="CM28" s="561">
        <v>1268818.4173134633</v>
      </c>
      <c r="CN28" s="561">
        <v>1242486.2931615503</v>
      </c>
      <c r="CO28" s="561">
        <v>1247268.4042528283</v>
      </c>
      <c r="CP28" s="561">
        <v>1276910.0596202502</v>
      </c>
      <c r="CQ28" s="561">
        <v>1242745.0389626659</v>
      </c>
      <c r="CR28" s="561">
        <v>1286030.2886551188</v>
      </c>
      <c r="CS28" s="561">
        <v>1275459.3828027775</v>
      </c>
      <c r="CT28" s="561">
        <v>1313411.5677378445</v>
      </c>
      <c r="CU28" s="561">
        <v>1291167.5221564772</v>
      </c>
      <c r="CV28" s="561">
        <v>1346276.3006019872</v>
      </c>
      <c r="CW28" s="561">
        <v>1381765.5424566211</v>
      </c>
      <c r="CX28" s="561">
        <v>1368264.0546607585</v>
      </c>
      <c r="CY28" s="561">
        <v>1297898.6516665544</v>
      </c>
      <c r="CZ28" s="561">
        <v>1289388.2688265848</v>
      </c>
      <c r="DA28" s="561">
        <v>1279102.6584210282</v>
      </c>
      <c r="DB28" s="564">
        <v>1232006.7647038517</v>
      </c>
      <c r="DC28" s="561">
        <v>1250530.9795248106</v>
      </c>
      <c r="DD28" s="507">
        <v>1253499.1503665627</v>
      </c>
      <c r="DE28" s="507">
        <v>1241453.8564013725</v>
      </c>
      <c r="DF28" s="507">
        <v>1220656.4641478569</v>
      </c>
      <c r="DG28" s="507">
        <v>1206897.0256864668</v>
      </c>
    </row>
    <row r="29" spans="1:111" ht="16.5" thickBot="1">
      <c r="A29" s="515"/>
      <c r="B29" s="516"/>
      <c r="C29" s="572"/>
      <c r="D29" s="572"/>
      <c r="E29" s="572"/>
      <c r="F29" s="573"/>
      <c r="G29" s="572"/>
      <c r="H29" s="574"/>
      <c r="I29" s="572"/>
      <c r="J29" s="572"/>
      <c r="K29" s="572"/>
      <c r="L29" s="572"/>
      <c r="M29" s="573"/>
      <c r="N29" s="572"/>
      <c r="O29" s="572"/>
      <c r="P29" s="572"/>
      <c r="Q29" s="572"/>
      <c r="R29" s="572"/>
      <c r="S29" s="572"/>
      <c r="T29" s="572"/>
      <c r="U29" s="572"/>
      <c r="V29" s="572"/>
      <c r="W29" s="572"/>
      <c r="X29" s="572"/>
      <c r="Y29" s="572"/>
      <c r="Z29" s="572"/>
      <c r="AA29" s="572"/>
      <c r="AB29" s="573"/>
      <c r="AC29" s="572"/>
      <c r="AD29" s="572"/>
      <c r="AE29" s="572"/>
      <c r="AF29" s="572"/>
      <c r="AG29" s="572"/>
      <c r="AH29" s="572"/>
      <c r="AI29" s="572"/>
      <c r="AJ29" s="572"/>
      <c r="AK29" s="572"/>
      <c r="AL29" s="572"/>
      <c r="AM29" s="572"/>
      <c r="AN29" s="572"/>
      <c r="AO29" s="572"/>
      <c r="AP29" s="572"/>
      <c r="AQ29" s="572"/>
      <c r="AR29" s="572"/>
      <c r="AS29" s="572"/>
      <c r="AT29" s="572"/>
      <c r="AU29" s="572"/>
      <c r="AV29" s="572"/>
      <c r="AW29" s="572"/>
      <c r="AX29" s="572"/>
      <c r="AY29" s="572"/>
      <c r="AZ29" s="572"/>
      <c r="BA29" s="572"/>
      <c r="BB29" s="572"/>
      <c r="BC29" s="572"/>
      <c r="BD29" s="572"/>
      <c r="BE29" s="572"/>
      <c r="BF29" s="572"/>
      <c r="BG29" s="572"/>
      <c r="BH29" s="572"/>
      <c r="BI29" s="572"/>
      <c r="BJ29" s="572"/>
      <c r="BK29" s="572"/>
      <c r="BL29" s="572"/>
      <c r="BM29" s="572"/>
      <c r="BN29" s="572"/>
      <c r="BO29" s="572"/>
      <c r="BP29" s="572"/>
      <c r="BQ29" s="572"/>
      <c r="BR29" s="572"/>
      <c r="BS29" s="572"/>
      <c r="BT29" s="572"/>
      <c r="BU29" s="572"/>
      <c r="BV29" s="572"/>
      <c r="BW29" s="572"/>
      <c r="BX29" s="572"/>
      <c r="BY29" s="572"/>
      <c r="BZ29" s="572"/>
      <c r="CA29" s="572"/>
      <c r="CB29" s="572"/>
      <c r="CC29" s="572"/>
      <c r="CD29" s="572"/>
      <c r="CE29" s="572"/>
      <c r="CF29" s="572"/>
      <c r="CG29" s="572"/>
      <c r="CH29" s="572"/>
      <c r="CI29" s="572"/>
      <c r="CJ29" s="572"/>
      <c r="CK29" s="572"/>
      <c r="CL29" s="572"/>
      <c r="CM29" s="572"/>
      <c r="CN29" s="572"/>
      <c r="CO29" s="572"/>
      <c r="CP29" s="572"/>
      <c r="CQ29" s="572"/>
      <c r="CR29" s="572"/>
      <c r="CS29" s="572"/>
      <c r="CT29" s="572"/>
      <c r="CU29" s="572"/>
      <c r="CV29" s="572"/>
      <c r="CW29" s="572"/>
      <c r="CX29" s="572"/>
      <c r="CY29" s="572"/>
      <c r="CZ29" s="572"/>
      <c r="DA29" s="572"/>
      <c r="DB29" s="575"/>
      <c r="DC29" s="572"/>
      <c r="DD29" s="576"/>
      <c r="DE29" s="576"/>
      <c r="DF29" s="576"/>
      <c r="DG29" s="576"/>
    </row>
    <row r="30" spans="1:111" s="403" customFormat="1" ht="16.5" hidden="1" thickTop="1">
      <c r="A30" s="577"/>
      <c r="B30" s="577"/>
      <c r="C30" s="578"/>
      <c r="D30" s="578"/>
      <c r="E30" s="578"/>
      <c r="F30" s="578"/>
      <c r="G30" s="578"/>
      <c r="H30" s="579"/>
      <c r="I30" s="578"/>
      <c r="J30" s="578"/>
      <c r="K30" s="578"/>
      <c r="L30" s="578"/>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c r="AL30" s="578"/>
      <c r="AM30" s="578"/>
      <c r="AN30" s="578"/>
      <c r="AO30" s="578"/>
      <c r="AP30" s="578"/>
      <c r="AQ30" s="578"/>
      <c r="AR30" s="578"/>
      <c r="AS30" s="578"/>
      <c r="AT30" s="578"/>
      <c r="AU30" s="578"/>
      <c r="AV30" s="522"/>
      <c r="AW30" s="578"/>
      <c r="AX30" s="578"/>
      <c r="AY30" s="578"/>
      <c r="AZ30" s="578"/>
      <c r="BA30" s="578"/>
      <c r="BB30" s="578"/>
      <c r="BC30" s="578"/>
      <c r="BD30" s="578"/>
      <c r="BE30" s="578"/>
      <c r="BF30" s="578"/>
      <c r="BG30" s="578"/>
      <c r="BH30" s="578"/>
      <c r="BI30" s="578"/>
      <c r="BJ30" s="578"/>
      <c r="BK30" s="578"/>
      <c r="BL30" s="578"/>
      <c r="BM30" s="578"/>
      <c r="BN30" s="578"/>
      <c r="BO30" s="578"/>
      <c r="BP30" s="578"/>
      <c r="BQ30" s="578"/>
      <c r="BR30" s="578"/>
      <c r="BS30" s="578"/>
      <c r="BT30" s="578"/>
      <c r="BU30" s="578"/>
      <c r="BV30" s="578"/>
      <c r="BW30" s="578"/>
      <c r="BX30" s="578"/>
      <c r="BY30" s="578"/>
      <c r="BZ30" s="578"/>
      <c r="CA30" s="578"/>
      <c r="CB30" s="578"/>
      <c r="CC30" s="578"/>
      <c r="CD30" s="578"/>
      <c r="CE30" s="578"/>
      <c r="CF30" s="578"/>
      <c r="CG30" s="578"/>
      <c r="CH30" s="578"/>
      <c r="CI30" s="578"/>
      <c r="CJ30" s="578"/>
      <c r="CK30" s="578"/>
      <c r="CL30" s="578"/>
      <c r="CM30" s="578"/>
      <c r="CN30" s="578"/>
      <c r="CO30" s="578"/>
      <c r="CP30" s="578"/>
      <c r="CQ30" s="578"/>
      <c r="CR30" s="578"/>
      <c r="CS30" s="578"/>
      <c r="CT30" s="578"/>
      <c r="CU30" s="578"/>
      <c r="CV30" s="578"/>
      <c r="CW30" s="578"/>
      <c r="CX30" s="578"/>
      <c r="CY30" s="578"/>
      <c r="CZ30" s="578"/>
      <c r="DA30" s="578"/>
      <c r="DB30" s="578"/>
      <c r="DC30" s="522"/>
      <c r="DD30" s="578"/>
      <c r="DE30" s="578"/>
      <c r="DF30" s="578"/>
      <c r="DG30" s="578"/>
    </row>
    <row r="31" spans="1:111" s="403" customFormat="1" ht="16.5" thickTop="1">
      <c r="A31" s="578"/>
      <c r="B31" s="578"/>
      <c r="C31" s="578"/>
      <c r="D31" s="578"/>
      <c r="E31" s="578"/>
      <c r="F31" s="578"/>
      <c r="G31" s="578"/>
      <c r="H31" s="580"/>
      <c r="I31" s="578"/>
      <c r="J31" s="578"/>
      <c r="K31" s="578"/>
      <c r="L31" s="578"/>
      <c r="M31" s="578"/>
      <c r="N31" s="578"/>
      <c r="O31" s="578"/>
      <c r="P31" s="578"/>
      <c r="Q31" s="578"/>
      <c r="R31" s="578"/>
      <c r="S31" s="578"/>
      <c r="T31" s="578"/>
      <c r="U31" s="578"/>
      <c r="V31" s="578"/>
      <c r="W31" s="578"/>
      <c r="X31" s="578"/>
      <c r="Y31" s="578"/>
      <c r="Z31" s="578"/>
      <c r="AA31" s="578"/>
      <c r="AB31" s="578"/>
      <c r="AC31" s="578"/>
      <c r="AD31" s="578"/>
      <c r="AE31" s="578"/>
      <c r="AF31" s="578"/>
      <c r="AG31" s="578"/>
      <c r="AH31" s="578"/>
      <c r="AI31" s="578"/>
      <c r="AJ31" s="578"/>
      <c r="AK31" s="578"/>
      <c r="AL31" s="578"/>
      <c r="AM31" s="578"/>
      <c r="AN31" s="578"/>
      <c r="AO31" s="578"/>
      <c r="AP31" s="578"/>
      <c r="AQ31" s="578"/>
      <c r="AR31" s="578"/>
      <c r="AS31" s="578"/>
      <c r="AT31" s="578"/>
      <c r="AU31" s="578"/>
      <c r="AV31" s="522"/>
      <c r="AW31" s="578"/>
      <c r="AX31" s="578"/>
      <c r="AY31" s="578"/>
      <c r="AZ31" s="578"/>
      <c r="BA31" s="578"/>
      <c r="BB31" s="578"/>
      <c r="BC31" s="578"/>
      <c r="BD31" s="578"/>
      <c r="BE31" s="578"/>
      <c r="BF31" s="578"/>
      <c r="BG31" s="578"/>
      <c r="BH31" s="578"/>
      <c r="BI31" s="578"/>
      <c r="BJ31" s="578"/>
      <c r="BK31" s="578"/>
      <c r="BL31" s="578"/>
      <c r="BM31" s="578"/>
      <c r="BN31" s="578"/>
      <c r="BO31" s="578"/>
      <c r="BP31" s="578"/>
      <c r="BQ31" s="578"/>
      <c r="BR31" s="578"/>
      <c r="BS31" s="578"/>
      <c r="BT31" s="578"/>
      <c r="BU31" s="578"/>
      <c r="BV31" s="578"/>
      <c r="BW31" s="578"/>
      <c r="BX31" s="578"/>
      <c r="BY31" s="578"/>
      <c r="BZ31" s="578"/>
      <c r="CA31" s="578"/>
      <c r="CB31" s="578"/>
      <c r="CC31" s="578"/>
      <c r="CD31" s="578"/>
      <c r="CE31" s="578"/>
      <c r="CF31" s="578"/>
      <c r="CG31" s="578"/>
      <c r="CH31" s="578"/>
      <c r="CI31" s="578"/>
      <c r="CJ31" s="578"/>
      <c r="CK31" s="578"/>
      <c r="CL31" s="578"/>
      <c r="CM31" s="578"/>
      <c r="CN31" s="578"/>
      <c r="CO31" s="578"/>
      <c r="CP31" s="578"/>
      <c r="CQ31" s="578"/>
      <c r="CR31" s="578"/>
      <c r="CS31" s="578"/>
      <c r="CT31" s="578"/>
      <c r="CU31" s="578"/>
      <c r="CV31" s="578"/>
      <c r="CW31" s="578"/>
      <c r="CX31" s="578"/>
      <c r="CY31" s="578"/>
      <c r="CZ31" s="578"/>
      <c r="DA31" s="578"/>
      <c r="DB31" s="578"/>
      <c r="DC31" s="522"/>
      <c r="DD31" s="578"/>
      <c r="DE31" s="578"/>
      <c r="DF31" s="578"/>
      <c r="DG31" s="578"/>
    </row>
    <row r="32" spans="1:111" s="403" customFormat="1" ht="16.5" thickBot="1">
      <c r="A32" s="581"/>
      <c r="B32" s="581"/>
      <c r="C32" s="581"/>
      <c r="D32" s="581"/>
      <c r="E32" s="581"/>
      <c r="F32" s="581"/>
      <c r="G32" s="581"/>
      <c r="H32" s="582"/>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3"/>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1"/>
      <c r="CV32" s="581"/>
      <c r="CW32" s="581"/>
      <c r="CX32" s="581"/>
      <c r="CY32" s="581"/>
      <c r="CZ32" s="581"/>
      <c r="DA32" s="581"/>
      <c r="DB32" s="581"/>
      <c r="DC32" s="522"/>
      <c r="DD32" s="581"/>
      <c r="DE32" s="581"/>
      <c r="DF32" s="581"/>
      <c r="DG32" s="581"/>
    </row>
    <row r="33" spans="1:111" ht="24" customHeight="1" thickTop="1" thickBot="1">
      <c r="A33" s="491" t="s">
        <v>401</v>
      </c>
      <c r="B33" s="492" t="s">
        <v>429</v>
      </c>
      <c r="C33" s="525">
        <v>38504</v>
      </c>
      <c r="D33" s="525">
        <v>38534</v>
      </c>
      <c r="E33" s="525">
        <v>38565</v>
      </c>
      <c r="F33" s="584">
        <v>38596</v>
      </c>
      <c r="G33" s="525">
        <v>38626</v>
      </c>
      <c r="H33" s="585">
        <v>38657</v>
      </c>
      <c r="I33" s="525">
        <v>38687</v>
      </c>
      <c r="J33" s="525">
        <v>38718</v>
      </c>
      <c r="K33" s="525">
        <v>38749</v>
      </c>
      <c r="L33" s="525">
        <v>38777</v>
      </c>
      <c r="M33" s="584">
        <v>38808</v>
      </c>
      <c r="N33" s="525">
        <v>38838</v>
      </c>
      <c r="O33" s="525">
        <v>38869</v>
      </c>
      <c r="P33" s="525">
        <v>38899</v>
      </c>
      <c r="Q33" s="525">
        <v>38930</v>
      </c>
      <c r="R33" s="525">
        <v>38961</v>
      </c>
      <c r="S33" s="525">
        <v>38991</v>
      </c>
      <c r="T33" s="525">
        <v>39022</v>
      </c>
      <c r="U33" s="525">
        <v>39052</v>
      </c>
      <c r="V33" s="525">
        <v>39083</v>
      </c>
      <c r="W33" s="525">
        <v>39114</v>
      </c>
      <c r="X33" s="525">
        <v>39142</v>
      </c>
      <c r="Y33" s="525">
        <v>39173</v>
      </c>
      <c r="Z33" s="525">
        <v>39203</v>
      </c>
      <c r="AA33" s="525">
        <v>39234</v>
      </c>
      <c r="AB33" s="523">
        <v>39264</v>
      </c>
      <c r="AC33" s="523">
        <v>39295</v>
      </c>
      <c r="AD33" s="524">
        <v>39326</v>
      </c>
      <c r="AE33" s="525">
        <v>39356</v>
      </c>
      <c r="AF33" s="525">
        <v>39387</v>
      </c>
      <c r="AG33" s="525">
        <v>39417</v>
      </c>
      <c r="AH33" s="525">
        <v>39448</v>
      </c>
      <c r="AI33" s="525">
        <v>39479</v>
      </c>
      <c r="AJ33" s="525">
        <v>39508</v>
      </c>
      <c r="AK33" s="525">
        <v>39539</v>
      </c>
      <c r="AL33" s="525">
        <v>39569</v>
      </c>
      <c r="AM33" s="525">
        <v>39600</v>
      </c>
      <c r="AN33" s="525">
        <v>39630</v>
      </c>
      <c r="AO33" s="525">
        <v>39661</v>
      </c>
      <c r="AP33" s="585">
        <v>39692</v>
      </c>
      <c r="AQ33" s="585">
        <v>39722</v>
      </c>
      <c r="AR33" s="525">
        <v>39753</v>
      </c>
      <c r="AS33" s="525">
        <v>39783</v>
      </c>
      <c r="AT33" s="525">
        <v>39814</v>
      </c>
      <c r="AU33" s="525">
        <v>39845</v>
      </c>
      <c r="AV33" s="525" t="s">
        <v>463</v>
      </c>
      <c r="AW33" s="525">
        <v>39904</v>
      </c>
      <c r="AX33" s="525">
        <v>39934</v>
      </c>
      <c r="AY33" s="525">
        <v>39965</v>
      </c>
      <c r="AZ33" s="525">
        <v>39995</v>
      </c>
      <c r="BA33" s="525">
        <v>40026</v>
      </c>
      <c r="BB33" s="525">
        <v>40057</v>
      </c>
      <c r="BC33" s="525">
        <v>40087</v>
      </c>
      <c r="BD33" s="525">
        <v>40118</v>
      </c>
      <c r="BE33" s="525">
        <v>40148</v>
      </c>
      <c r="BF33" s="525">
        <v>40179</v>
      </c>
      <c r="BG33" s="525">
        <v>40210</v>
      </c>
      <c r="BH33" s="525">
        <v>40238</v>
      </c>
      <c r="BI33" s="525">
        <v>40269</v>
      </c>
      <c r="BJ33" s="525">
        <v>40299</v>
      </c>
      <c r="BK33" s="525">
        <v>40330</v>
      </c>
      <c r="BL33" s="525">
        <v>40360</v>
      </c>
      <c r="BM33" s="525">
        <v>40391</v>
      </c>
      <c r="BN33" s="525">
        <v>40422</v>
      </c>
      <c r="BO33" s="525">
        <v>40452</v>
      </c>
      <c r="BP33" s="525">
        <v>40483</v>
      </c>
      <c r="BQ33" s="525">
        <v>40513</v>
      </c>
      <c r="BR33" s="525">
        <v>40544</v>
      </c>
      <c r="BS33" s="525">
        <v>40575</v>
      </c>
      <c r="BT33" s="525">
        <v>40603</v>
      </c>
      <c r="BU33" s="525">
        <v>40634</v>
      </c>
      <c r="BV33" s="525">
        <v>40664</v>
      </c>
      <c r="BW33" s="525">
        <v>40695</v>
      </c>
      <c r="BX33" s="525">
        <v>40725</v>
      </c>
      <c r="BY33" s="525">
        <v>40756</v>
      </c>
      <c r="BZ33" s="525">
        <v>40787</v>
      </c>
      <c r="CA33" s="525">
        <v>40817</v>
      </c>
      <c r="CB33" s="525">
        <v>40848</v>
      </c>
      <c r="CC33" s="525">
        <v>40878</v>
      </c>
      <c r="CD33" s="525">
        <v>40909</v>
      </c>
      <c r="CE33" s="525">
        <v>40940</v>
      </c>
      <c r="CF33" s="525">
        <v>40969</v>
      </c>
      <c r="CG33" s="525">
        <v>41000</v>
      </c>
      <c r="CH33" s="525">
        <v>41030</v>
      </c>
      <c r="CI33" s="525">
        <v>41061</v>
      </c>
      <c r="CJ33" s="525">
        <v>41091</v>
      </c>
      <c r="CK33" s="525">
        <v>41122</v>
      </c>
      <c r="CL33" s="525">
        <v>41153</v>
      </c>
      <c r="CM33" s="525">
        <v>41183</v>
      </c>
      <c r="CN33" s="525">
        <v>41214</v>
      </c>
      <c r="CO33" s="525">
        <v>41244</v>
      </c>
      <c r="CP33" s="525">
        <v>41275</v>
      </c>
      <c r="CQ33" s="525">
        <v>41306</v>
      </c>
      <c r="CR33" s="525">
        <v>41334</v>
      </c>
      <c r="CS33" s="495">
        <v>41365</v>
      </c>
      <c r="CT33" s="495">
        <v>41395</v>
      </c>
      <c r="CU33" s="495">
        <v>41426</v>
      </c>
      <c r="CV33" s="495">
        <v>41456</v>
      </c>
      <c r="CW33" s="495">
        <v>41487</v>
      </c>
      <c r="CX33" s="495">
        <v>41518</v>
      </c>
      <c r="CY33" s="495">
        <v>41548</v>
      </c>
      <c r="CZ33" s="495">
        <v>41579</v>
      </c>
      <c r="DA33" s="495">
        <v>41609</v>
      </c>
      <c r="DB33" s="554">
        <v>41640</v>
      </c>
      <c r="DC33" s="493">
        <v>41671</v>
      </c>
      <c r="DD33" s="493">
        <v>41699</v>
      </c>
      <c r="DE33" s="493">
        <v>41730</v>
      </c>
      <c r="DF33" s="493">
        <v>41760</v>
      </c>
      <c r="DG33" s="493">
        <v>41791</v>
      </c>
    </row>
    <row r="34" spans="1:111" ht="16.5" customHeight="1" thickTop="1">
      <c r="A34" s="509"/>
      <c r="B34" s="528"/>
      <c r="C34" s="530"/>
      <c r="D34" s="530"/>
      <c r="E34" s="530"/>
      <c r="F34" s="569"/>
      <c r="G34" s="530"/>
      <c r="H34" s="570"/>
      <c r="I34" s="530"/>
      <c r="J34" s="530"/>
      <c r="K34" s="530"/>
      <c r="L34" s="530"/>
      <c r="M34" s="569"/>
      <c r="N34" s="530"/>
      <c r="O34" s="530"/>
      <c r="P34" s="530"/>
      <c r="Q34" s="530"/>
      <c r="R34" s="530"/>
      <c r="S34" s="530"/>
      <c r="T34" s="530"/>
      <c r="U34" s="530"/>
      <c r="V34" s="530"/>
      <c r="W34" s="530"/>
      <c r="X34" s="530"/>
      <c r="Y34" s="530"/>
      <c r="Z34" s="530"/>
      <c r="AA34" s="530"/>
      <c r="AB34" s="512"/>
      <c r="AC34" s="512"/>
      <c r="AD34" s="529"/>
      <c r="AE34" s="530"/>
      <c r="AF34" s="530"/>
      <c r="AG34" s="530"/>
      <c r="AH34" s="530"/>
      <c r="AI34" s="530"/>
      <c r="AJ34" s="530"/>
      <c r="AK34" s="530"/>
      <c r="AL34" s="530"/>
      <c r="AM34" s="530"/>
      <c r="AN34" s="530"/>
      <c r="AO34" s="530"/>
      <c r="AP34" s="586"/>
      <c r="AQ34" s="587"/>
      <c r="AR34" s="530"/>
      <c r="AS34" s="530"/>
      <c r="AT34" s="530"/>
      <c r="AU34" s="530"/>
      <c r="AV34" s="530"/>
      <c r="AW34" s="530"/>
      <c r="AX34" s="530"/>
      <c r="AY34" s="530"/>
      <c r="AZ34" s="530"/>
      <c r="BA34" s="530"/>
      <c r="BB34" s="530"/>
      <c r="BC34" s="530"/>
      <c r="BD34" s="530"/>
      <c r="BE34" s="530"/>
      <c r="BF34" s="530"/>
      <c r="BG34" s="530"/>
      <c r="BH34" s="530"/>
      <c r="BI34" s="530"/>
      <c r="BJ34" s="530"/>
      <c r="BK34" s="530"/>
      <c r="BL34" s="530"/>
      <c r="BM34" s="530"/>
      <c r="BN34" s="530"/>
      <c r="BO34" s="530"/>
      <c r="BP34" s="530"/>
      <c r="BQ34" s="530"/>
      <c r="BR34" s="530"/>
      <c r="BS34" s="530"/>
      <c r="BT34" s="530"/>
      <c r="BU34" s="530"/>
      <c r="BV34" s="530"/>
      <c r="BW34" s="530"/>
      <c r="BX34" s="530"/>
      <c r="BY34" s="530"/>
      <c r="BZ34" s="530"/>
      <c r="CA34" s="530"/>
      <c r="CB34" s="530"/>
      <c r="CC34" s="530"/>
      <c r="CD34" s="530"/>
      <c r="CE34" s="530"/>
      <c r="CF34" s="530"/>
      <c r="CG34" s="530"/>
      <c r="CH34" s="530"/>
      <c r="CI34" s="530"/>
      <c r="CJ34" s="530"/>
      <c r="CK34" s="530"/>
      <c r="CL34" s="530"/>
      <c r="CM34" s="530"/>
      <c r="CN34" s="530"/>
      <c r="CO34" s="530"/>
      <c r="CP34" s="530"/>
      <c r="CQ34" s="530"/>
      <c r="CR34" s="530"/>
      <c r="CS34" s="530"/>
      <c r="CT34" s="530"/>
      <c r="CU34" s="530"/>
      <c r="CV34" s="530"/>
      <c r="CW34" s="530"/>
      <c r="CX34" s="530"/>
      <c r="CY34" s="530"/>
      <c r="CZ34" s="530"/>
      <c r="DA34" s="530"/>
      <c r="DB34" s="569"/>
      <c r="DC34" s="530"/>
      <c r="DD34" s="512"/>
      <c r="DE34" s="512"/>
      <c r="DF34" s="512"/>
      <c r="DG34" s="512"/>
    </row>
    <row r="35" spans="1:111" ht="16.5" customHeight="1">
      <c r="A35" s="505" t="s">
        <v>430</v>
      </c>
      <c r="B35" s="506" t="s">
        <v>431</v>
      </c>
      <c r="C35" s="561">
        <v>0</v>
      </c>
      <c r="D35" s="561">
        <v>0</v>
      </c>
      <c r="E35" s="561">
        <v>0</v>
      </c>
      <c r="F35" s="562">
        <v>0</v>
      </c>
      <c r="G35" s="561">
        <v>0</v>
      </c>
      <c r="H35" s="563">
        <v>0</v>
      </c>
      <c r="I35" s="561">
        <v>0</v>
      </c>
      <c r="J35" s="561">
        <v>0</v>
      </c>
      <c r="K35" s="561">
        <v>0</v>
      </c>
      <c r="L35" s="561">
        <v>0</v>
      </c>
      <c r="M35" s="562">
        <v>0</v>
      </c>
      <c r="N35" s="561">
        <v>0</v>
      </c>
      <c r="O35" s="561">
        <v>0</v>
      </c>
      <c r="P35" s="561">
        <v>0</v>
      </c>
      <c r="Q35" s="561">
        <v>0</v>
      </c>
      <c r="R35" s="561">
        <v>0</v>
      </c>
      <c r="S35" s="561">
        <v>0</v>
      </c>
      <c r="T35" s="561">
        <v>0</v>
      </c>
      <c r="U35" s="561">
        <v>0</v>
      </c>
      <c r="V35" s="561">
        <v>0</v>
      </c>
      <c r="W35" s="561">
        <v>0</v>
      </c>
      <c r="X35" s="561">
        <v>0</v>
      </c>
      <c r="Y35" s="561">
        <v>0</v>
      </c>
      <c r="Z35" s="561">
        <v>0</v>
      </c>
      <c r="AA35" s="561">
        <v>0</v>
      </c>
      <c r="AB35" s="507">
        <v>0</v>
      </c>
      <c r="AC35" s="507">
        <v>0</v>
      </c>
      <c r="AD35" s="588">
        <v>0</v>
      </c>
      <c r="AE35" s="561">
        <v>0</v>
      </c>
      <c r="AF35" s="561">
        <v>0</v>
      </c>
      <c r="AG35" s="561">
        <v>0</v>
      </c>
      <c r="AH35" s="561">
        <v>0</v>
      </c>
      <c r="AI35" s="561">
        <v>0</v>
      </c>
      <c r="AJ35" s="561">
        <v>0</v>
      </c>
      <c r="AK35" s="561">
        <v>0</v>
      </c>
      <c r="AL35" s="561">
        <v>0</v>
      </c>
      <c r="AM35" s="561">
        <v>0</v>
      </c>
      <c r="AN35" s="561">
        <v>0</v>
      </c>
      <c r="AO35" s="561">
        <v>0</v>
      </c>
      <c r="AP35" s="563">
        <v>0</v>
      </c>
      <c r="AQ35" s="561">
        <v>0</v>
      </c>
      <c r="AR35" s="561">
        <v>0</v>
      </c>
      <c r="AS35" s="561">
        <v>0</v>
      </c>
      <c r="AT35" s="561">
        <v>0</v>
      </c>
      <c r="AU35" s="561">
        <v>0</v>
      </c>
      <c r="AV35" s="561">
        <v>0</v>
      </c>
      <c r="AW35" s="561">
        <v>0</v>
      </c>
      <c r="AX35" s="561">
        <v>0</v>
      </c>
      <c r="AY35" s="561">
        <v>0</v>
      </c>
      <c r="AZ35" s="561">
        <v>0</v>
      </c>
      <c r="BA35" s="561">
        <v>0</v>
      </c>
      <c r="BB35" s="561">
        <v>0</v>
      </c>
      <c r="BC35" s="561">
        <v>0</v>
      </c>
      <c r="BD35" s="561">
        <v>0</v>
      </c>
      <c r="BE35" s="561">
        <v>0</v>
      </c>
      <c r="BF35" s="561">
        <v>0</v>
      </c>
      <c r="BG35" s="561">
        <v>0</v>
      </c>
      <c r="BH35" s="561">
        <v>0</v>
      </c>
      <c r="BI35" s="561">
        <v>0</v>
      </c>
      <c r="BJ35" s="561">
        <v>0</v>
      </c>
      <c r="BK35" s="561">
        <v>0</v>
      </c>
      <c r="BL35" s="561">
        <v>0</v>
      </c>
      <c r="BM35" s="561">
        <v>0</v>
      </c>
      <c r="BN35" s="561">
        <v>0</v>
      </c>
      <c r="BO35" s="561">
        <v>0</v>
      </c>
      <c r="BP35" s="561">
        <v>0</v>
      </c>
      <c r="BQ35" s="561">
        <v>0</v>
      </c>
      <c r="BR35" s="561">
        <v>0</v>
      </c>
      <c r="BS35" s="561">
        <v>0</v>
      </c>
      <c r="BT35" s="561">
        <v>0</v>
      </c>
      <c r="BU35" s="561">
        <v>0</v>
      </c>
      <c r="BV35" s="561">
        <v>0</v>
      </c>
      <c r="BW35" s="561">
        <v>0</v>
      </c>
      <c r="BX35" s="561">
        <v>0</v>
      </c>
      <c r="BY35" s="561">
        <v>0</v>
      </c>
      <c r="BZ35" s="561">
        <v>0</v>
      </c>
      <c r="CA35" s="561">
        <v>0</v>
      </c>
      <c r="CB35" s="561">
        <v>0</v>
      </c>
      <c r="CC35" s="561">
        <v>0</v>
      </c>
      <c r="CD35" s="561">
        <v>0</v>
      </c>
      <c r="CE35" s="561">
        <v>0</v>
      </c>
      <c r="CF35" s="561">
        <v>0</v>
      </c>
      <c r="CG35" s="561">
        <v>0</v>
      </c>
      <c r="CH35" s="561">
        <v>0</v>
      </c>
      <c r="CI35" s="561">
        <v>0</v>
      </c>
      <c r="CJ35" s="561">
        <v>0</v>
      </c>
      <c r="CK35" s="561">
        <v>0</v>
      </c>
      <c r="CL35" s="561">
        <v>0</v>
      </c>
      <c r="CM35" s="561">
        <v>0</v>
      </c>
      <c r="CN35" s="561">
        <v>0</v>
      </c>
      <c r="CO35" s="561">
        <v>0</v>
      </c>
      <c r="CP35" s="561">
        <v>0</v>
      </c>
      <c r="CQ35" s="561">
        <v>0</v>
      </c>
      <c r="CR35" s="561">
        <v>0</v>
      </c>
      <c r="CS35" s="561">
        <v>0</v>
      </c>
      <c r="CT35" s="561">
        <v>0</v>
      </c>
      <c r="CU35" s="561">
        <v>0</v>
      </c>
      <c r="CV35" s="561">
        <v>0</v>
      </c>
      <c r="CW35" s="561">
        <v>0</v>
      </c>
      <c r="CX35" s="561">
        <v>0</v>
      </c>
      <c r="CY35" s="561">
        <v>0</v>
      </c>
      <c r="CZ35" s="561">
        <v>0</v>
      </c>
      <c r="DA35" s="561">
        <v>0</v>
      </c>
      <c r="DB35" s="562">
        <v>0</v>
      </c>
      <c r="DC35" s="561">
        <v>0</v>
      </c>
      <c r="DD35" s="507">
        <v>0</v>
      </c>
      <c r="DE35" s="507">
        <v>0</v>
      </c>
      <c r="DF35" s="507">
        <v>0</v>
      </c>
      <c r="DG35" s="507">
        <v>0</v>
      </c>
    </row>
    <row r="36" spans="1:111" ht="16.5" customHeight="1">
      <c r="A36" s="509"/>
      <c r="B36" s="510"/>
      <c r="C36" s="589"/>
      <c r="D36" s="589"/>
      <c r="E36" s="589"/>
      <c r="F36" s="590"/>
      <c r="G36" s="589"/>
      <c r="H36" s="591"/>
      <c r="I36" s="589"/>
      <c r="J36" s="589"/>
      <c r="K36" s="589"/>
      <c r="L36" s="589"/>
      <c r="M36" s="590"/>
      <c r="N36" s="589"/>
      <c r="O36" s="589"/>
      <c r="P36" s="589"/>
      <c r="Q36" s="589"/>
      <c r="R36" s="589"/>
      <c r="S36" s="589"/>
      <c r="T36" s="589"/>
      <c r="U36" s="589"/>
      <c r="V36" s="589"/>
      <c r="W36" s="589"/>
      <c r="X36" s="589"/>
      <c r="Y36" s="589"/>
      <c r="Z36" s="589"/>
      <c r="AA36" s="589"/>
      <c r="AB36" s="592"/>
      <c r="AC36" s="592"/>
      <c r="AD36" s="593"/>
      <c r="AE36" s="589"/>
      <c r="AF36" s="589"/>
      <c r="AG36" s="589"/>
      <c r="AH36" s="589"/>
      <c r="AI36" s="589"/>
      <c r="AJ36" s="589"/>
      <c r="AK36" s="589"/>
      <c r="AL36" s="589"/>
      <c r="AM36" s="589"/>
      <c r="AN36" s="589"/>
      <c r="AO36" s="589"/>
      <c r="AP36" s="591"/>
      <c r="AQ36" s="589"/>
      <c r="AR36" s="589"/>
      <c r="AS36" s="589"/>
      <c r="AT36" s="589"/>
      <c r="AU36" s="589"/>
      <c r="AV36" s="589"/>
      <c r="AW36" s="589"/>
      <c r="AX36" s="589"/>
      <c r="AY36" s="589"/>
      <c r="AZ36" s="589"/>
      <c r="BA36" s="589"/>
      <c r="BB36" s="589"/>
      <c r="BC36" s="589"/>
      <c r="BD36" s="589"/>
      <c r="BE36" s="589"/>
      <c r="BF36" s="589"/>
      <c r="BG36" s="589"/>
      <c r="BH36" s="589"/>
      <c r="BI36" s="589"/>
      <c r="BJ36" s="589"/>
      <c r="BK36" s="589"/>
      <c r="BL36" s="589"/>
      <c r="BM36" s="589"/>
      <c r="BN36" s="589"/>
      <c r="BO36" s="589"/>
      <c r="BP36" s="589"/>
      <c r="BQ36" s="589"/>
      <c r="BR36" s="589"/>
      <c r="BS36" s="589"/>
      <c r="BT36" s="589"/>
      <c r="BU36" s="589"/>
      <c r="BV36" s="589"/>
      <c r="BW36" s="589"/>
      <c r="BX36" s="589"/>
      <c r="BY36" s="589"/>
      <c r="BZ36" s="589"/>
      <c r="CA36" s="589"/>
      <c r="CB36" s="589"/>
      <c r="CC36" s="589"/>
      <c r="CD36" s="589"/>
      <c r="CE36" s="589"/>
      <c r="CF36" s="589"/>
      <c r="CG36" s="589"/>
      <c r="CH36" s="589"/>
      <c r="CI36" s="589"/>
      <c r="CJ36" s="589"/>
      <c r="CK36" s="589"/>
      <c r="CL36" s="589"/>
      <c r="CM36" s="589"/>
      <c r="CN36" s="589"/>
      <c r="CO36" s="589"/>
      <c r="CP36" s="589"/>
      <c r="CQ36" s="589"/>
      <c r="CR36" s="589"/>
      <c r="CS36" s="589"/>
      <c r="CT36" s="589"/>
      <c r="CU36" s="589"/>
      <c r="CV36" s="589"/>
      <c r="CW36" s="589"/>
      <c r="CX36" s="589"/>
      <c r="CY36" s="589"/>
      <c r="CZ36" s="589"/>
      <c r="DA36" s="589"/>
      <c r="DB36" s="590"/>
      <c r="DC36" s="589"/>
      <c r="DD36" s="592"/>
      <c r="DE36" s="592"/>
      <c r="DF36" s="592"/>
      <c r="DG36" s="592"/>
    </row>
    <row r="37" spans="1:111" ht="16.5" customHeight="1">
      <c r="A37" s="505" t="s">
        <v>432</v>
      </c>
      <c r="B37" s="506" t="s">
        <v>433</v>
      </c>
      <c r="C37" s="561">
        <v>234659.69403894403</v>
      </c>
      <c r="D37" s="561">
        <v>216175.19586837472</v>
      </c>
      <c r="E37" s="561">
        <v>211764.41111288907</v>
      </c>
      <c r="F37" s="562">
        <v>221465.78791758599</v>
      </c>
      <c r="G37" s="561">
        <v>224608.9356504812</v>
      </c>
      <c r="H37" s="563">
        <v>239909.87763746487</v>
      </c>
      <c r="I37" s="561">
        <v>239646.34070809974</v>
      </c>
      <c r="J37" s="561">
        <v>238338.66339117137</v>
      </c>
      <c r="K37" s="561">
        <v>248027.07543167711</v>
      </c>
      <c r="L37" s="561">
        <v>254690.49543574249</v>
      </c>
      <c r="M37" s="562">
        <v>252200.82457217603</v>
      </c>
      <c r="N37" s="561">
        <v>272025.98400048987</v>
      </c>
      <c r="O37" s="561">
        <v>268854.55419032736</v>
      </c>
      <c r="P37" s="561">
        <v>278782.71408496238</v>
      </c>
      <c r="Q37" s="561">
        <v>280471.41074241279</v>
      </c>
      <c r="R37" s="561">
        <v>293880.7609238014</v>
      </c>
      <c r="S37" s="561">
        <v>293445.59651270462</v>
      </c>
      <c r="T37" s="561">
        <v>300335.28877690592</v>
      </c>
      <c r="U37" s="561">
        <v>332611.45733350061</v>
      </c>
      <c r="V37" s="561">
        <v>317224.21581634658</v>
      </c>
      <c r="W37" s="561">
        <v>315181.57413066446</v>
      </c>
      <c r="X37" s="561">
        <v>326094.42682655377</v>
      </c>
      <c r="Y37" s="561">
        <v>319702.46339459461</v>
      </c>
      <c r="Z37" s="561">
        <v>323621.08355374425</v>
      </c>
      <c r="AA37" s="561">
        <v>338937.63883494784</v>
      </c>
      <c r="AB37" s="507">
        <v>353336.5422096292</v>
      </c>
      <c r="AC37" s="507">
        <v>353882.80572901608</v>
      </c>
      <c r="AD37" s="588">
        <v>366083.89025436051</v>
      </c>
      <c r="AE37" s="561">
        <v>370093.14308066678</v>
      </c>
      <c r="AF37" s="561">
        <v>399561.7213328908</v>
      </c>
      <c r="AG37" s="561">
        <v>379737.88683241926</v>
      </c>
      <c r="AH37" s="561">
        <v>411194.66793957032</v>
      </c>
      <c r="AI37" s="561">
        <v>397223.14289778227</v>
      </c>
      <c r="AJ37" s="561">
        <v>384169.97294688132</v>
      </c>
      <c r="AK37" s="561">
        <v>377174.68478434451</v>
      </c>
      <c r="AL37" s="561">
        <v>410510.27517716476</v>
      </c>
      <c r="AM37" s="561">
        <v>422030.17171740218</v>
      </c>
      <c r="AN37" s="561">
        <v>443527.54864500556</v>
      </c>
      <c r="AO37" s="561">
        <v>428875.21669784852</v>
      </c>
      <c r="AP37" s="563">
        <v>417176.54811964394</v>
      </c>
      <c r="AQ37" s="561">
        <v>423618.02341971477</v>
      </c>
      <c r="AR37" s="561">
        <v>426464.59191861574</v>
      </c>
      <c r="AS37" s="561">
        <v>424511.53807556687</v>
      </c>
      <c r="AT37" s="561">
        <v>427247.51999296376</v>
      </c>
      <c r="AU37" s="561">
        <v>433762.4309569624</v>
      </c>
      <c r="AV37" s="561">
        <v>432392.10580331174</v>
      </c>
      <c r="AW37" s="561">
        <v>436033.26220642292</v>
      </c>
      <c r="AX37" s="561">
        <v>444352.23222694744</v>
      </c>
      <c r="AY37" s="561">
        <v>443588.38556634827</v>
      </c>
      <c r="AZ37" s="561">
        <v>445938.03909327474</v>
      </c>
      <c r="BA37" s="561">
        <v>438897.14458783186</v>
      </c>
      <c r="BB37" s="561">
        <v>449019.71883277124</v>
      </c>
      <c r="BC37" s="561">
        <v>450118.61442587705</v>
      </c>
      <c r="BD37" s="561">
        <v>458977.55439943925</v>
      </c>
      <c r="BE37" s="561">
        <v>475005.09013855131</v>
      </c>
      <c r="BF37" s="561">
        <v>496207.4781419682</v>
      </c>
      <c r="BG37" s="561">
        <v>499650.38501589181</v>
      </c>
      <c r="BH37" s="561">
        <v>506961.32125285175</v>
      </c>
      <c r="BI37" s="561">
        <v>489458.60403758596</v>
      </c>
      <c r="BJ37" s="561">
        <v>540403.6664803077</v>
      </c>
      <c r="BK37" s="561">
        <v>539627.74108805577</v>
      </c>
      <c r="BL37" s="561">
        <v>499477.13734697399</v>
      </c>
      <c r="BM37" s="561">
        <v>522569.20318933739</v>
      </c>
      <c r="BN37" s="561">
        <v>524735.91168733768</v>
      </c>
      <c r="BO37" s="561">
        <v>527943.01764599676</v>
      </c>
      <c r="BP37" s="561">
        <v>536907.13099979574</v>
      </c>
      <c r="BQ37" s="561">
        <v>551166.79520525085</v>
      </c>
      <c r="BR37" s="561">
        <v>550701.18278368236</v>
      </c>
      <c r="BS37" s="561">
        <v>545565.77315005905</v>
      </c>
      <c r="BT37" s="561">
        <v>515001.21588360041</v>
      </c>
      <c r="BU37" s="561">
        <v>532835.66349772399</v>
      </c>
      <c r="BV37" s="561">
        <v>524226.72519518377</v>
      </c>
      <c r="BW37" s="561">
        <v>554777.40849484433</v>
      </c>
      <c r="BX37" s="561">
        <v>541700.17485049961</v>
      </c>
      <c r="BY37" s="561">
        <v>526591.92248697625</v>
      </c>
      <c r="BZ37" s="561">
        <v>531311.32376258308</v>
      </c>
      <c r="CA37" s="561">
        <v>533460.52811905509</v>
      </c>
      <c r="CB37" s="561">
        <v>586067.89265765238</v>
      </c>
      <c r="CC37" s="561">
        <v>534238.79294144385</v>
      </c>
      <c r="CD37" s="561">
        <v>507796.3275038898</v>
      </c>
      <c r="CE37" s="561">
        <v>512584.53890575701</v>
      </c>
      <c r="CF37" s="561">
        <v>561741.24902321748</v>
      </c>
      <c r="CG37" s="561">
        <v>562306.72069987259</v>
      </c>
      <c r="CH37" s="561">
        <v>584855.07110065152</v>
      </c>
      <c r="CI37" s="561">
        <v>524250.73919347208</v>
      </c>
      <c r="CJ37" s="561">
        <v>552672.69958258374</v>
      </c>
      <c r="CK37" s="561">
        <v>513021.73634108133</v>
      </c>
      <c r="CL37" s="561">
        <v>536776.43787019444</v>
      </c>
      <c r="CM37" s="561">
        <v>557673.69960811757</v>
      </c>
      <c r="CN37" s="561">
        <v>560643.82684219722</v>
      </c>
      <c r="CO37" s="561">
        <v>569687.37195696007</v>
      </c>
      <c r="CP37" s="561">
        <v>588004.29224349442</v>
      </c>
      <c r="CQ37" s="561">
        <v>535780.92056944687</v>
      </c>
      <c r="CR37" s="561">
        <v>559723.79300845868</v>
      </c>
      <c r="CS37" s="561">
        <v>567925.65217496315</v>
      </c>
      <c r="CT37" s="561">
        <v>598789.51832252787</v>
      </c>
      <c r="CU37" s="561">
        <v>557277.61588895507</v>
      </c>
      <c r="CV37" s="561">
        <v>578559.71001712186</v>
      </c>
      <c r="CW37" s="561">
        <v>559746.8203944827</v>
      </c>
      <c r="CX37" s="561">
        <v>550238.95830118586</v>
      </c>
      <c r="CY37" s="561">
        <v>545236.29805016099</v>
      </c>
      <c r="CZ37" s="561">
        <v>553291.20568241563</v>
      </c>
      <c r="DA37" s="561">
        <v>583252.91517353465</v>
      </c>
      <c r="DB37" s="562">
        <v>553022.65208661626</v>
      </c>
      <c r="DC37" s="561">
        <v>559771.34370822145</v>
      </c>
      <c r="DD37" s="507">
        <v>553491.42038008315</v>
      </c>
      <c r="DE37" s="507">
        <v>573957.51528629591</v>
      </c>
      <c r="DF37" s="507">
        <v>560744.91627057199</v>
      </c>
      <c r="DG37" s="507">
        <v>557394.02702450589</v>
      </c>
    </row>
    <row r="38" spans="1:111" ht="16.5" customHeight="1">
      <c r="A38" s="509" t="s">
        <v>434</v>
      </c>
      <c r="B38" s="510" t="s">
        <v>435</v>
      </c>
      <c r="C38" s="530">
        <v>85971.344917090784</v>
      </c>
      <c r="D38" s="530">
        <v>56233.825152112688</v>
      </c>
      <c r="E38" s="530">
        <v>60252.107619653412</v>
      </c>
      <c r="F38" s="569">
        <v>64917.25499278737</v>
      </c>
      <c r="G38" s="530">
        <v>67143.919556244378</v>
      </c>
      <c r="H38" s="570">
        <v>70429.597058082552</v>
      </c>
      <c r="I38" s="530">
        <v>73115.848879623896</v>
      </c>
      <c r="J38" s="530">
        <v>70584.508932084369</v>
      </c>
      <c r="K38" s="530">
        <v>72388.476477591976</v>
      </c>
      <c r="L38" s="530">
        <v>71006.542502962737</v>
      </c>
      <c r="M38" s="569">
        <v>64762.956991548017</v>
      </c>
      <c r="N38" s="530">
        <v>71376.843475018992</v>
      </c>
      <c r="O38" s="530">
        <v>70370.849442147213</v>
      </c>
      <c r="P38" s="530">
        <v>77834.490277323697</v>
      </c>
      <c r="Q38" s="530">
        <v>75479.578502125776</v>
      </c>
      <c r="R38" s="530">
        <v>75715.975696240974</v>
      </c>
      <c r="S38" s="530">
        <v>76501.098940951473</v>
      </c>
      <c r="T38" s="530">
        <v>83317.123458625007</v>
      </c>
      <c r="U38" s="530">
        <v>94783.297528469324</v>
      </c>
      <c r="V38" s="530">
        <v>97807.679188481052</v>
      </c>
      <c r="W38" s="530">
        <v>102541.53625631204</v>
      </c>
      <c r="X38" s="530">
        <v>104937.78384865716</v>
      </c>
      <c r="Y38" s="530">
        <v>102759.74497819504</v>
      </c>
      <c r="Z38" s="530">
        <v>98156.099633431339</v>
      </c>
      <c r="AA38" s="530">
        <v>108098.47599634138</v>
      </c>
      <c r="AB38" s="512">
        <v>113433.44803029559</v>
      </c>
      <c r="AC38" s="512">
        <v>107036.0017067583</v>
      </c>
      <c r="AD38" s="529">
        <v>123742.79734739376</v>
      </c>
      <c r="AE38" s="530">
        <v>120595.07091522172</v>
      </c>
      <c r="AF38" s="530">
        <v>136796.36000051288</v>
      </c>
      <c r="AG38" s="530">
        <v>126670.48808545167</v>
      </c>
      <c r="AH38" s="530">
        <v>132787.34762984278</v>
      </c>
      <c r="AI38" s="530">
        <v>121694.13096946044</v>
      </c>
      <c r="AJ38" s="530">
        <v>119716.94916424096</v>
      </c>
      <c r="AK38" s="530">
        <v>115913.87573404826</v>
      </c>
      <c r="AL38" s="530">
        <v>120037.92474904569</v>
      </c>
      <c r="AM38" s="530">
        <v>136102.50982904684</v>
      </c>
      <c r="AN38" s="530">
        <v>137760.12289358673</v>
      </c>
      <c r="AO38" s="530">
        <v>132653.62250465617</v>
      </c>
      <c r="AP38" s="570">
        <v>130313.38993089984</v>
      </c>
      <c r="AQ38" s="530">
        <v>140758.29932319175</v>
      </c>
      <c r="AR38" s="530">
        <v>141554.31136313253</v>
      </c>
      <c r="AS38" s="530">
        <v>143107.30549762354</v>
      </c>
      <c r="AT38" s="530">
        <v>150046.43147167374</v>
      </c>
      <c r="AU38" s="530">
        <v>155851.9510543645</v>
      </c>
      <c r="AV38" s="530">
        <v>160566.56518537708</v>
      </c>
      <c r="AW38" s="530">
        <v>158720.16497322492</v>
      </c>
      <c r="AX38" s="530">
        <v>164232.75667122781</v>
      </c>
      <c r="AY38" s="530">
        <v>170748.1548239853</v>
      </c>
      <c r="AZ38" s="530">
        <v>171344.24881251989</v>
      </c>
      <c r="BA38" s="530">
        <v>164099.5067574085</v>
      </c>
      <c r="BB38" s="530">
        <v>172846.76150691375</v>
      </c>
      <c r="BC38" s="530">
        <v>172189.43734370044</v>
      </c>
      <c r="BD38" s="530">
        <v>174265.05114018475</v>
      </c>
      <c r="BE38" s="530">
        <v>191048.92176675834</v>
      </c>
      <c r="BF38" s="530">
        <v>179915.97869980364</v>
      </c>
      <c r="BG38" s="530">
        <v>192180.69027072741</v>
      </c>
      <c r="BH38" s="530">
        <v>208788.97038426899</v>
      </c>
      <c r="BI38" s="530">
        <v>194250.10949376694</v>
      </c>
      <c r="BJ38" s="530">
        <v>208407.65075018074</v>
      </c>
      <c r="BK38" s="530">
        <v>208555.91568728545</v>
      </c>
      <c r="BL38" s="530">
        <v>182576.24376396686</v>
      </c>
      <c r="BM38" s="530">
        <v>191037.94546439327</v>
      </c>
      <c r="BN38" s="530">
        <v>204607.59015881389</v>
      </c>
      <c r="BO38" s="530">
        <v>200360.84813562041</v>
      </c>
      <c r="BP38" s="530">
        <v>209518.89747008457</v>
      </c>
      <c r="BQ38" s="530">
        <v>209295.6548992754</v>
      </c>
      <c r="BR38" s="530">
        <v>209637.39292402792</v>
      </c>
      <c r="BS38" s="530">
        <v>210767.21309718012</v>
      </c>
      <c r="BT38" s="530">
        <v>207308.49139739011</v>
      </c>
      <c r="BU38" s="530">
        <v>192464.96509982963</v>
      </c>
      <c r="BV38" s="530">
        <v>188726.39556423103</v>
      </c>
      <c r="BW38" s="530">
        <v>205308.35758070156</v>
      </c>
      <c r="BX38" s="530">
        <v>188313.19618431921</v>
      </c>
      <c r="BY38" s="530">
        <v>200419.60044157729</v>
      </c>
      <c r="BZ38" s="530">
        <v>198422.70198409588</v>
      </c>
      <c r="CA38" s="530">
        <v>201743.29043449453</v>
      </c>
      <c r="CB38" s="530">
        <v>214088.36141710865</v>
      </c>
      <c r="CC38" s="530">
        <v>205537.91356101009</v>
      </c>
      <c r="CD38" s="530">
        <v>205231.05536734877</v>
      </c>
      <c r="CE38" s="530">
        <v>206772.43078668762</v>
      </c>
      <c r="CF38" s="530">
        <v>259119.8327835619</v>
      </c>
      <c r="CG38" s="530">
        <v>256831.62678008329</v>
      </c>
      <c r="CH38" s="530">
        <v>266347.0832634134</v>
      </c>
      <c r="CI38" s="530">
        <v>185562.90634465666</v>
      </c>
      <c r="CJ38" s="530">
        <v>229789.48133857647</v>
      </c>
      <c r="CK38" s="530">
        <v>191664.32839531542</v>
      </c>
      <c r="CL38" s="530">
        <v>195659.65666632872</v>
      </c>
      <c r="CM38" s="530">
        <v>206437.66452216063</v>
      </c>
      <c r="CN38" s="530">
        <v>226858.78085671514</v>
      </c>
      <c r="CO38" s="530">
        <v>232397.77744178093</v>
      </c>
      <c r="CP38" s="530">
        <v>253266.41093040814</v>
      </c>
      <c r="CQ38" s="530">
        <v>205912.76219806424</v>
      </c>
      <c r="CR38" s="530">
        <v>228974.53216202161</v>
      </c>
      <c r="CS38" s="530">
        <v>209603.3922520495</v>
      </c>
      <c r="CT38" s="530">
        <v>236948.74495882238</v>
      </c>
      <c r="CU38" s="530">
        <v>226473.41388209624</v>
      </c>
      <c r="CV38" s="530">
        <v>249298.55269370315</v>
      </c>
      <c r="CW38" s="530">
        <v>232142.11169179843</v>
      </c>
      <c r="CX38" s="530">
        <v>219823.81216103063</v>
      </c>
      <c r="CY38" s="530">
        <v>215430.08009683026</v>
      </c>
      <c r="CZ38" s="530">
        <v>211132.13329911508</v>
      </c>
      <c r="DA38" s="530">
        <v>242832.98239723389</v>
      </c>
      <c r="DB38" s="569">
        <v>227138.3075219765</v>
      </c>
      <c r="DC38" s="530">
        <v>228630.83169578706</v>
      </c>
      <c r="DD38" s="512">
        <v>213634.22806992469</v>
      </c>
      <c r="DE38" s="512">
        <v>229625.01475195846</v>
      </c>
      <c r="DF38" s="512">
        <v>225075.36073976403</v>
      </c>
      <c r="DG38" s="512">
        <v>228962.60459457073</v>
      </c>
    </row>
    <row r="39" spans="1:111" ht="16.5" customHeight="1">
      <c r="A39" s="509" t="s">
        <v>436</v>
      </c>
      <c r="B39" s="510" t="s">
        <v>437</v>
      </c>
      <c r="C39" s="530">
        <v>54400.528669586383</v>
      </c>
      <c r="D39" s="530">
        <v>55364.274366902224</v>
      </c>
      <c r="E39" s="530">
        <v>55639.341153203575</v>
      </c>
      <c r="F39" s="569">
        <v>55400.051997011295</v>
      </c>
      <c r="G39" s="530">
        <v>55956.954722805021</v>
      </c>
      <c r="H39" s="570">
        <v>56840.563047609801</v>
      </c>
      <c r="I39" s="530">
        <v>61573.888278799903</v>
      </c>
      <c r="J39" s="530">
        <v>61944.044900555833</v>
      </c>
      <c r="K39" s="530">
        <v>60282.061866071745</v>
      </c>
      <c r="L39" s="530">
        <v>60001.938827791513</v>
      </c>
      <c r="M39" s="569">
        <v>59565.267557923187</v>
      </c>
      <c r="N39" s="530">
        <v>59878.755720878507</v>
      </c>
      <c r="O39" s="530">
        <v>59587.053869274074</v>
      </c>
      <c r="P39" s="530">
        <v>59891.241805268444</v>
      </c>
      <c r="Q39" s="530">
        <v>60626.7885813256</v>
      </c>
      <c r="R39" s="530">
        <v>60767.220737865784</v>
      </c>
      <c r="S39" s="530">
        <v>60415.820147000821</v>
      </c>
      <c r="T39" s="530">
        <v>61586.906304190656</v>
      </c>
      <c r="U39" s="530">
        <v>62599.835470608399</v>
      </c>
      <c r="V39" s="530">
        <v>62895.402994507524</v>
      </c>
      <c r="W39" s="530">
        <v>62483.209530251705</v>
      </c>
      <c r="X39" s="530">
        <v>64255.548407683818</v>
      </c>
      <c r="Y39" s="530">
        <v>64146.111472228316</v>
      </c>
      <c r="Z39" s="530">
        <v>63089.251396373067</v>
      </c>
      <c r="AA39" s="530">
        <v>64975.695544614791</v>
      </c>
      <c r="AB39" s="512">
        <v>64347.89121238899</v>
      </c>
      <c r="AC39" s="512">
        <v>64375.640232194375</v>
      </c>
      <c r="AD39" s="529">
        <v>60488.432433147507</v>
      </c>
      <c r="AE39" s="530">
        <v>60547.323256152595</v>
      </c>
      <c r="AF39" s="530">
        <v>61707.846358855764</v>
      </c>
      <c r="AG39" s="530">
        <v>64378.411101923419</v>
      </c>
      <c r="AH39" s="530">
        <v>65492.301477635163</v>
      </c>
      <c r="AI39" s="530">
        <v>66806.924188420977</v>
      </c>
      <c r="AJ39" s="530">
        <v>67364.613696445856</v>
      </c>
      <c r="AK39" s="530">
        <v>68138.949241235692</v>
      </c>
      <c r="AL39" s="530">
        <v>69474.656294007742</v>
      </c>
      <c r="AM39" s="530">
        <v>71536.807506456826</v>
      </c>
      <c r="AN39" s="530">
        <v>71809.005361727483</v>
      </c>
      <c r="AO39" s="530">
        <v>71692.353631457197</v>
      </c>
      <c r="AP39" s="570">
        <v>71737.249900530805</v>
      </c>
      <c r="AQ39" s="530">
        <v>71634.280990498009</v>
      </c>
      <c r="AR39" s="530">
        <v>72763.013375277253</v>
      </c>
      <c r="AS39" s="530">
        <v>74461.475554076096</v>
      </c>
      <c r="AT39" s="530">
        <v>75426.886915028444</v>
      </c>
      <c r="AU39" s="530">
        <v>77231.233966992717</v>
      </c>
      <c r="AV39" s="530">
        <v>78054.229033778131</v>
      </c>
      <c r="AW39" s="530">
        <v>76942.839660309852</v>
      </c>
      <c r="AX39" s="530">
        <v>77890.048011581457</v>
      </c>
      <c r="AY39" s="530">
        <v>79850.903656925875</v>
      </c>
      <c r="AZ39" s="530">
        <v>79165.770342182339</v>
      </c>
      <c r="BA39" s="530">
        <v>80157.056187432972</v>
      </c>
      <c r="BB39" s="530">
        <v>80849.701402894949</v>
      </c>
      <c r="BC39" s="530">
        <v>81435.915950394556</v>
      </c>
      <c r="BD39" s="530">
        <v>82172.476357644482</v>
      </c>
      <c r="BE39" s="530">
        <v>84955.931884040008</v>
      </c>
      <c r="BF39" s="530">
        <v>86780.895415744293</v>
      </c>
      <c r="BG39" s="530">
        <v>86679.885774395167</v>
      </c>
      <c r="BH39" s="530">
        <v>90095.703588188597</v>
      </c>
      <c r="BI39" s="530">
        <v>90536.809949928269</v>
      </c>
      <c r="BJ39" s="530">
        <v>90575.994403637</v>
      </c>
      <c r="BK39" s="530">
        <v>91748.274416918852</v>
      </c>
      <c r="BL39" s="530">
        <v>92060.186697136931</v>
      </c>
      <c r="BM39" s="530">
        <v>97087.547902479142</v>
      </c>
      <c r="BN39" s="530">
        <v>97906.103841024829</v>
      </c>
      <c r="BO39" s="530">
        <v>101434.61169554139</v>
      </c>
      <c r="BP39" s="530">
        <v>101123.66756027237</v>
      </c>
      <c r="BQ39" s="530">
        <v>106092.38565132562</v>
      </c>
      <c r="BR39" s="530">
        <v>105645.75919517616</v>
      </c>
      <c r="BS39" s="530">
        <v>108541.91109058767</v>
      </c>
      <c r="BT39" s="530">
        <v>109764.90313074383</v>
      </c>
      <c r="BU39" s="530">
        <v>111109.19982382633</v>
      </c>
      <c r="BV39" s="530">
        <v>108147.26253067369</v>
      </c>
      <c r="BW39" s="530">
        <v>109641.49560026948</v>
      </c>
      <c r="BX39" s="530">
        <v>109949.87924548757</v>
      </c>
      <c r="BY39" s="530">
        <v>111791.87626614004</v>
      </c>
      <c r="BZ39" s="530">
        <v>109474.13295116654</v>
      </c>
      <c r="CA39" s="530">
        <v>111216.87319373609</v>
      </c>
      <c r="CB39" s="530">
        <v>110466.43381189738</v>
      </c>
      <c r="CC39" s="530">
        <v>114390.79918076626</v>
      </c>
      <c r="CD39" s="530">
        <v>114256.5248765157</v>
      </c>
      <c r="CE39" s="530">
        <v>116466.64534877401</v>
      </c>
      <c r="CF39" s="530">
        <v>117348.12161286043</v>
      </c>
      <c r="CG39" s="530">
        <v>116101.49212862931</v>
      </c>
      <c r="CH39" s="530">
        <v>115942.23068925895</v>
      </c>
      <c r="CI39" s="530">
        <v>118172.59114663849</v>
      </c>
      <c r="CJ39" s="530">
        <v>117726.37465966129</v>
      </c>
      <c r="CK39" s="530">
        <v>117107.00132037385</v>
      </c>
      <c r="CL39" s="530">
        <v>119779.96587761395</v>
      </c>
      <c r="CM39" s="530">
        <v>118344.60796049522</v>
      </c>
      <c r="CN39" s="530">
        <v>120014.26986700304</v>
      </c>
      <c r="CO39" s="530">
        <v>123816.0621219145</v>
      </c>
      <c r="CP39" s="530">
        <v>126635.25233325535</v>
      </c>
      <c r="CQ39" s="530">
        <v>128365.5417969883</v>
      </c>
      <c r="CR39" s="530">
        <v>130565.69419018028</v>
      </c>
      <c r="CS39" s="530">
        <v>131592.52027657311</v>
      </c>
      <c r="CT39" s="530">
        <v>133121.24345724127</v>
      </c>
      <c r="CU39" s="530">
        <v>132527.0276874722</v>
      </c>
      <c r="CV39" s="530">
        <v>134624.90774467567</v>
      </c>
      <c r="CW39" s="530">
        <v>132923.2425201025</v>
      </c>
      <c r="CX39" s="530">
        <v>133269.36557409514</v>
      </c>
      <c r="CY39" s="530">
        <v>132397.86067295936</v>
      </c>
      <c r="CZ39" s="530">
        <v>133468.72723748072</v>
      </c>
      <c r="DA39" s="530">
        <v>137528.10247430843</v>
      </c>
      <c r="DB39" s="569">
        <v>140038.33822951984</v>
      </c>
      <c r="DC39" s="530">
        <v>141774.73722577392</v>
      </c>
      <c r="DD39" s="512">
        <v>143291.81615050504</v>
      </c>
      <c r="DE39" s="512">
        <v>143243.67365461134</v>
      </c>
      <c r="DF39" s="512">
        <v>143464.94964542842</v>
      </c>
      <c r="DG39" s="512">
        <v>145296.10716874371</v>
      </c>
    </row>
    <row r="40" spans="1:111" ht="16.5" customHeight="1">
      <c r="A40" s="509" t="s">
        <v>438</v>
      </c>
      <c r="B40" s="510" t="s">
        <v>439</v>
      </c>
      <c r="C40" s="530">
        <v>94287.820452266882</v>
      </c>
      <c r="D40" s="530">
        <v>104577.0963493598</v>
      </c>
      <c r="E40" s="530">
        <v>95872.962340032071</v>
      </c>
      <c r="F40" s="569">
        <v>101148.48092778733</v>
      </c>
      <c r="G40" s="530">
        <v>101508.06137143182</v>
      </c>
      <c r="H40" s="570">
        <v>112639.71753177252</v>
      </c>
      <c r="I40" s="530">
        <v>104956.60354967593</v>
      </c>
      <c r="J40" s="530">
        <v>105810.10955853116</v>
      </c>
      <c r="K40" s="530">
        <v>115356.53708801339</v>
      </c>
      <c r="L40" s="530">
        <v>123682.01410498825</v>
      </c>
      <c r="M40" s="569">
        <v>127872.60002270482</v>
      </c>
      <c r="N40" s="530">
        <v>140770.38480459238</v>
      </c>
      <c r="O40" s="530">
        <v>138896.65087890608</v>
      </c>
      <c r="P40" s="530">
        <v>141056.98200237026</v>
      </c>
      <c r="Q40" s="530">
        <v>144365.04365896143</v>
      </c>
      <c r="R40" s="530">
        <v>157397.56448969463</v>
      </c>
      <c r="S40" s="530">
        <v>156528.6774247523</v>
      </c>
      <c r="T40" s="530">
        <v>155431.25901409026</v>
      </c>
      <c r="U40" s="530">
        <v>175228.32433442285</v>
      </c>
      <c r="V40" s="530">
        <v>156521.13363335803</v>
      </c>
      <c r="W40" s="530">
        <v>150156.82834410068</v>
      </c>
      <c r="X40" s="530">
        <v>156901.09457021282</v>
      </c>
      <c r="Y40" s="530">
        <v>152796.60694417122</v>
      </c>
      <c r="Z40" s="530">
        <v>162375.73252393981</v>
      </c>
      <c r="AA40" s="530">
        <v>165863.46729399165</v>
      </c>
      <c r="AB40" s="512">
        <v>175555.20296694463</v>
      </c>
      <c r="AC40" s="512">
        <v>182471.16379006344</v>
      </c>
      <c r="AD40" s="529">
        <v>181852.66047381921</v>
      </c>
      <c r="AE40" s="530">
        <v>188950.74890929248</v>
      </c>
      <c r="AF40" s="530">
        <v>201057.51497352219</v>
      </c>
      <c r="AG40" s="530">
        <v>188688.98764504417</v>
      </c>
      <c r="AH40" s="530">
        <v>212915.01883209238</v>
      </c>
      <c r="AI40" s="530">
        <v>208722.08773990086</v>
      </c>
      <c r="AJ40" s="530">
        <v>197088.41008619449</v>
      </c>
      <c r="AK40" s="530">
        <v>193121.85980906058</v>
      </c>
      <c r="AL40" s="530">
        <v>220997.69413411134</v>
      </c>
      <c r="AM40" s="530">
        <v>214390.85438189853</v>
      </c>
      <c r="AN40" s="530">
        <v>233958.42038969134</v>
      </c>
      <c r="AO40" s="530">
        <v>224529.24056173515</v>
      </c>
      <c r="AP40" s="570">
        <v>215125.90828821334</v>
      </c>
      <c r="AQ40" s="530">
        <v>211225.44310602502</v>
      </c>
      <c r="AR40" s="530">
        <v>212147.26718020593</v>
      </c>
      <c r="AS40" s="530">
        <v>206942.75702386725</v>
      </c>
      <c r="AT40" s="530">
        <v>201774.20160626154</v>
      </c>
      <c r="AU40" s="530">
        <v>200679.2459356052</v>
      </c>
      <c r="AV40" s="530">
        <v>193771.31158415653</v>
      </c>
      <c r="AW40" s="530">
        <v>200370.25757288816</v>
      </c>
      <c r="AX40" s="530">
        <v>202229.42754413813</v>
      </c>
      <c r="AY40" s="530">
        <v>192989.32708543708</v>
      </c>
      <c r="AZ40" s="530">
        <v>195428.01993857251</v>
      </c>
      <c r="BA40" s="530">
        <v>194640.58164299041</v>
      </c>
      <c r="BB40" s="530">
        <v>195323.25592296253</v>
      </c>
      <c r="BC40" s="530">
        <v>196493.26113178206</v>
      </c>
      <c r="BD40" s="530">
        <v>202540.02690160999</v>
      </c>
      <c r="BE40" s="530">
        <v>199000.23648775299</v>
      </c>
      <c r="BF40" s="530">
        <v>229510.60402642027</v>
      </c>
      <c r="BG40" s="530">
        <v>220789.80897076923</v>
      </c>
      <c r="BH40" s="530">
        <v>208076.64728039413</v>
      </c>
      <c r="BI40" s="530">
        <v>204671.68459389074</v>
      </c>
      <c r="BJ40" s="530">
        <v>241420.02132649004</v>
      </c>
      <c r="BK40" s="530">
        <v>239323.55098385151</v>
      </c>
      <c r="BL40" s="530">
        <v>224840.70688587023</v>
      </c>
      <c r="BM40" s="530">
        <v>234443.70982246494</v>
      </c>
      <c r="BN40" s="530">
        <v>222222.21768749892</v>
      </c>
      <c r="BO40" s="530">
        <v>226147.55781483496</v>
      </c>
      <c r="BP40" s="530">
        <v>226264.56596943885</v>
      </c>
      <c r="BQ40" s="530">
        <v>235778.75465464976</v>
      </c>
      <c r="BR40" s="530">
        <v>235418.03066447837</v>
      </c>
      <c r="BS40" s="530">
        <v>226256.64896229125</v>
      </c>
      <c r="BT40" s="530">
        <v>197927.8213554665</v>
      </c>
      <c r="BU40" s="530">
        <v>229261.49857406798</v>
      </c>
      <c r="BV40" s="530">
        <v>227353.06710027903</v>
      </c>
      <c r="BW40" s="530">
        <v>239827.55531387328</v>
      </c>
      <c r="BX40" s="530">
        <v>243437.09942069286</v>
      </c>
      <c r="BY40" s="530">
        <v>214380.44577925894</v>
      </c>
      <c r="BZ40" s="530">
        <v>223414.48882732069</v>
      </c>
      <c r="CA40" s="530">
        <v>220500.36449082446</v>
      </c>
      <c r="CB40" s="530">
        <v>261513.09742864638</v>
      </c>
      <c r="CC40" s="530">
        <v>214310.08019966743</v>
      </c>
      <c r="CD40" s="530">
        <v>188308.74726002532</v>
      </c>
      <c r="CE40" s="530">
        <v>189345.46277029542</v>
      </c>
      <c r="CF40" s="530">
        <v>185273.29462679522</v>
      </c>
      <c r="CG40" s="530">
        <v>189373.60179116006</v>
      </c>
      <c r="CH40" s="530">
        <v>202565.75714797919</v>
      </c>
      <c r="CI40" s="530">
        <v>220515.24170217689</v>
      </c>
      <c r="CJ40" s="530">
        <v>205156.843584346</v>
      </c>
      <c r="CK40" s="530">
        <v>204250.40662539203</v>
      </c>
      <c r="CL40" s="530">
        <v>221336.81532625176</v>
      </c>
      <c r="CM40" s="530">
        <v>232891.42712546178</v>
      </c>
      <c r="CN40" s="530">
        <v>213770.77611847903</v>
      </c>
      <c r="CO40" s="530">
        <v>213473.53239326467</v>
      </c>
      <c r="CP40" s="530">
        <v>208102.62897983094</v>
      </c>
      <c r="CQ40" s="530">
        <v>201502.61657439434</v>
      </c>
      <c r="CR40" s="530">
        <v>200183.56665625676</v>
      </c>
      <c r="CS40" s="530">
        <v>226729.73964634049</v>
      </c>
      <c r="CT40" s="530">
        <v>228719.52990646422</v>
      </c>
      <c r="CU40" s="530">
        <v>198277.17431938666</v>
      </c>
      <c r="CV40" s="530">
        <v>194636.24957874304</v>
      </c>
      <c r="CW40" s="530">
        <v>194681.46618258173</v>
      </c>
      <c r="CX40" s="530">
        <v>197145.78056606013</v>
      </c>
      <c r="CY40" s="530">
        <v>197408.35728037133</v>
      </c>
      <c r="CZ40" s="530">
        <v>208690.3451458198</v>
      </c>
      <c r="DA40" s="530">
        <v>202891.83030199236</v>
      </c>
      <c r="DB40" s="569">
        <v>185846.00633511992</v>
      </c>
      <c r="DC40" s="530">
        <v>189365.77478666042</v>
      </c>
      <c r="DD40" s="512">
        <v>196565.37615965336</v>
      </c>
      <c r="DE40" s="512">
        <v>201088.82687972608</v>
      </c>
      <c r="DF40" s="512">
        <v>192204.60588537948</v>
      </c>
      <c r="DG40" s="512">
        <v>183135.3152611914</v>
      </c>
    </row>
    <row r="41" spans="1:111" ht="16.5" customHeight="1">
      <c r="A41" s="509"/>
      <c r="B41" s="510"/>
      <c r="C41" s="589"/>
      <c r="D41" s="589"/>
      <c r="E41" s="589"/>
      <c r="F41" s="590"/>
      <c r="G41" s="589"/>
      <c r="H41" s="591"/>
      <c r="I41" s="589"/>
      <c r="J41" s="589"/>
      <c r="K41" s="589"/>
      <c r="L41" s="589"/>
      <c r="M41" s="590"/>
      <c r="N41" s="589"/>
      <c r="O41" s="589"/>
      <c r="P41" s="589"/>
      <c r="Q41" s="589"/>
      <c r="R41" s="589"/>
      <c r="S41" s="589"/>
      <c r="T41" s="589"/>
      <c r="U41" s="589"/>
      <c r="V41" s="589"/>
      <c r="W41" s="589"/>
      <c r="X41" s="589"/>
      <c r="Y41" s="589"/>
      <c r="Z41" s="589"/>
      <c r="AA41" s="589"/>
      <c r="AB41" s="592"/>
      <c r="AC41" s="592"/>
      <c r="AD41" s="593"/>
      <c r="AE41" s="589"/>
      <c r="AF41" s="589"/>
      <c r="AG41" s="589"/>
      <c r="AH41" s="589"/>
      <c r="AI41" s="589"/>
      <c r="AJ41" s="589"/>
      <c r="AK41" s="589"/>
      <c r="AL41" s="589"/>
      <c r="AM41" s="589"/>
      <c r="AN41" s="589"/>
      <c r="AO41" s="589"/>
      <c r="AP41" s="591"/>
      <c r="AQ41" s="589"/>
      <c r="AR41" s="589"/>
      <c r="AS41" s="589"/>
      <c r="AT41" s="589"/>
      <c r="AU41" s="589"/>
      <c r="AV41" s="589"/>
      <c r="AW41" s="589"/>
      <c r="AX41" s="589"/>
      <c r="AY41" s="589"/>
      <c r="AZ41" s="589"/>
      <c r="BA41" s="589"/>
      <c r="BB41" s="589"/>
      <c r="BC41" s="589"/>
      <c r="BD41" s="589"/>
      <c r="BE41" s="589"/>
      <c r="BF41" s="589"/>
      <c r="BG41" s="589"/>
      <c r="BH41" s="589"/>
      <c r="BI41" s="589"/>
      <c r="BJ41" s="589"/>
      <c r="BK41" s="589"/>
      <c r="BL41" s="589"/>
      <c r="BM41" s="589"/>
      <c r="BN41" s="589"/>
      <c r="BO41" s="589"/>
      <c r="BP41" s="589"/>
      <c r="BQ41" s="589"/>
      <c r="BR41" s="589"/>
      <c r="BS41" s="589"/>
      <c r="BT41" s="589"/>
      <c r="BU41" s="589"/>
      <c r="BV41" s="589"/>
      <c r="BW41" s="589"/>
      <c r="BX41" s="589"/>
      <c r="BY41" s="589"/>
      <c r="BZ41" s="589"/>
      <c r="CA41" s="589"/>
      <c r="CB41" s="589"/>
      <c r="CC41" s="589"/>
      <c r="CD41" s="589"/>
      <c r="CE41" s="589"/>
      <c r="CF41" s="589"/>
      <c r="CG41" s="589"/>
      <c r="CH41" s="589"/>
      <c r="CI41" s="589"/>
      <c r="CJ41" s="589"/>
      <c r="CK41" s="589"/>
      <c r="CL41" s="589"/>
      <c r="CM41" s="589"/>
      <c r="CN41" s="589"/>
      <c r="CO41" s="589"/>
      <c r="CP41" s="589"/>
      <c r="CQ41" s="589"/>
      <c r="CR41" s="589"/>
      <c r="CS41" s="589"/>
      <c r="CT41" s="589"/>
      <c r="CU41" s="589"/>
      <c r="CV41" s="589"/>
      <c r="CW41" s="589"/>
      <c r="CX41" s="589"/>
      <c r="CY41" s="589"/>
      <c r="CZ41" s="589"/>
      <c r="DA41" s="589"/>
      <c r="DB41" s="590"/>
      <c r="DC41" s="589"/>
      <c r="DD41" s="592"/>
      <c r="DE41" s="592"/>
      <c r="DF41" s="592"/>
      <c r="DG41" s="592"/>
    </row>
    <row r="42" spans="1:111" ht="16.5" customHeight="1">
      <c r="A42" s="505" t="s">
        <v>440</v>
      </c>
      <c r="B42" s="506" t="s">
        <v>464</v>
      </c>
      <c r="C42" s="561">
        <v>79765.276904138809</v>
      </c>
      <c r="D42" s="561">
        <v>79967.410702004039</v>
      </c>
      <c r="E42" s="561">
        <v>87087.243426584799</v>
      </c>
      <c r="F42" s="562">
        <v>73044.369587758076</v>
      </c>
      <c r="G42" s="561">
        <v>71843.676961905177</v>
      </c>
      <c r="H42" s="563">
        <v>76855.320632432165</v>
      </c>
      <c r="I42" s="561">
        <v>65549.468615949008</v>
      </c>
      <c r="J42" s="561">
        <v>70275.629942715372</v>
      </c>
      <c r="K42" s="561">
        <v>87567.0888157554</v>
      </c>
      <c r="L42" s="561">
        <v>84459.916743367197</v>
      </c>
      <c r="M42" s="562">
        <v>72764.413440688426</v>
      </c>
      <c r="N42" s="561">
        <v>70503.75853036005</v>
      </c>
      <c r="O42" s="561">
        <v>76667.060736824948</v>
      </c>
      <c r="P42" s="561">
        <v>77687.959336328538</v>
      </c>
      <c r="Q42" s="561">
        <v>82385.915205344529</v>
      </c>
      <c r="R42" s="561">
        <v>92749.85354358601</v>
      </c>
      <c r="S42" s="561">
        <v>95816.953004968294</v>
      </c>
      <c r="T42" s="561">
        <v>114289.32764905741</v>
      </c>
      <c r="U42" s="561">
        <v>110903.36644446875</v>
      </c>
      <c r="V42" s="561">
        <v>99207.18051620826</v>
      </c>
      <c r="W42" s="561">
        <v>105754.68178356488</v>
      </c>
      <c r="X42" s="561">
        <v>104827.53763616453</v>
      </c>
      <c r="Y42" s="561">
        <v>110934.91226938496</v>
      </c>
      <c r="Z42" s="561">
        <v>102759.79144794009</v>
      </c>
      <c r="AA42" s="561">
        <v>98923.121529141485</v>
      </c>
      <c r="AB42" s="507">
        <v>118714.51810307619</v>
      </c>
      <c r="AC42" s="507">
        <v>126293.64632557079</v>
      </c>
      <c r="AD42" s="588">
        <v>121037.76603003999</v>
      </c>
      <c r="AE42" s="561">
        <v>120203.4452519273</v>
      </c>
      <c r="AF42" s="561">
        <v>130917.30386894089</v>
      </c>
      <c r="AG42" s="561">
        <v>128755.64373231758</v>
      </c>
      <c r="AH42" s="561">
        <v>127494.17995051914</v>
      </c>
      <c r="AI42" s="561">
        <v>121614.8977947208</v>
      </c>
      <c r="AJ42" s="561">
        <v>121374.17272757026</v>
      </c>
      <c r="AK42" s="561">
        <v>121245.55692541685</v>
      </c>
      <c r="AL42" s="561">
        <v>125715.8314842267</v>
      </c>
      <c r="AM42" s="561">
        <v>118244.25003298787</v>
      </c>
      <c r="AN42" s="561">
        <v>117212.48076780257</v>
      </c>
      <c r="AO42" s="561">
        <v>115672.75149286803</v>
      </c>
      <c r="AP42" s="563">
        <v>114884.63602585379</v>
      </c>
      <c r="AQ42" s="561">
        <v>132406.11192133528</v>
      </c>
      <c r="AR42" s="561">
        <v>130914.48236359948</v>
      </c>
      <c r="AS42" s="561">
        <v>127215.33379495694</v>
      </c>
      <c r="AT42" s="561">
        <v>131031.17545787591</v>
      </c>
      <c r="AU42" s="561">
        <v>130316.18179927678</v>
      </c>
      <c r="AV42" s="561">
        <v>127882.30706865035</v>
      </c>
      <c r="AW42" s="561">
        <v>122229.63531764597</v>
      </c>
      <c r="AX42" s="561">
        <v>115642.45262289631</v>
      </c>
      <c r="AY42" s="561">
        <v>107161.36249109264</v>
      </c>
      <c r="AZ42" s="561">
        <v>102850.93817663024</v>
      </c>
      <c r="BA42" s="561">
        <v>101241.58873449743</v>
      </c>
      <c r="BB42" s="561">
        <v>100274.73091660098</v>
      </c>
      <c r="BC42" s="561">
        <v>97780.963334996835</v>
      </c>
      <c r="BD42" s="561">
        <v>81273.484218125493</v>
      </c>
      <c r="BE42" s="561">
        <v>88621.315787191081</v>
      </c>
      <c r="BF42" s="561">
        <v>77297.092702450056</v>
      </c>
      <c r="BG42" s="561">
        <v>79089.253614043846</v>
      </c>
      <c r="BH42" s="561">
        <v>83122.902193598362</v>
      </c>
      <c r="BI42" s="561">
        <v>84052.810510052193</v>
      </c>
      <c r="BJ42" s="561">
        <v>94750.238114067353</v>
      </c>
      <c r="BK42" s="561">
        <v>90401.985543636343</v>
      </c>
      <c r="BL42" s="561">
        <v>89466.324889127834</v>
      </c>
      <c r="BM42" s="561">
        <v>91991.965473635762</v>
      </c>
      <c r="BN42" s="561">
        <v>97061.119938809148</v>
      </c>
      <c r="BO42" s="561">
        <v>97647.389052327489</v>
      </c>
      <c r="BP42" s="561">
        <v>97170.767423416284</v>
      </c>
      <c r="BQ42" s="561">
        <v>93078.299111545362</v>
      </c>
      <c r="BR42" s="561">
        <v>90803.647548600173</v>
      </c>
      <c r="BS42" s="561">
        <v>94643.934117033234</v>
      </c>
      <c r="BT42" s="561">
        <v>93368.750672365466</v>
      </c>
      <c r="BU42" s="561">
        <v>106296.27607477637</v>
      </c>
      <c r="BV42" s="561">
        <v>92358.264727035101</v>
      </c>
      <c r="BW42" s="561">
        <v>101569.58453890198</v>
      </c>
      <c r="BX42" s="561">
        <v>89719.113192073593</v>
      </c>
      <c r="BY42" s="561">
        <v>95074.664889065607</v>
      </c>
      <c r="BZ42" s="561">
        <v>94964.272509438859</v>
      </c>
      <c r="CA42" s="561">
        <v>89698.061318250737</v>
      </c>
      <c r="CB42" s="561">
        <v>91372.490921219607</v>
      </c>
      <c r="CC42" s="561">
        <v>92147.623095796516</v>
      </c>
      <c r="CD42" s="561">
        <v>90050.220268082776</v>
      </c>
      <c r="CE42" s="561">
        <v>91075.261272679389</v>
      </c>
      <c r="CF42" s="561">
        <v>101681.26298286632</v>
      </c>
      <c r="CG42" s="561">
        <v>101179.48049114493</v>
      </c>
      <c r="CH42" s="561">
        <v>95118.34019615539</v>
      </c>
      <c r="CI42" s="561">
        <v>116017.17781168569</v>
      </c>
      <c r="CJ42" s="561">
        <v>113726.71426223117</v>
      </c>
      <c r="CK42" s="561">
        <v>123471.75982604103</v>
      </c>
      <c r="CL42" s="561">
        <v>111975.05836369986</v>
      </c>
      <c r="CM42" s="561">
        <v>116983.76417824649</v>
      </c>
      <c r="CN42" s="561">
        <v>124060.95251983829</v>
      </c>
      <c r="CO42" s="561">
        <v>138284.47903468707</v>
      </c>
      <c r="CP42" s="561">
        <v>140803.9072916829</v>
      </c>
      <c r="CQ42" s="561">
        <v>161712.30887755004</v>
      </c>
      <c r="CR42" s="561">
        <v>167581.23557573417</v>
      </c>
      <c r="CS42" s="561">
        <v>147051.21076608059</v>
      </c>
      <c r="CT42" s="561">
        <v>155049.63566150406</v>
      </c>
      <c r="CU42" s="561">
        <v>171454.34550845166</v>
      </c>
      <c r="CV42" s="561">
        <v>178245.13433747628</v>
      </c>
      <c r="CW42" s="561">
        <v>175782.12514214052</v>
      </c>
      <c r="CX42" s="561">
        <v>179223.73909794833</v>
      </c>
      <c r="CY42" s="561">
        <v>168129.70568572829</v>
      </c>
      <c r="CZ42" s="561">
        <v>165153.39071027178</v>
      </c>
      <c r="DA42" s="561">
        <v>191362.21869076963</v>
      </c>
      <c r="DB42" s="562">
        <v>188251.47207899802</v>
      </c>
      <c r="DC42" s="561">
        <v>191707.39875481132</v>
      </c>
      <c r="DD42" s="507">
        <v>196366.3238836402</v>
      </c>
      <c r="DE42" s="507">
        <v>175050.53255274924</v>
      </c>
      <c r="DF42" s="507">
        <v>144667.74779506697</v>
      </c>
      <c r="DG42" s="507">
        <v>150935.72076391854</v>
      </c>
    </row>
    <row r="43" spans="1:111" ht="16.5" customHeight="1">
      <c r="A43" s="509" t="s">
        <v>442</v>
      </c>
      <c r="B43" s="510" t="s">
        <v>435</v>
      </c>
      <c r="C43" s="530">
        <v>14022.406912736789</v>
      </c>
      <c r="D43" s="530">
        <v>8614.9470122550247</v>
      </c>
      <c r="E43" s="530">
        <v>9046.7667947900245</v>
      </c>
      <c r="F43" s="569">
        <v>8253.3560588930486</v>
      </c>
      <c r="G43" s="530">
        <v>8243.8970227649188</v>
      </c>
      <c r="H43" s="570">
        <v>14222.774405428938</v>
      </c>
      <c r="I43" s="530">
        <v>9773.4685437383559</v>
      </c>
      <c r="J43" s="530">
        <v>8464.5785294334873</v>
      </c>
      <c r="K43" s="530">
        <v>8618.9981428776773</v>
      </c>
      <c r="L43" s="530">
        <v>9444.8388877828729</v>
      </c>
      <c r="M43" s="569">
        <v>9352.6658480040496</v>
      </c>
      <c r="N43" s="530">
        <v>9078.0655663321577</v>
      </c>
      <c r="O43" s="530">
        <v>9420.9177350316659</v>
      </c>
      <c r="P43" s="530">
        <v>10747.092222015226</v>
      </c>
      <c r="Q43" s="530">
        <v>14520.159524510929</v>
      </c>
      <c r="R43" s="530">
        <v>9940.9567935336254</v>
      </c>
      <c r="S43" s="530">
        <v>9042.513792779213</v>
      </c>
      <c r="T43" s="530">
        <v>10115.515018228756</v>
      </c>
      <c r="U43" s="530">
        <v>12509.075686262247</v>
      </c>
      <c r="V43" s="530">
        <v>11245.30357559086</v>
      </c>
      <c r="W43" s="530">
        <v>14003.45279651268</v>
      </c>
      <c r="X43" s="530">
        <v>18899.759292994506</v>
      </c>
      <c r="Y43" s="530">
        <v>13431.485647756885</v>
      </c>
      <c r="Z43" s="530">
        <v>15170.056879267389</v>
      </c>
      <c r="AA43" s="530">
        <v>10903.721625545246</v>
      </c>
      <c r="AB43" s="512">
        <v>12601.798013215197</v>
      </c>
      <c r="AC43" s="512">
        <v>13189.485964766453</v>
      </c>
      <c r="AD43" s="529">
        <v>12791.372044648373</v>
      </c>
      <c r="AE43" s="530">
        <v>13848.728520148679</v>
      </c>
      <c r="AF43" s="530">
        <v>13393.74429745303</v>
      </c>
      <c r="AG43" s="530">
        <v>15584.490835189528</v>
      </c>
      <c r="AH43" s="530">
        <v>15672.617301569955</v>
      </c>
      <c r="AI43" s="530">
        <v>19535.938542123793</v>
      </c>
      <c r="AJ43" s="530">
        <v>20531.594387396995</v>
      </c>
      <c r="AK43" s="530">
        <v>18384.805904107274</v>
      </c>
      <c r="AL43" s="530">
        <v>17368.271259703048</v>
      </c>
      <c r="AM43" s="530">
        <v>19673.09198335043</v>
      </c>
      <c r="AN43" s="530">
        <v>17490.392421126409</v>
      </c>
      <c r="AO43" s="530">
        <v>15789.829679464565</v>
      </c>
      <c r="AP43" s="570">
        <v>14897.063393489851</v>
      </c>
      <c r="AQ43" s="530">
        <v>17855.386396686707</v>
      </c>
      <c r="AR43" s="530">
        <v>19704.477664288788</v>
      </c>
      <c r="AS43" s="530">
        <v>19322.249388112468</v>
      </c>
      <c r="AT43" s="530">
        <v>19671.520938299513</v>
      </c>
      <c r="AU43" s="530">
        <v>21946.174337752516</v>
      </c>
      <c r="AV43" s="530">
        <v>22545.557014126411</v>
      </c>
      <c r="AW43" s="530">
        <v>22877.404338369684</v>
      </c>
      <c r="AX43" s="530">
        <v>25594.387499068926</v>
      </c>
      <c r="AY43" s="530">
        <v>24263.926402553021</v>
      </c>
      <c r="AZ43" s="530">
        <v>22543.248311728195</v>
      </c>
      <c r="BA43" s="530">
        <v>21234.901128839534</v>
      </c>
      <c r="BB43" s="530">
        <v>30290.441198478788</v>
      </c>
      <c r="BC43" s="530">
        <v>24337.911634397216</v>
      </c>
      <c r="BD43" s="530">
        <v>23016.085451020259</v>
      </c>
      <c r="BE43" s="530">
        <v>26127.521209808598</v>
      </c>
      <c r="BF43" s="530">
        <v>23921.084562984011</v>
      </c>
      <c r="BG43" s="530">
        <v>22208.752819936391</v>
      </c>
      <c r="BH43" s="530">
        <v>23156.253562813843</v>
      </c>
      <c r="BI43" s="530">
        <v>23121.383518245995</v>
      </c>
      <c r="BJ43" s="530">
        <v>24590.031698467454</v>
      </c>
      <c r="BK43" s="530">
        <v>23916.522247080891</v>
      </c>
      <c r="BL43" s="530">
        <v>23742.905440807965</v>
      </c>
      <c r="BM43" s="530">
        <v>24232.956685809291</v>
      </c>
      <c r="BN43" s="530">
        <v>26599.446508762252</v>
      </c>
      <c r="BO43" s="530">
        <v>29024.633317296066</v>
      </c>
      <c r="BP43" s="530">
        <v>27333.616765043411</v>
      </c>
      <c r="BQ43" s="530">
        <v>25716.207911377434</v>
      </c>
      <c r="BR43" s="530">
        <v>23815.733355021974</v>
      </c>
      <c r="BS43" s="530">
        <v>32057.999938223969</v>
      </c>
      <c r="BT43" s="530">
        <v>29087.255709827485</v>
      </c>
      <c r="BU43" s="530">
        <v>27682.723648223953</v>
      </c>
      <c r="BV43" s="530">
        <v>30605.533021761774</v>
      </c>
      <c r="BW43" s="530">
        <v>36707.213049972961</v>
      </c>
      <c r="BX43" s="530">
        <v>26209.195973646965</v>
      </c>
      <c r="BY43" s="530">
        <v>31883.152481903373</v>
      </c>
      <c r="BZ43" s="530">
        <v>31121.353675311264</v>
      </c>
      <c r="CA43" s="530">
        <v>26986.049667186711</v>
      </c>
      <c r="CB43" s="530">
        <v>27895.361200375159</v>
      </c>
      <c r="CC43" s="530">
        <v>27362.065229344491</v>
      </c>
      <c r="CD43" s="530">
        <v>27991.529754028328</v>
      </c>
      <c r="CE43" s="530">
        <v>30636.40264493529</v>
      </c>
      <c r="CF43" s="530">
        <v>32196.376471926222</v>
      </c>
      <c r="CG43" s="530">
        <v>29295.707543649169</v>
      </c>
      <c r="CH43" s="530">
        <v>31266.113443101447</v>
      </c>
      <c r="CI43" s="530">
        <v>32754.518333397475</v>
      </c>
      <c r="CJ43" s="530">
        <v>32771.984399307403</v>
      </c>
      <c r="CK43" s="530">
        <v>36520.885242843011</v>
      </c>
      <c r="CL43" s="530">
        <v>39405.925889257967</v>
      </c>
      <c r="CM43" s="530">
        <v>42509.915601848712</v>
      </c>
      <c r="CN43" s="530">
        <v>46812.632762614085</v>
      </c>
      <c r="CO43" s="530">
        <v>60404.274066625963</v>
      </c>
      <c r="CP43" s="530">
        <v>64176.642027490969</v>
      </c>
      <c r="CQ43" s="530">
        <v>53141.293309574496</v>
      </c>
      <c r="CR43" s="530">
        <v>57676.282520363959</v>
      </c>
      <c r="CS43" s="530">
        <v>61432.946588381412</v>
      </c>
      <c r="CT43" s="530">
        <v>59701.520731146054</v>
      </c>
      <c r="CU43" s="530">
        <v>67057.075566061321</v>
      </c>
      <c r="CV43" s="530">
        <v>69678.713956968146</v>
      </c>
      <c r="CW43" s="530">
        <v>73191.201505279183</v>
      </c>
      <c r="CX43" s="530">
        <v>68507.625070388312</v>
      </c>
      <c r="CY43" s="530">
        <v>65102.157469224556</v>
      </c>
      <c r="CZ43" s="530">
        <v>58334.616814234541</v>
      </c>
      <c r="DA43" s="530">
        <v>70770.248914523996</v>
      </c>
      <c r="DB43" s="569">
        <v>73227.274624757047</v>
      </c>
      <c r="DC43" s="530">
        <v>71740.712668774038</v>
      </c>
      <c r="DD43" s="512">
        <v>72942.46736347671</v>
      </c>
      <c r="DE43" s="512">
        <v>74106.670448174133</v>
      </c>
      <c r="DF43" s="512">
        <v>66679.538178442323</v>
      </c>
      <c r="DG43" s="512">
        <v>69867.393448514107</v>
      </c>
    </row>
    <row r="44" spans="1:111" ht="16.5" customHeight="1">
      <c r="A44" s="509" t="s">
        <v>443</v>
      </c>
      <c r="B44" s="510" t="s">
        <v>437</v>
      </c>
      <c r="C44" s="530">
        <v>3495.6415684986182</v>
      </c>
      <c r="D44" s="530">
        <v>3384.107689595849</v>
      </c>
      <c r="E44" s="530">
        <v>3271.6331236176302</v>
      </c>
      <c r="F44" s="569">
        <v>3272.7762917866294</v>
      </c>
      <c r="G44" s="530">
        <v>3255.0807226595352</v>
      </c>
      <c r="H44" s="570">
        <v>3742.6917097622304</v>
      </c>
      <c r="I44" s="530">
        <v>3647.9320380894683</v>
      </c>
      <c r="J44" s="530">
        <v>3230.8517671701861</v>
      </c>
      <c r="K44" s="530">
        <v>3662.8683849574359</v>
      </c>
      <c r="L44" s="530">
        <v>3848.8774807486584</v>
      </c>
      <c r="M44" s="569">
        <v>4134.721223380081</v>
      </c>
      <c r="N44" s="530">
        <v>3827.4946287044336</v>
      </c>
      <c r="O44" s="530">
        <v>4255.0011438979927</v>
      </c>
      <c r="P44" s="530">
        <v>4395.8558839348952</v>
      </c>
      <c r="Q44" s="530">
        <v>4170.1062686102305</v>
      </c>
      <c r="R44" s="530">
        <v>5002.1153473357035</v>
      </c>
      <c r="S44" s="530">
        <v>4347.658543524788</v>
      </c>
      <c r="T44" s="530">
        <v>4186.6316760905156</v>
      </c>
      <c r="U44" s="530">
        <v>4344.949446737709</v>
      </c>
      <c r="V44" s="530">
        <v>4129.9172620029522</v>
      </c>
      <c r="W44" s="530">
        <v>4392.8096184761398</v>
      </c>
      <c r="X44" s="530">
        <v>4095.4837599173816</v>
      </c>
      <c r="Y44" s="530">
        <v>4256.1719938747665</v>
      </c>
      <c r="Z44" s="530">
        <v>4183.4421946075481</v>
      </c>
      <c r="AA44" s="530">
        <v>4617.6160151286349</v>
      </c>
      <c r="AB44" s="512">
        <v>4614.5771849940811</v>
      </c>
      <c r="AC44" s="512">
        <v>4710.6523175544962</v>
      </c>
      <c r="AD44" s="529">
        <v>4157.6511166712844</v>
      </c>
      <c r="AE44" s="530">
        <v>4019.7912762942342</v>
      </c>
      <c r="AF44" s="530">
        <v>4161.2685977659812</v>
      </c>
      <c r="AG44" s="530">
        <v>4160.5040427488939</v>
      </c>
      <c r="AH44" s="530">
        <v>4837.0598256773301</v>
      </c>
      <c r="AI44" s="530">
        <v>4985.6069986008079</v>
      </c>
      <c r="AJ44" s="530">
        <v>5438.6799747489231</v>
      </c>
      <c r="AK44" s="530">
        <v>5310.7663303224208</v>
      </c>
      <c r="AL44" s="530">
        <v>5005.8586778588924</v>
      </c>
      <c r="AM44" s="530">
        <v>5291.6350886730352</v>
      </c>
      <c r="AN44" s="530">
        <v>4997.2479176020934</v>
      </c>
      <c r="AO44" s="530">
        <v>5598.6997302054842</v>
      </c>
      <c r="AP44" s="570">
        <v>4923.9416743037127</v>
      </c>
      <c r="AQ44" s="530">
        <v>4948.6041173017156</v>
      </c>
      <c r="AR44" s="530">
        <v>5083.326256160818</v>
      </c>
      <c r="AS44" s="530">
        <v>5066.4971476266437</v>
      </c>
      <c r="AT44" s="530">
        <v>5618.949444723492</v>
      </c>
      <c r="AU44" s="530">
        <v>5602.6020136190482</v>
      </c>
      <c r="AV44" s="530">
        <v>5770.8321336090139</v>
      </c>
      <c r="AW44" s="530">
        <v>5857.5384242466353</v>
      </c>
      <c r="AX44" s="530">
        <v>6028.7026773694788</v>
      </c>
      <c r="AY44" s="530">
        <v>6878.0023383476537</v>
      </c>
      <c r="AZ44" s="530">
        <v>7604.0455844604112</v>
      </c>
      <c r="BA44" s="530">
        <v>7893.7426159151346</v>
      </c>
      <c r="BB44" s="530">
        <v>7561.4192315683313</v>
      </c>
      <c r="BC44" s="530">
        <v>7715.2243616121796</v>
      </c>
      <c r="BD44" s="530">
        <v>7596.9742925374294</v>
      </c>
      <c r="BE44" s="530">
        <v>7545.8616838301859</v>
      </c>
      <c r="BF44" s="530">
        <v>7440.8625507930419</v>
      </c>
      <c r="BG44" s="530">
        <v>7823.5347870919741</v>
      </c>
      <c r="BH44" s="530">
        <v>7708.0265372259964</v>
      </c>
      <c r="BI44" s="530">
        <v>8489.0008841432118</v>
      </c>
      <c r="BJ44" s="530">
        <v>8506.3998487766876</v>
      </c>
      <c r="BK44" s="530">
        <v>8605.045459682482</v>
      </c>
      <c r="BL44" s="530">
        <v>8698.2606262574591</v>
      </c>
      <c r="BM44" s="530">
        <v>9280.4259172492548</v>
      </c>
      <c r="BN44" s="530">
        <v>9294.2342306476767</v>
      </c>
      <c r="BO44" s="530">
        <v>9635.5659515614152</v>
      </c>
      <c r="BP44" s="530">
        <v>9475.1206773081976</v>
      </c>
      <c r="BQ44" s="530">
        <v>9125.2985669564332</v>
      </c>
      <c r="BR44" s="530">
        <v>9288.7431539777772</v>
      </c>
      <c r="BS44" s="530">
        <v>9422.6555083620933</v>
      </c>
      <c r="BT44" s="530">
        <v>10264.134516770358</v>
      </c>
      <c r="BU44" s="530">
        <v>10721.405525402562</v>
      </c>
      <c r="BV44" s="530">
        <v>10046.549590326807</v>
      </c>
      <c r="BW44" s="530">
        <v>9537.0308950808067</v>
      </c>
      <c r="BX44" s="530">
        <v>9847.4090509647467</v>
      </c>
      <c r="BY44" s="530">
        <v>10097.346815957313</v>
      </c>
      <c r="BZ44" s="530">
        <v>10154.280731005787</v>
      </c>
      <c r="CA44" s="530">
        <v>10522.355121407993</v>
      </c>
      <c r="CB44" s="530">
        <v>10352.366136982795</v>
      </c>
      <c r="CC44" s="530">
        <v>10037.617270339781</v>
      </c>
      <c r="CD44" s="530">
        <v>10567.819826471554</v>
      </c>
      <c r="CE44" s="530">
        <v>10469.568391697207</v>
      </c>
      <c r="CF44" s="530">
        <v>10415.538359530783</v>
      </c>
      <c r="CG44" s="530">
        <v>11376.6833224169</v>
      </c>
      <c r="CH44" s="530">
        <v>10830.176198437317</v>
      </c>
      <c r="CI44" s="530">
        <v>10910.724934795169</v>
      </c>
      <c r="CJ44" s="530">
        <v>10828.158954843757</v>
      </c>
      <c r="CK44" s="530">
        <v>10776.328819657454</v>
      </c>
      <c r="CL44" s="530">
        <v>10680.105423668449</v>
      </c>
      <c r="CM44" s="530">
        <v>11095.252952426592</v>
      </c>
      <c r="CN44" s="530">
        <v>11140.947177616612</v>
      </c>
      <c r="CO44" s="530">
        <v>11379.951547673976</v>
      </c>
      <c r="CP44" s="530">
        <v>11595.072669347646</v>
      </c>
      <c r="CQ44" s="530">
        <v>11868.461831969422</v>
      </c>
      <c r="CR44" s="530">
        <v>11867.282196275353</v>
      </c>
      <c r="CS44" s="530">
        <v>12115.10142639816</v>
      </c>
      <c r="CT44" s="530">
        <v>12149.83826369694</v>
      </c>
      <c r="CU44" s="530">
        <v>12328.263682215664</v>
      </c>
      <c r="CV44" s="530">
        <v>12747.634636687382</v>
      </c>
      <c r="CW44" s="530">
        <v>12930.971464633123</v>
      </c>
      <c r="CX44" s="530">
        <v>13206.402540258914</v>
      </c>
      <c r="CY44" s="530">
        <v>13024.60011847623</v>
      </c>
      <c r="CZ44" s="530">
        <v>12826.45625597953</v>
      </c>
      <c r="DA44" s="530">
        <v>12993.682354884986</v>
      </c>
      <c r="DB44" s="569">
        <v>12442.048648592074</v>
      </c>
      <c r="DC44" s="530">
        <v>12863.078460785933</v>
      </c>
      <c r="DD44" s="512">
        <v>13154.226620819973</v>
      </c>
      <c r="DE44" s="512">
        <v>13366.470651808098</v>
      </c>
      <c r="DF44" s="512">
        <v>13702.425117124852</v>
      </c>
      <c r="DG44" s="512">
        <v>14383.121785474061</v>
      </c>
    </row>
    <row r="45" spans="1:111" ht="16.5" customHeight="1">
      <c r="A45" s="509" t="s">
        <v>444</v>
      </c>
      <c r="B45" s="510" t="s">
        <v>439</v>
      </c>
      <c r="C45" s="530">
        <v>62247.228422903398</v>
      </c>
      <c r="D45" s="530">
        <v>67968.356000153159</v>
      </c>
      <c r="E45" s="530">
        <v>74768.843508177146</v>
      </c>
      <c r="F45" s="569">
        <v>61518.2372370784</v>
      </c>
      <c r="G45" s="530">
        <v>60344.699216480716</v>
      </c>
      <c r="H45" s="570">
        <v>58889.854517240994</v>
      </c>
      <c r="I45" s="530">
        <v>52128.068034121192</v>
      </c>
      <c r="J45" s="530">
        <v>58580.199646111701</v>
      </c>
      <c r="K45" s="530">
        <v>75285.222287920289</v>
      </c>
      <c r="L45" s="530">
        <v>71166.200374835666</v>
      </c>
      <c r="M45" s="569">
        <v>59277.026369304294</v>
      </c>
      <c r="N45" s="530">
        <v>57598.198335323454</v>
      </c>
      <c r="O45" s="530">
        <v>62991.141857895294</v>
      </c>
      <c r="P45" s="530">
        <v>62545.011230378419</v>
      </c>
      <c r="Q45" s="530">
        <v>63695.649412223378</v>
      </c>
      <c r="R45" s="530">
        <v>77806.781402716675</v>
      </c>
      <c r="S45" s="530">
        <v>82426.780668664287</v>
      </c>
      <c r="T45" s="530">
        <v>99987.180954738142</v>
      </c>
      <c r="U45" s="530">
        <v>94049.341311468786</v>
      </c>
      <c r="V45" s="530">
        <v>83831.959678614439</v>
      </c>
      <c r="W45" s="530">
        <v>87358.419368576069</v>
      </c>
      <c r="X45" s="530">
        <v>81832.294583252646</v>
      </c>
      <c r="Y45" s="530">
        <v>93247.254627753311</v>
      </c>
      <c r="Z45" s="530">
        <v>83406.29237406516</v>
      </c>
      <c r="AA45" s="530">
        <v>83401.783888467602</v>
      </c>
      <c r="AB45" s="512">
        <v>101498.14290486691</v>
      </c>
      <c r="AC45" s="512">
        <v>108393.50804324985</v>
      </c>
      <c r="AD45" s="529">
        <v>104088.74286872032</v>
      </c>
      <c r="AE45" s="530">
        <v>102334.92545548439</v>
      </c>
      <c r="AF45" s="530">
        <v>113362.29097372187</v>
      </c>
      <c r="AG45" s="530">
        <v>109010.64885437915</v>
      </c>
      <c r="AH45" s="530">
        <v>106984.50282327186</v>
      </c>
      <c r="AI45" s="530">
        <v>97093.3522539962</v>
      </c>
      <c r="AJ45" s="530">
        <v>95403.898365424335</v>
      </c>
      <c r="AK45" s="530">
        <v>97549.984690987156</v>
      </c>
      <c r="AL45" s="530">
        <v>103341.70154666476</v>
      </c>
      <c r="AM45" s="530">
        <v>93279.522960964401</v>
      </c>
      <c r="AN45" s="530">
        <v>94724.840429074073</v>
      </c>
      <c r="AO45" s="530">
        <v>94284.222083197979</v>
      </c>
      <c r="AP45" s="570">
        <v>95063.630958060225</v>
      </c>
      <c r="AQ45" s="530">
        <v>109602.12140734686</v>
      </c>
      <c r="AR45" s="530">
        <v>106126.67844314988</v>
      </c>
      <c r="AS45" s="530">
        <v>102826.58725921782</v>
      </c>
      <c r="AT45" s="530">
        <v>105740.7050748529</v>
      </c>
      <c r="AU45" s="530">
        <v>102767.40544790521</v>
      </c>
      <c r="AV45" s="530">
        <v>99565.91792091493</v>
      </c>
      <c r="AW45" s="530">
        <v>93494.692555029644</v>
      </c>
      <c r="AX45" s="530">
        <v>84019.362446457904</v>
      </c>
      <c r="AY45" s="530">
        <v>76019.433750191965</v>
      </c>
      <c r="AZ45" s="530">
        <v>72703.644280441629</v>
      </c>
      <c r="BA45" s="530">
        <v>72112.944989742769</v>
      </c>
      <c r="BB45" s="530">
        <v>62422.87048655386</v>
      </c>
      <c r="BC45" s="530">
        <v>65727.827338987438</v>
      </c>
      <c r="BD45" s="530">
        <v>50660.424474567801</v>
      </c>
      <c r="BE45" s="530">
        <v>54947.932893552294</v>
      </c>
      <c r="BF45" s="530">
        <v>45935.145588673004</v>
      </c>
      <c r="BG45" s="530">
        <v>49056.966007015486</v>
      </c>
      <c r="BH45" s="530">
        <v>52258.62209355853</v>
      </c>
      <c r="BI45" s="530">
        <v>52442.426107662985</v>
      </c>
      <c r="BJ45" s="530">
        <v>61653.806566823208</v>
      </c>
      <c r="BK45" s="530">
        <v>57880.417836872963</v>
      </c>
      <c r="BL45" s="530">
        <v>57025.158822062411</v>
      </c>
      <c r="BM45" s="530">
        <v>58478.582870577207</v>
      </c>
      <c r="BN45" s="530">
        <v>61167.439199399218</v>
      </c>
      <c r="BO45" s="530">
        <v>58987.189783469999</v>
      </c>
      <c r="BP45" s="530">
        <v>60362.029981064683</v>
      </c>
      <c r="BQ45" s="530">
        <v>58236.792633211495</v>
      </c>
      <c r="BR45" s="530">
        <v>57699.17103960042</v>
      </c>
      <c r="BS45" s="530">
        <v>53163.27867044718</v>
      </c>
      <c r="BT45" s="530">
        <v>54017.360445767627</v>
      </c>
      <c r="BU45" s="530">
        <v>67892.146901149856</v>
      </c>
      <c r="BV45" s="530">
        <v>51706.182114946525</v>
      </c>
      <c r="BW45" s="530">
        <v>55325.340593848217</v>
      </c>
      <c r="BX45" s="530">
        <v>53662.508167461885</v>
      </c>
      <c r="BY45" s="530">
        <v>53094.165591204917</v>
      </c>
      <c r="BZ45" s="530">
        <v>53688.638103121797</v>
      </c>
      <c r="CA45" s="530">
        <v>52189.656529656029</v>
      </c>
      <c r="CB45" s="530">
        <v>53124.763583861662</v>
      </c>
      <c r="CC45" s="530">
        <v>54747.940596112247</v>
      </c>
      <c r="CD45" s="530">
        <v>51490.870687582887</v>
      </c>
      <c r="CE45" s="530">
        <v>49969.290236046894</v>
      </c>
      <c r="CF45" s="530">
        <v>59069.348151409307</v>
      </c>
      <c r="CG45" s="530">
        <v>60507.089625078857</v>
      </c>
      <c r="CH45" s="530">
        <v>53022.050554616624</v>
      </c>
      <c r="CI45" s="530">
        <v>72351.934543493044</v>
      </c>
      <c r="CJ45" s="530">
        <v>70126.570908080001</v>
      </c>
      <c r="CK45" s="530">
        <v>76174.545763540562</v>
      </c>
      <c r="CL45" s="530">
        <v>61889.027050773446</v>
      </c>
      <c r="CM45" s="530">
        <v>63378.595623971189</v>
      </c>
      <c r="CN45" s="530">
        <v>66107.372579607589</v>
      </c>
      <c r="CO45" s="530">
        <v>66500.253420387133</v>
      </c>
      <c r="CP45" s="530">
        <v>65032.192594844288</v>
      </c>
      <c r="CQ45" s="530">
        <v>96702.553736006128</v>
      </c>
      <c r="CR45" s="530">
        <v>98037.670859094855</v>
      </c>
      <c r="CS45" s="530">
        <v>73503.162751301032</v>
      </c>
      <c r="CT45" s="530">
        <v>83198.27666666107</v>
      </c>
      <c r="CU45" s="530">
        <v>92069.006260174676</v>
      </c>
      <c r="CV45" s="530">
        <v>95818.785743820757</v>
      </c>
      <c r="CW45" s="530">
        <v>89659.952172228208</v>
      </c>
      <c r="CX45" s="530">
        <v>97509.711487301101</v>
      </c>
      <c r="CY45" s="530">
        <v>90002.948098027482</v>
      </c>
      <c r="CZ45" s="530">
        <v>93992.317640057707</v>
      </c>
      <c r="DA45" s="530">
        <v>107598.28742136063</v>
      </c>
      <c r="DB45" s="569">
        <v>102582.1488056489</v>
      </c>
      <c r="DC45" s="530">
        <v>107103.60762525133</v>
      </c>
      <c r="DD45" s="512">
        <v>110269.62989934352</v>
      </c>
      <c r="DE45" s="512">
        <v>87577.391452767013</v>
      </c>
      <c r="DF45" s="512">
        <v>64285.784499499816</v>
      </c>
      <c r="DG45" s="512">
        <v>66685.205529930347</v>
      </c>
    </row>
    <row r="46" spans="1:111" ht="16.5" customHeight="1">
      <c r="A46" s="509"/>
      <c r="B46" s="510"/>
      <c r="C46" s="589"/>
      <c r="D46" s="589"/>
      <c r="E46" s="589"/>
      <c r="F46" s="590"/>
      <c r="G46" s="589"/>
      <c r="H46" s="591"/>
      <c r="I46" s="589"/>
      <c r="J46" s="589"/>
      <c r="K46" s="589"/>
      <c r="L46" s="589"/>
      <c r="M46" s="590"/>
      <c r="N46" s="589"/>
      <c r="O46" s="589"/>
      <c r="P46" s="589"/>
      <c r="Q46" s="589"/>
      <c r="R46" s="589"/>
      <c r="S46" s="589"/>
      <c r="T46" s="589"/>
      <c r="U46" s="589"/>
      <c r="V46" s="589"/>
      <c r="W46" s="589"/>
      <c r="X46" s="589"/>
      <c r="Y46" s="589"/>
      <c r="Z46" s="589"/>
      <c r="AA46" s="589"/>
      <c r="AB46" s="592"/>
      <c r="AC46" s="592"/>
      <c r="AD46" s="593"/>
      <c r="AE46" s="589"/>
      <c r="AF46" s="589"/>
      <c r="AG46" s="589"/>
      <c r="AH46" s="589"/>
      <c r="AI46" s="589"/>
      <c r="AJ46" s="589"/>
      <c r="AK46" s="589"/>
      <c r="AL46" s="589"/>
      <c r="AM46" s="589"/>
      <c r="AN46" s="589"/>
      <c r="AO46" s="589"/>
      <c r="AP46" s="591"/>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c r="CA46" s="589"/>
      <c r="CB46" s="589"/>
      <c r="CC46" s="589"/>
      <c r="CD46" s="589"/>
      <c r="CE46" s="589"/>
      <c r="CF46" s="589"/>
      <c r="CG46" s="589"/>
      <c r="CH46" s="589"/>
      <c r="CI46" s="589"/>
      <c r="CJ46" s="589"/>
      <c r="CK46" s="589"/>
      <c r="CL46" s="589"/>
      <c r="CM46" s="589"/>
      <c r="CN46" s="589"/>
      <c r="CO46" s="589"/>
      <c r="CP46" s="589"/>
      <c r="CQ46" s="589"/>
      <c r="CR46" s="589"/>
      <c r="CS46" s="589"/>
      <c r="CT46" s="589"/>
      <c r="CU46" s="589"/>
      <c r="CV46" s="589"/>
      <c r="CW46" s="589"/>
      <c r="CX46" s="589"/>
      <c r="CY46" s="589"/>
      <c r="CZ46" s="589"/>
      <c r="DA46" s="589"/>
      <c r="DB46" s="590"/>
      <c r="DC46" s="589"/>
      <c r="DD46" s="592"/>
      <c r="DE46" s="592"/>
      <c r="DF46" s="592"/>
      <c r="DG46" s="592"/>
    </row>
    <row r="47" spans="1:111" ht="16.5" customHeight="1">
      <c r="A47" s="505" t="s">
        <v>445</v>
      </c>
      <c r="B47" s="506" t="s">
        <v>446</v>
      </c>
      <c r="C47" s="561">
        <v>0</v>
      </c>
      <c r="D47" s="561">
        <v>0</v>
      </c>
      <c r="E47" s="561">
        <v>0</v>
      </c>
      <c r="F47" s="562">
        <v>640</v>
      </c>
      <c r="G47" s="561">
        <v>641.45043299999998</v>
      </c>
      <c r="H47" s="563">
        <v>645.547281</v>
      </c>
      <c r="I47" s="561">
        <v>649.20652900000005</v>
      </c>
      <c r="J47" s="561">
        <v>653.63230299999998</v>
      </c>
      <c r="K47" s="561">
        <v>657.68341124999995</v>
      </c>
      <c r="L47" s="561">
        <v>661.35194488888897</v>
      </c>
      <c r="M47" s="562">
        <v>665.86065039111111</v>
      </c>
      <c r="N47" s="561">
        <v>669.84978488888896</v>
      </c>
      <c r="O47" s="561">
        <v>674.2577973333332</v>
      </c>
      <c r="P47" s="561">
        <v>678.7132693333333</v>
      </c>
      <c r="Q47" s="561">
        <v>682.77766222222226</v>
      </c>
      <c r="R47" s="561">
        <v>687.27664888888887</v>
      </c>
      <c r="S47" s="561">
        <v>691.67521777777779</v>
      </c>
      <c r="T47" s="561">
        <v>696.04463911111111</v>
      </c>
      <c r="U47" s="561">
        <v>700.3977608888888</v>
      </c>
      <c r="V47" s="561">
        <v>705.16844533333324</v>
      </c>
      <c r="W47" s="561">
        <v>709.62047199999995</v>
      </c>
      <c r="X47" s="561">
        <v>713.57458666666673</v>
      </c>
      <c r="Y47" s="561">
        <v>718.28701333333322</v>
      </c>
      <c r="Z47" s="561">
        <v>722.73404000000005</v>
      </c>
      <c r="AA47" s="561">
        <v>727.37966488888901</v>
      </c>
      <c r="AB47" s="507">
        <v>732.07468422222223</v>
      </c>
      <c r="AC47" s="507">
        <v>736.60560799999996</v>
      </c>
      <c r="AD47" s="588">
        <v>741.70598488888891</v>
      </c>
      <c r="AE47" s="561">
        <v>745.98991466666678</v>
      </c>
      <c r="AF47" s="561">
        <v>751.37571733333323</v>
      </c>
      <c r="AG47" s="561">
        <v>755.84376266666675</v>
      </c>
      <c r="AH47" s="561">
        <v>760.67616143111127</v>
      </c>
      <c r="AI47" s="561">
        <v>765.69630222222224</v>
      </c>
      <c r="AJ47" s="561">
        <v>770.24621955555574</v>
      </c>
      <c r="AK47" s="561">
        <v>774.85213511111112</v>
      </c>
      <c r="AL47" s="561">
        <v>779.80511733333321</v>
      </c>
      <c r="AM47" s="561">
        <v>784.78973333333329</v>
      </c>
      <c r="AN47" s="561">
        <v>789.65365511111122</v>
      </c>
      <c r="AO47" s="561">
        <v>794.70007911111111</v>
      </c>
      <c r="AP47" s="563">
        <v>728.36991866666665</v>
      </c>
      <c r="AQ47" s="561">
        <v>732.87450985714293</v>
      </c>
      <c r="AR47" s="561">
        <v>737.86018647619039</v>
      </c>
      <c r="AS47" s="561">
        <v>742.11921833333327</v>
      </c>
      <c r="AT47" s="561">
        <v>747.47372047619046</v>
      </c>
      <c r="AU47" s="561">
        <v>751.7882111904762</v>
      </c>
      <c r="AV47" s="561">
        <v>756.12759071428559</v>
      </c>
      <c r="AW47" s="561">
        <v>761.15437252380946</v>
      </c>
      <c r="AX47" s="561">
        <v>845.79487733333326</v>
      </c>
      <c r="AY47" s="561">
        <v>851.45723822222226</v>
      </c>
      <c r="AZ47" s="561">
        <v>856.89538755555566</v>
      </c>
      <c r="BA47" s="561">
        <v>862.36826933333327</v>
      </c>
      <c r="BB47" s="561">
        <v>6.75</v>
      </c>
      <c r="BC47" s="561">
        <v>0</v>
      </c>
      <c r="BD47" s="561">
        <v>0</v>
      </c>
      <c r="BE47" s="561">
        <v>0</v>
      </c>
      <c r="BF47" s="561">
        <v>0</v>
      </c>
      <c r="BG47" s="561">
        <v>0</v>
      </c>
      <c r="BH47" s="561">
        <v>0</v>
      </c>
      <c r="BI47" s="561">
        <v>0</v>
      </c>
      <c r="BJ47" s="561">
        <v>0</v>
      </c>
      <c r="BK47" s="561">
        <v>0</v>
      </c>
      <c r="BL47" s="561">
        <v>0</v>
      </c>
      <c r="BM47" s="561">
        <v>0</v>
      </c>
      <c r="BN47" s="561">
        <v>0</v>
      </c>
      <c r="BO47" s="561">
        <v>0</v>
      </c>
      <c r="BP47" s="561">
        <v>0</v>
      </c>
      <c r="BQ47" s="561">
        <v>0</v>
      </c>
      <c r="BR47" s="561">
        <v>0</v>
      </c>
      <c r="BS47" s="561">
        <v>0</v>
      </c>
      <c r="BT47" s="561">
        <v>0</v>
      </c>
      <c r="BU47" s="561">
        <v>0</v>
      </c>
      <c r="BV47" s="561">
        <v>0</v>
      </c>
      <c r="BW47" s="561">
        <v>0</v>
      </c>
      <c r="BX47" s="561">
        <v>0</v>
      </c>
      <c r="BY47" s="561">
        <v>0</v>
      </c>
      <c r="BZ47" s="561">
        <v>0</v>
      </c>
      <c r="CA47" s="561">
        <v>0</v>
      </c>
      <c r="CB47" s="561">
        <v>0</v>
      </c>
      <c r="CC47" s="561">
        <v>0</v>
      </c>
      <c r="CD47" s="561">
        <v>0</v>
      </c>
      <c r="CE47" s="561">
        <v>0</v>
      </c>
      <c r="CF47" s="561">
        <v>0</v>
      </c>
      <c r="CG47" s="561">
        <v>0</v>
      </c>
      <c r="CH47" s="561">
        <v>0</v>
      </c>
      <c r="CI47" s="561">
        <v>0</v>
      </c>
      <c r="CJ47" s="561">
        <v>0</v>
      </c>
      <c r="CK47" s="561">
        <v>0</v>
      </c>
      <c r="CL47" s="561">
        <v>0</v>
      </c>
      <c r="CM47" s="561">
        <v>0</v>
      </c>
      <c r="CN47" s="561">
        <v>0</v>
      </c>
      <c r="CO47" s="561">
        <v>0</v>
      </c>
      <c r="CP47" s="561">
        <v>0</v>
      </c>
      <c r="CQ47" s="561">
        <v>0</v>
      </c>
      <c r="CR47" s="561">
        <v>0</v>
      </c>
      <c r="CS47" s="561">
        <v>0</v>
      </c>
      <c r="CT47" s="561">
        <v>0</v>
      </c>
      <c r="CU47" s="561">
        <v>0</v>
      </c>
      <c r="CV47" s="561">
        <v>0</v>
      </c>
      <c r="CW47" s="561">
        <v>0</v>
      </c>
      <c r="CX47" s="561">
        <v>0</v>
      </c>
      <c r="CY47" s="561">
        <v>0</v>
      </c>
      <c r="CZ47" s="561">
        <v>0</v>
      </c>
      <c r="DA47" s="561">
        <v>0</v>
      </c>
      <c r="DB47" s="562">
        <v>0</v>
      </c>
      <c r="DC47" s="561">
        <v>0</v>
      </c>
      <c r="DD47" s="507">
        <v>0</v>
      </c>
      <c r="DE47" s="507">
        <v>0</v>
      </c>
      <c r="DF47" s="507">
        <v>0</v>
      </c>
      <c r="DG47" s="507">
        <v>0</v>
      </c>
    </row>
    <row r="48" spans="1:111" ht="16.5" customHeight="1">
      <c r="A48" s="509"/>
      <c r="B48" s="510"/>
      <c r="C48" s="589"/>
      <c r="D48" s="589"/>
      <c r="E48" s="589"/>
      <c r="F48" s="590"/>
      <c r="G48" s="589"/>
      <c r="H48" s="591"/>
      <c r="I48" s="589"/>
      <c r="J48" s="589"/>
      <c r="K48" s="589"/>
      <c r="L48" s="589"/>
      <c r="M48" s="590"/>
      <c r="N48" s="589"/>
      <c r="O48" s="589"/>
      <c r="P48" s="589"/>
      <c r="Q48" s="589"/>
      <c r="R48" s="589"/>
      <c r="S48" s="589"/>
      <c r="T48" s="589"/>
      <c r="U48" s="589"/>
      <c r="V48" s="589"/>
      <c r="W48" s="589"/>
      <c r="X48" s="589"/>
      <c r="Y48" s="589"/>
      <c r="Z48" s="589"/>
      <c r="AA48" s="589"/>
      <c r="AB48" s="592"/>
      <c r="AC48" s="592"/>
      <c r="AD48" s="593"/>
      <c r="AE48" s="589"/>
      <c r="AF48" s="589"/>
      <c r="AG48" s="589"/>
      <c r="AH48" s="589"/>
      <c r="AI48" s="589"/>
      <c r="AJ48" s="589"/>
      <c r="AK48" s="589"/>
      <c r="AL48" s="589"/>
      <c r="AM48" s="589"/>
      <c r="AN48" s="589"/>
      <c r="AO48" s="589"/>
      <c r="AP48" s="591"/>
      <c r="AQ48" s="589"/>
      <c r="AR48" s="589"/>
      <c r="AS48" s="589"/>
      <c r="AT48" s="589"/>
      <c r="AU48" s="589"/>
      <c r="AV48" s="589"/>
      <c r="AW48" s="589"/>
      <c r="AX48" s="589"/>
      <c r="AY48" s="589"/>
      <c r="AZ48" s="589"/>
      <c r="BA48" s="589"/>
      <c r="BB48" s="589"/>
      <c r="BC48" s="589"/>
      <c r="BD48" s="589"/>
      <c r="BE48" s="589"/>
      <c r="BF48" s="589"/>
      <c r="BG48" s="589"/>
      <c r="BH48" s="589"/>
      <c r="BI48" s="589"/>
      <c r="BJ48" s="589"/>
      <c r="BK48" s="589"/>
      <c r="BL48" s="589"/>
      <c r="BM48" s="589"/>
      <c r="BN48" s="589"/>
      <c r="BO48" s="589"/>
      <c r="BP48" s="589"/>
      <c r="BQ48" s="589"/>
      <c r="BR48" s="589"/>
      <c r="BS48" s="589"/>
      <c r="BT48" s="589"/>
      <c r="BU48" s="589"/>
      <c r="BV48" s="589"/>
      <c r="BW48" s="589"/>
      <c r="BX48" s="589"/>
      <c r="BY48" s="589"/>
      <c r="BZ48" s="589"/>
      <c r="CA48" s="589"/>
      <c r="CB48" s="589"/>
      <c r="CC48" s="589"/>
      <c r="CD48" s="589"/>
      <c r="CE48" s="589"/>
      <c r="CF48" s="589"/>
      <c r="CG48" s="589"/>
      <c r="CH48" s="589"/>
      <c r="CI48" s="589"/>
      <c r="CJ48" s="589"/>
      <c r="CK48" s="589"/>
      <c r="CL48" s="589"/>
      <c r="CM48" s="589"/>
      <c r="CN48" s="589"/>
      <c r="CO48" s="589"/>
      <c r="CP48" s="589"/>
      <c r="CQ48" s="589"/>
      <c r="CR48" s="589"/>
      <c r="CS48" s="589"/>
      <c r="CT48" s="589"/>
      <c r="CU48" s="589"/>
      <c r="CV48" s="589"/>
      <c r="CW48" s="589"/>
      <c r="CX48" s="589"/>
      <c r="CY48" s="589"/>
      <c r="CZ48" s="589"/>
      <c r="DA48" s="589"/>
      <c r="DB48" s="590"/>
      <c r="DC48" s="589"/>
      <c r="DD48" s="592"/>
      <c r="DE48" s="592"/>
      <c r="DF48" s="592"/>
      <c r="DG48" s="592"/>
    </row>
    <row r="49" spans="1:111" ht="16.5" customHeight="1">
      <c r="A49" s="505" t="s">
        <v>447</v>
      </c>
      <c r="B49" s="506" t="s">
        <v>465</v>
      </c>
      <c r="C49" s="561">
        <v>15045.104009906456</v>
      </c>
      <c r="D49" s="561">
        <v>15252.978748947929</v>
      </c>
      <c r="E49" s="561">
        <v>14711.615015608641</v>
      </c>
      <c r="F49" s="562">
        <v>15128.616880714215</v>
      </c>
      <c r="G49" s="561">
        <v>14891.179142584029</v>
      </c>
      <c r="H49" s="563">
        <v>14558.258925055829</v>
      </c>
      <c r="I49" s="561">
        <v>14563.787617767368</v>
      </c>
      <c r="J49" s="561">
        <v>14504.884331448271</v>
      </c>
      <c r="K49" s="561">
        <v>14425.921092075629</v>
      </c>
      <c r="L49" s="561">
        <v>14546.105650958574</v>
      </c>
      <c r="M49" s="562">
        <v>15015.970978897403</v>
      </c>
      <c r="N49" s="561">
        <v>15507.595212671948</v>
      </c>
      <c r="O49" s="561">
        <v>15298.666244432159</v>
      </c>
      <c r="P49" s="561">
        <v>15557.857242265172</v>
      </c>
      <c r="Q49" s="561">
        <v>16249.518714156577</v>
      </c>
      <c r="R49" s="561">
        <v>16221.679590776088</v>
      </c>
      <c r="S49" s="561">
        <v>16375.520447394349</v>
      </c>
      <c r="T49" s="561">
        <v>17146.927347804998</v>
      </c>
      <c r="U49" s="561">
        <v>16287.99025579686</v>
      </c>
      <c r="V49" s="561">
        <v>16407.077835298907</v>
      </c>
      <c r="W49" s="561">
        <v>16153.566005627621</v>
      </c>
      <c r="X49" s="561">
        <v>16168.172849911318</v>
      </c>
      <c r="Y49" s="561">
        <v>16324.499575686385</v>
      </c>
      <c r="Z49" s="561">
        <v>16037.98887025656</v>
      </c>
      <c r="AA49" s="561">
        <v>16109.635298681034</v>
      </c>
      <c r="AB49" s="507">
        <v>16448.862086199537</v>
      </c>
      <c r="AC49" s="507">
        <v>16347.284165805198</v>
      </c>
      <c r="AD49" s="588">
        <v>16776.565731781753</v>
      </c>
      <c r="AE49" s="561">
        <v>17030.416845457345</v>
      </c>
      <c r="AF49" s="561">
        <v>17262.416318660165</v>
      </c>
      <c r="AG49" s="561">
        <v>16470.308618465773</v>
      </c>
      <c r="AH49" s="561">
        <v>16870.045072464822</v>
      </c>
      <c r="AI49" s="561">
        <v>16513.908916179549</v>
      </c>
      <c r="AJ49" s="561">
        <v>898.7989082405112</v>
      </c>
      <c r="AK49" s="561">
        <v>861.77151291528889</v>
      </c>
      <c r="AL49" s="561">
        <v>1099.5592490304</v>
      </c>
      <c r="AM49" s="561">
        <v>1019.0865931771667</v>
      </c>
      <c r="AN49" s="561">
        <v>976.96264977928899</v>
      </c>
      <c r="AO49" s="561">
        <v>1040.5004410800223</v>
      </c>
      <c r="AP49" s="563">
        <v>1081.1939011959334</v>
      </c>
      <c r="AQ49" s="561">
        <v>1189.3598429879239</v>
      </c>
      <c r="AR49" s="561">
        <v>1243.2708294678093</v>
      </c>
      <c r="AS49" s="561">
        <v>1279.8613689733668</v>
      </c>
      <c r="AT49" s="561">
        <v>1271.5996806622595</v>
      </c>
      <c r="AU49" s="561">
        <v>1199.1619262505569</v>
      </c>
      <c r="AV49" s="561">
        <v>1155.0305887734644</v>
      </c>
      <c r="AW49" s="561">
        <v>1139.6961893274311</v>
      </c>
      <c r="AX49" s="561">
        <v>1259.9482977386983</v>
      </c>
      <c r="AY49" s="561">
        <v>1238.3272744853004</v>
      </c>
      <c r="AZ49" s="561">
        <v>878.95489068434142</v>
      </c>
      <c r="BA49" s="561">
        <v>956.08903745806265</v>
      </c>
      <c r="BB49" s="561">
        <v>783.97270425570832</v>
      </c>
      <c r="BC49" s="561">
        <v>854.14120872096305</v>
      </c>
      <c r="BD49" s="561">
        <v>883.47022197736339</v>
      </c>
      <c r="BE49" s="561">
        <v>918.97752635636073</v>
      </c>
      <c r="BF49" s="561">
        <v>1006.803345868023</v>
      </c>
      <c r="BG49" s="561">
        <v>1541.7032591520708</v>
      </c>
      <c r="BH49" s="561">
        <v>1157.0924238882374</v>
      </c>
      <c r="BI49" s="561">
        <v>1220.1777750274027</v>
      </c>
      <c r="BJ49" s="561">
        <v>1247.2652278087021</v>
      </c>
      <c r="BK49" s="561">
        <v>1237.6344496282929</v>
      </c>
      <c r="BL49" s="561">
        <v>1219.0656411219168</v>
      </c>
      <c r="BM49" s="561">
        <v>1157.2090045506454</v>
      </c>
      <c r="BN49" s="561">
        <v>1256.4355875570463</v>
      </c>
      <c r="BO49" s="561">
        <v>1254.3869285360436</v>
      </c>
      <c r="BP49" s="561">
        <v>1302.1468264104776</v>
      </c>
      <c r="BQ49" s="561">
        <v>1217.2545327702653</v>
      </c>
      <c r="BR49" s="561">
        <v>1302.3310317796659</v>
      </c>
      <c r="BS49" s="561">
        <v>1204.6501408748975</v>
      </c>
      <c r="BT49" s="561">
        <v>1237.765141539488</v>
      </c>
      <c r="BU49" s="561">
        <v>1313.8005488732629</v>
      </c>
      <c r="BV49" s="561">
        <v>1182.4475531745416</v>
      </c>
      <c r="BW49" s="561">
        <v>1119.8991953549641</v>
      </c>
      <c r="BX49" s="561">
        <v>993.62369071162891</v>
      </c>
      <c r="BY49" s="561">
        <v>6420.4863756678606</v>
      </c>
      <c r="BZ49" s="561">
        <v>6486.7428962633339</v>
      </c>
      <c r="CA49" s="561">
        <v>6651.4769204397489</v>
      </c>
      <c r="CB49" s="561">
        <v>7714.8385189486571</v>
      </c>
      <c r="CC49" s="561">
        <v>7528.5721509488194</v>
      </c>
      <c r="CD49" s="561">
        <v>7609.5393174411147</v>
      </c>
      <c r="CE49" s="561">
        <v>7647.6678899913604</v>
      </c>
      <c r="CF49" s="561">
        <v>7764.8705142639292</v>
      </c>
      <c r="CG49" s="561">
        <v>7612.2662415359828</v>
      </c>
      <c r="CH49" s="561">
        <v>7669.7182570720006</v>
      </c>
      <c r="CI49" s="561">
        <v>8095.0391335804443</v>
      </c>
      <c r="CJ49" s="561">
        <v>7865.4789433237111</v>
      </c>
      <c r="CK49" s="561">
        <v>7890.0037322446178</v>
      </c>
      <c r="CL49" s="561">
        <v>8008.3467121284702</v>
      </c>
      <c r="CM49" s="561">
        <v>8646.3296934415921</v>
      </c>
      <c r="CN49" s="561">
        <v>7840.0146798454643</v>
      </c>
      <c r="CO49" s="561">
        <v>7766.9697828987692</v>
      </c>
      <c r="CP49" s="561">
        <v>8058.7182430322773</v>
      </c>
      <c r="CQ49" s="561">
        <v>8234.571529147137</v>
      </c>
      <c r="CR49" s="561">
        <v>8001.7661182826023</v>
      </c>
      <c r="CS49" s="561">
        <v>7978.7580518328195</v>
      </c>
      <c r="CT49" s="561">
        <v>8064.0392681820485</v>
      </c>
      <c r="CU49" s="561">
        <v>9343.9465719759646</v>
      </c>
      <c r="CV49" s="561">
        <v>9396.7240134001313</v>
      </c>
      <c r="CW49" s="561">
        <v>13780.199132482079</v>
      </c>
      <c r="CX49" s="561">
        <v>13694.15438558099</v>
      </c>
      <c r="CY49" s="561">
        <v>13561.030678638792</v>
      </c>
      <c r="CZ49" s="561">
        <v>13631.460155642533</v>
      </c>
      <c r="DA49" s="561">
        <v>13272.061651796099</v>
      </c>
      <c r="DB49" s="562">
        <v>13437.867494984626</v>
      </c>
      <c r="DC49" s="561">
        <v>13376.222837683907</v>
      </c>
      <c r="DD49" s="507">
        <v>14909.119321448543</v>
      </c>
      <c r="DE49" s="507">
        <v>15045.142499000014</v>
      </c>
      <c r="DF49" s="507">
        <v>17030.176292038144</v>
      </c>
      <c r="DG49" s="507">
        <v>17013.154985804216</v>
      </c>
    </row>
    <row r="50" spans="1:111" ht="16.5" customHeight="1">
      <c r="A50" s="509"/>
      <c r="B50" s="510"/>
      <c r="C50" s="589"/>
      <c r="D50" s="589"/>
      <c r="E50" s="589"/>
      <c r="F50" s="590"/>
      <c r="G50" s="589"/>
      <c r="H50" s="591"/>
      <c r="I50" s="589"/>
      <c r="J50" s="589"/>
      <c r="K50" s="589"/>
      <c r="L50" s="589"/>
      <c r="M50" s="590"/>
      <c r="N50" s="589"/>
      <c r="O50" s="589"/>
      <c r="P50" s="589"/>
      <c r="Q50" s="589"/>
      <c r="R50" s="589"/>
      <c r="S50" s="589"/>
      <c r="T50" s="589"/>
      <c r="U50" s="589"/>
      <c r="V50" s="589"/>
      <c r="W50" s="589"/>
      <c r="X50" s="589"/>
      <c r="Y50" s="589"/>
      <c r="Z50" s="589"/>
      <c r="AA50" s="589"/>
      <c r="AB50" s="592"/>
      <c r="AC50" s="592"/>
      <c r="AD50" s="593"/>
      <c r="AE50" s="589"/>
      <c r="AF50" s="589"/>
      <c r="AG50" s="589"/>
      <c r="AH50" s="589"/>
      <c r="AI50" s="589"/>
      <c r="AJ50" s="589"/>
      <c r="AK50" s="589"/>
      <c r="AL50" s="589"/>
      <c r="AM50" s="589"/>
      <c r="AN50" s="589"/>
      <c r="AO50" s="589"/>
      <c r="AP50" s="591"/>
      <c r="AQ50" s="589"/>
      <c r="AR50" s="589"/>
      <c r="AS50" s="589"/>
      <c r="AT50" s="589"/>
      <c r="AU50" s="589"/>
      <c r="AV50" s="589"/>
      <c r="AW50" s="589"/>
      <c r="AX50" s="589"/>
      <c r="AY50" s="589"/>
      <c r="AZ50" s="589"/>
      <c r="BA50" s="589"/>
      <c r="BB50" s="589"/>
      <c r="BC50" s="589"/>
      <c r="BD50" s="589"/>
      <c r="BE50" s="589"/>
      <c r="BF50" s="589"/>
      <c r="BG50" s="589"/>
      <c r="BH50" s="589"/>
      <c r="BI50" s="589"/>
      <c r="BJ50" s="589"/>
      <c r="BK50" s="589"/>
      <c r="BL50" s="589"/>
      <c r="BM50" s="589"/>
      <c r="BN50" s="589"/>
      <c r="BO50" s="589"/>
      <c r="BP50" s="589"/>
      <c r="BQ50" s="589"/>
      <c r="BR50" s="589"/>
      <c r="BS50" s="589"/>
      <c r="BT50" s="589"/>
      <c r="BU50" s="589"/>
      <c r="BV50" s="589"/>
      <c r="BW50" s="589"/>
      <c r="BX50" s="589"/>
      <c r="BY50" s="589"/>
      <c r="BZ50" s="589"/>
      <c r="CA50" s="589"/>
      <c r="CB50" s="589"/>
      <c r="CC50" s="589"/>
      <c r="CD50" s="589"/>
      <c r="CE50" s="589"/>
      <c r="CF50" s="589"/>
      <c r="CG50" s="589"/>
      <c r="CH50" s="589"/>
      <c r="CI50" s="589"/>
      <c r="CJ50" s="589"/>
      <c r="CK50" s="589"/>
      <c r="CL50" s="589"/>
      <c r="CM50" s="589"/>
      <c r="CN50" s="589"/>
      <c r="CO50" s="589"/>
      <c r="CP50" s="589"/>
      <c r="CQ50" s="589"/>
      <c r="CR50" s="589"/>
      <c r="CS50" s="589"/>
      <c r="CT50" s="589"/>
      <c r="CU50" s="589"/>
      <c r="CV50" s="589"/>
      <c r="CW50" s="589"/>
      <c r="CX50" s="589"/>
      <c r="CY50" s="589"/>
      <c r="CZ50" s="589"/>
      <c r="DA50" s="589"/>
      <c r="DB50" s="590"/>
      <c r="DC50" s="589"/>
      <c r="DD50" s="592"/>
      <c r="DE50" s="592"/>
      <c r="DF50" s="592"/>
      <c r="DG50" s="592"/>
    </row>
    <row r="51" spans="1:111" ht="16.5" customHeight="1">
      <c r="A51" s="505" t="s">
        <v>449</v>
      </c>
      <c r="B51" s="506" t="s">
        <v>201</v>
      </c>
      <c r="C51" s="561">
        <v>35962.566492851707</v>
      </c>
      <c r="D51" s="561">
        <v>36047.247638540102</v>
      </c>
      <c r="E51" s="561">
        <v>40055.369662550002</v>
      </c>
      <c r="F51" s="562">
        <v>62545.449858789812</v>
      </c>
      <c r="G51" s="561">
        <v>61521.622535666756</v>
      </c>
      <c r="H51" s="563">
        <v>61688.049821202643</v>
      </c>
      <c r="I51" s="561">
        <v>63421.862605252652</v>
      </c>
      <c r="J51" s="561">
        <v>58046.991185005681</v>
      </c>
      <c r="K51" s="561">
        <v>57973.69648324071</v>
      </c>
      <c r="L51" s="561">
        <v>60203.708133559703</v>
      </c>
      <c r="M51" s="562">
        <v>65426.4796115231</v>
      </c>
      <c r="N51" s="561">
        <v>78673.467658129332</v>
      </c>
      <c r="O51" s="561">
        <v>70567.197684792132</v>
      </c>
      <c r="P51" s="561">
        <v>76711.859913460154</v>
      </c>
      <c r="Q51" s="561">
        <v>79979.510756816089</v>
      </c>
      <c r="R51" s="561">
        <v>79406.007274125222</v>
      </c>
      <c r="S51" s="561">
        <v>82165.883102839463</v>
      </c>
      <c r="T51" s="561">
        <v>80242.833787359632</v>
      </c>
      <c r="U51" s="561">
        <v>83540.849317996428</v>
      </c>
      <c r="V51" s="561">
        <v>79696.402888408556</v>
      </c>
      <c r="W51" s="561">
        <v>79567.471654235444</v>
      </c>
      <c r="X51" s="561">
        <v>85069.407294803168</v>
      </c>
      <c r="Y51" s="561">
        <v>84447.056269586552</v>
      </c>
      <c r="Z51" s="561">
        <v>92817.018383313305</v>
      </c>
      <c r="AA51" s="561">
        <v>101010.93956742428</v>
      </c>
      <c r="AB51" s="507">
        <v>88342.746327380097</v>
      </c>
      <c r="AC51" s="507">
        <v>95186.035077020599</v>
      </c>
      <c r="AD51" s="588">
        <v>98647.157131900211</v>
      </c>
      <c r="AE51" s="561">
        <v>90767.511630535693</v>
      </c>
      <c r="AF51" s="561">
        <v>94524.30180789427</v>
      </c>
      <c r="AG51" s="561">
        <v>96353.952614318085</v>
      </c>
      <c r="AH51" s="561">
        <v>93002.819960796507</v>
      </c>
      <c r="AI51" s="561">
        <v>95275.208135796347</v>
      </c>
      <c r="AJ51" s="561">
        <v>113846.18673518443</v>
      </c>
      <c r="AK51" s="561">
        <v>107867.48619321738</v>
      </c>
      <c r="AL51" s="561">
        <v>103883.11312931647</v>
      </c>
      <c r="AM51" s="561">
        <v>110430.82575458733</v>
      </c>
      <c r="AN51" s="561">
        <v>110296.63057014832</v>
      </c>
      <c r="AO51" s="561">
        <v>113056.44000953666</v>
      </c>
      <c r="AP51" s="563">
        <v>110144.41993119227</v>
      </c>
      <c r="AQ51" s="561">
        <v>117621.27661261051</v>
      </c>
      <c r="AR51" s="561">
        <v>113844.19452376643</v>
      </c>
      <c r="AS51" s="561">
        <v>113294.07001886387</v>
      </c>
      <c r="AT51" s="561">
        <v>111395.10706235934</v>
      </c>
      <c r="AU51" s="561">
        <v>115308.10069647095</v>
      </c>
      <c r="AV51" s="561">
        <v>111398.07069252883</v>
      </c>
      <c r="AW51" s="561">
        <v>100937.22505486327</v>
      </c>
      <c r="AX51" s="561">
        <v>93400.628797954254</v>
      </c>
      <c r="AY51" s="561">
        <v>100043.83392820758</v>
      </c>
      <c r="AZ51" s="561">
        <v>99134.083252809345</v>
      </c>
      <c r="BA51" s="561">
        <v>101844.4196391663</v>
      </c>
      <c r="BB51" s="561">
        <v>100538.68695301708</v>
      </c>
      <c r="BC51" s="561">
        <v>98881.368748775945</v>
      </c>
      <c r="BD51" s="561">
        <v>96802.770846622763</v>
      </c>
      <c r="BE51" s="561">
        <v>97366.981828807155</v>
      </c>
      <c r="BF51" s="561">
        <v>97634.780596991317</v>
      </c>
      <c r="BG51" s="561">
        <v>98777.374928488731</v>
      </c>
      <c r="BH51" s="561">
        <v>93544.604256837498</v>
      </c>
      <c r="BI51" s="561">
        <v>106001.47421916109</v>
      </c>
      <c r="BJ51" s="561">
        <v>113525.19723679972</v>
      </c>
      <c r="BK51" s="561">
        <v>111533.84294250495</v>
      </c>
      <c r="BL51" s="561">
        <v>107174.75919483912</v>
      </c>
      <c r="BM51" s="561">
        <v>116501.97382611193</v>
      </c>
      <c r="BN51" s="561">
        <v>114185.4848369986</v>
      </c>
      <c r="BO51" s="561">
        <v>109207.38924208454</v>
      </c>
      <c r="BP51" s="561">
        <v>107171.47727467383</v>
      </c>
      <c r="BQ51" s="561">
        <v>104573.68900444418</v>
      </c>
      <c r="BR51" s="561">
        <v>96957.262221144178</v>
      </c>
      <c r="BS51" s="561">
        <v>99549.681186230169</v>
      </c>
      <c r="BT51" s="561">
        <v>95201.744867472356</v>
      </c>
      <c r="BU51" s="561">
        <v>108202.79067884848</v>
      </c>
      <c r="BV51" s="561">
        <v>88347.719657662921</v>
      </c>
      <c r="BW51" s="561">
        <v>97589.187535341931</v>
      </c>
      <c r="BX51" s="561">
        <v>106610.16797599531</v>
      </c>
      <c r="BY51" s="561">
        <v>107471.00272447885</v>
      </c>
      <c r="BZ51" s="561">
        <v>120269.41229128296</v>
      </c>
      <c r="CA51" s="561">
        <v>124812.08406462213</v>
      </c>
      <c r="CB51" s="561">
        <v>115376.34357163229</v>
      </c>
      <c r="CC51" s="561">
        <v>126547.22138109068</v>
      </c>
      <c r="CD51" s="561">
        <v>129726.98171063828</v>
      </c>
      <c r="CE51" s="561">
        <v>126810.45317664245</v>
      </c>
      <c r="CF51" s="561">
        <v>118944.61823429578</v>
      </c>
      <c r="CG51" s="561">
        <v>120933.5126386109</v>
      </c>
      <c r="CH51" s="561">
        <v>115321.43736625831</v>
      </c>
      <c r="CI51" s="561">
        <v>123967.17674122185</v>
      </c>
      <c r="CJ51" s="561">
        <v>125589.61681330105</v>
      </c>
      <c r="CK51" s="561">
        <v>120505.41746863989</v>
      </c>
      <c r="CL51" s="561">
        <v>124545.01312996067</v>
      </c>
      <c r="CM51" s="561">
        <v>121155.52296169617</v>
      </c>
      <c r="CN51" s="561">
        <v>126459.0658912825</v>
      </c>
      <c r="CO51" s="561">
        <v>107001.17720612646</v>
      </c>
      <c r="CP51" s="561">
        <v>97603.806936848632</v>
      </c>
      <c r="CQ51" s="561">
        <v>91123.91195614844</v>
      </c>
      <c r="CR51" s="561">
        <v>95543.993191614529</v>
      </c>
      <c r="CS51" s="561">
        <v>116386.28994843544</v>
      </c>
      <c r="CT51" s="561">
        <v>109099.31597717798</v>
      </c>
      <c r="CU51" s="561">
        <v>110622.51123700409</v>
      </c>
      <c r="CV51" s="561">
        <v>117430.26440940885</v>
      </c>
      <c r="CW51" s="561">
        <v>112740.90255428242</v>
      </c>
      <c r="CX51" s="561">
        <v>111525.34966167415</v>
      </c>
      <c r="CY51" s="561">
        <v>112364.75353793841</v>
      </c>
      <c r="CZ51" s="561">
        <v>126726.73731473685</v>
      </c>
      <c r="DA51" s="561">
        <v>107072.47576452541</v>
      </c>
      <c r="DB51" s="562">
        <v>109264.55519348106</v>
      </c>
      <c r="DC51" s="561">
        <v>107970.2152729956</v>
      </c>
      <c r="DD51" s="507">
        <v>121555.18868738304</v>
      </c>
      <c r="DE51" s="507">
        <v>119357.11448620106</v>
      </c>
      <c r="DF51" s="507">
        <v>144265.40478854501</v>
      </c>
      <c r="DG51" s="507">
        <v>136132.29066817605</v>
      </c>
    </row>
    <row r="52" spans="1:111" ht="16.5" customHeight="1">
      <c r="A52" s="509"/>
      <c r="B52" s="532"/>
      <c r="C52" s="589"/>
      <c r="D52" s="589"/>
      <c r="E52" s="589"/>
      <c r="F52" s="590"/>
      <c r="G52" s="589"/>
      <c r="H52" s="591"/>
      <c r="I52" s="589"/>
      <c r="J52" s="589"/>
      <c r="K52" s="589"/>
      <c r="L52" s="589"/>
      <c r="M52" s="590"/>
      <c r="N52" s="589"/>
      <c r="O52" s="589"/>
      <c r="P52" s="589"/>
      <c r="Q52" s="589"/>
      <c r="R52" s="589"/>
      <c r="S52" s="589"/>
      <c r="T52" s="589"/>
      <c r="U52" s="589"/>
      <c r="V52" s="589"/>
      <c r="W52" s="589"/>
      <c r="X52" s="589"/>
      <c r="Y52" s="589"/>
      <c r="Z52" s="589"/>
      <c r="AA52" s="589"/>
      <c r="AB52" s="592"/>
      <c r="AC52" s="592"/>
      <c r="AD52" s="593"/>
      <c r="AE52" s="589"/>
      <c r="AF52" s="589"/>
      <c r="AG52" s="589"/>
      <c r="AH52" s="589"/>
      <c r="AI52" s="589"/>
      <c r="AJ52" s="589"/>
      <c r="AK52" s="589"/>
      <c r="AL52" s="589"/>
      <c r="AM52" s="589"/>
      <c r="AN52" s="589"/>
      <c r="AO52" s="589"/>
      <c r="AP52" s="591"/>
      <c r="AQ52" s="589"/>
      <c r="AR52" s="589"/>
      <c r="AS52" s="589"/>
      <c r="AT52" s="589"/>
      <c r="AU52" s="589"/>
      <c r="AV52" s="589"/>
      <c r="AW52" s="589"/>
      <c r="AX52" s="589"/>
      <c r="AY52" s="589"/>
      <c r="AZ52" s="589"/>
      <c r="BA52" s="589"/>
      <c r="BB52" s="589"/>
      <c r="BC52" s="589"/>
      <c r="BD52" s="589"/>
      <c r="BE52" s="589"/>
      <c r="BF52" s="589"/>
      <c r="BG52" s="589"/>
      <c r="BH52" s="589"/>
      <c r="BI52" s="589"/>
      <c r="BJ52" s="589"/>
      <c r="BK52" s="589"/>
      <c r="BL52" s="589"/>
      <c r="BM52" s="589"/>
      <c r="BN52" s="589"/>
      <c r="BO52" s="589"/>
      <c r="BP52" s="589"/>
      <c r="BQ52" s="589"/>
      <c r="BR52" s="589"/>
      <c r="BS52" s="589"/>
      <c r="BT52" s="589"/>
      <c r="BU52" s="589"/>
      <c r="BV52" s="589"/>
      <c r="BW52" s="589"/>
      <c r="BX52" s="589"/>
      <c r="BY52" s="589"/>
      <c r="BZ52" s="589"/>
      <c r="CA52" s="589"/>
      <c r="CB52" s="589"/>
      <c r="CC52" s="589"/>
      <c r="CD52" s="589"/>
      <c r="CE52" s="589"/>
      <c r="CF52" s="589"/>
      <c r="CG52" s="589"/>
      <c r="CH52" s="589"/>
      <c r="CI52" s="589"/>
      <c r="CJ52" s="589"/>
      <c r="CK52" s="589"/>
      <c r="CL52" s="589"/>
      <c r="CM52" s="589"/>
      <c r="CN52" s="589"/>
      <c r="CO52" s="589"/>
      <c r="CP52" s="589"/>
      <c r="CQ52" s="589"/>
      <c r="CR52" s="589"/>
      <c r="CS52" s="589"/>
      <c r="CT52" s="589"/>
      <c r="CU52" s="589"/>
      <c r="CV52" s="589"/>
      <c r="CW52" s="589"/>
      <c r="CX52" s="589"/>
      <c r="CY52" s="589"/>
      <c r="CZ52" s="589"/>
      <c r="DA52" s="589"/>
      <c r="DB52" s="590"/>
      <c r="DC52" s="589"/>
      <c r="DD52" s="592"/>
      <c r="DE52" s="592"/>
      <c r="DF52" s="592"/>
      <c r="DG52" s="592"/>
    </row>
    <row r="53" spans="1:111" ht="16.5" customHeight="1">
      <c r="A53" s="505" t="s">
        <v>450</v>
      </c>
      <c r="B53" s="506" t="s">
        <v>421</v>
      </c>
      <c r="C53" s="561">
        <v>0</v>
      </c>
      <c r="D53" s="561">
        <v>0</v>
      </c>
      <c r="E53" s="561">
        <v>0</v>
      </c>
      <c r="F53" s="562">
        <v>0</v>
      </c>
      <c r="G53" s="561">
        <v>0</v>
      </c>
      <c r="H53" s="563">
        <v>0</v>
      </c>
      <c r="I53" s="561">
        <v>0</v>
      </c>
      <c r="J53" s="561">
        <v>0</v>
      </c>
      <c r="K53" s="561">
        <v>0</v>
      </c>
      <c r="L53" s="561">
        <v>0</v>
      </c>
      <c r="M53" s="562">
        <v>0</v>
      </c>
      <c r="N53" s="561">
        <v>0</v>
      </c>
      <c r="O53" s="561">
        <v>0</v>
      </c>
      <c r="P53" s="561">
        <v>0</v>
      </c>
      <c r="Q53" s="561">
        <v>0</v>
      </c>
      <c r="R53" s="561">
        <v>0</v>
      </c>
      <c r="S53" s="561">
        <v>0</v>
      </c>
      <c r="T53" s="561">
        <v>0</v>
      </c>
      <c r="U53" s="561">
        <v>0</v>
      </c>
      <c r="V53" s="561">
        <v>0</v>
      </c>
      <c r="W53" s="561">
        <v>0</v>
      </c>
      <c r="X53" s="561">
        <v>0</v>
      </c>
      <c r="Y53" s="561">
        <v>0</v>
      </c>
      <c r="Z53" s="561">
        <v>0</v>
      </c>
      <c r="AA53" s="561">
        <v>0</v>
      </c>
      <c r="AB53" s="507">
        <v>0</v>
      </c>
      <c r="AC53" s="507">
        <v>0</v>
      </c>
      <c r="AD53" s="588">
        <v>0</v>
      </c>
      <c r="AE53" s="561">
        <v>0</v>
      </c>
      <c r="AF53" s="561">
        <v>0</v>
      </c>
      <c r="AG53" s="561">
        <v>0</v>
      </c>
      <c r="AH53" s="561">
        <v>0</v>
      </c>
      <c r="AI53" s="561">
        <v>0</v>
      </c>
      <c r="AJ53" s="561">
        <v>0</v>
      </c>
      <c r="AK53" s="561">
        <v>0</v>
      </c>
      <c r="AL53" s="561">
        <v>0</v>
      </c>
      <c r="AM53" s="561">
        <v>0</v>
      </c>
      <c r="AN53" s="561">
        <v>0</v>
      </c>
      <c r="AO53" s="561">
        <v>0</v>
      </c>
      <c r="AP53" s="563">
        <v>0</v>
      </c>
      <c r="AQ53" s="561">
        <v>0</v>
      </c>
      <c r="AR53" s="561">
        <v>0</v>
      </c>
      <c r="AS53" s="561">
        <v>0</v>
      </c>
      <c r="AT53" s="561">
        <v>0</v>
      </c>
      <c r="AU53" s="561">
        <v>0</v>
      </c>
      <c r="AV53" s="561">
        <v>0</v>
      </c>
      <c r="AW53" s="561">
        <v>0</v>
      </c>
      <c r="AX53" s="561">
        <v>0</v>
      </c>
      <c r="AY53" s="561">
        <v>0</v>
      </c>
      <c r="AZ53" s="561">
        <v>0</v>
      </c>
      <c r="BA53" s="561">
        <v>0</v>
      </c>
      <c r="BB53" s="561">
        <v>0</v>
      </c>
      <c r="BC53" s="561">
        <v>0</v>
      </c>
      <c r="BD53" s="561">
        <v>0</v>
      </c>
      <c r="BE53" s="561">
        <v>0</v>
      </c>
      <c r="BF53" s="561">
        <v>0</v>
      </c>
      <c r="BG53" s="561">
        <v>0</v>
      </c>
      <c r="BH53" s="561">
        <v>0</v>
      </c>
      <c r="BI53" s="561">
        <v>0</v>
      </c>
      <c r="BJ53" s="561">
        <v>0</v>
      </c>
      <c r="BK53" s="561">
        <v>0</v>
      </c>
      <c r="BL53" s="561">
        <v>0</v>
      </c>
      <c r="BM53" s="561">
        <v>0</v>
      </c>
      <c r="BN53" s="561">
        <v>0</v>
      </c>
      <c r="BO53" s="561">
        <v>0</v>
      </c>
      <c r="BP53" s="561">
        <v>0</v>
      </c>
      <c r="BQ53" s="561">
        <v>0</v>
      </c>
      <c r="BR53" s="561">
        <v>0</v>
      </c>
      <c r="BS53" s="561">
        <v>0</v>
      </c>
      <c r="BT53" s="561">
        <v>0</v>
      </c>
      <c r="BU53" s="561">
        <v>0</v>
      </c>
      <c r="BV53" s="561">
        <v>0</v>
      </c>
      <c r="BW53" s="561">
        <v>0</v>
      </c>
      <c r="BX53" s="561">
        <v>0</v>
      </c>
      <c r="BY53" s="561">
        <v>0</v>
      </c>
      <c r="BZ53" s="561">
        <v>0</v>
      </c>
      <c r="CA53" s="561">
        <v>0</v>
      </c>
      <c r="CB53" s="561">
        <v>0</v>
      </c>
      <c r="CC53" s="561">
        <v>0</v>
      </c>
      <c r="CD53" s="561">
        <v>0</v>
      </c>
      <c r="CE53" s="561">
        <v>0</v>
      </c>
      <c r="CF53" s="561">
        <v>0</v>
      </c>
      <c r="CG53" s="561">
        <v>0</v>
      </c>
      <c r="CH53" s="561">
        <v>0</v>
      </c>
      <c r="CI53" s="561">
        <v>0</v>
      </c>
      <c r="CJ53" s="561">
        <v>0</v>
      </c>
      <c r="CK53" s="561">
        <v>0</v>
      </c>
      <c r="CL53" s="561">
        <v>0</v>
      </c>
      <c r="CM53" s="561">
        <v>0</v>
      </c>
      <c r="CN53" s="561">
        <v>0</v>
      </c>
      <c r="CO53" s="561">
        <v>0</v>
      </c>
      <c r="CP53" s="561">
        <v>0</v>
      </c>
      <c r="CQ53" s="561">
        <v>0</v>
      </c>
      <c r="CR53" s="561">
        <v>0</v>
      </c>
      <c r="CS53" s="561">
        <v>0</v>
      </c>
      <c r="CT53" s="561">
        <v>0</v>
      </c>
      <c r="CU53" s="561">
        <v>0</v>
      </c>
      <c r="CV53" s="561">
        <v>0</v>
      </c>
      <c r="CW53" s="561">
        <v>0</v>
      </c>
      <c r="CX53" s="561">
        <v>0</v>
      </c>
      <c r="CY53" s="561">
        <v>0</v>
      </c>
      <c r="CZ53" s="561">
        <v>0</v>
      </c>
      <c r="DA53" s="561">
        <v>0</v>
      </c>
      <c r="DB53" s="562">
        <v>0</v>
      </c>
      <c r="DC53" s="561">
        <v>0</v>
      </c>
      <c r="DD53" s="507">
        <v>0</v>
      </c>
      <c r="DE53" s="507">
        <v>0</v>
      </c>
      <c r="DF53" s="507">
        <v>0</v>
      </c>
      <c r="DG53" s="507">
        <v>0</v>
      </c>
    </row>
    <row r="54" spans="1:111" ht="16.5" customHeight="1">
      <c r="A54" s="509"/>
      <c r="B54" s="510"/>
      <c r="C54" s="589"/>
      <c r="D54" s="589"/>
      <c r="E54" s="589"/>
      <c r="F54" s="590"/>
      <c r="G54" s="589"/>
      <c r="H54" s="591"/>
      <c r="I54" s="589"/>
      <c r="J54" s="589"/>
      <c r="K54" s="589"/>
      <c r="L54" s="589"/>
      <c r="M54" s="590"/>
      <c r="N54" s="589"/>
      <c r="O54" s="589"/>
      <c r="P54" s="589"/>
      <c r="Q54" s="589"/>
      <c r="R54" s="589"/>
      <c r="S54" s="589"/>
      <c r="T54" s="589"/>
      <c r="U54" s="589"/>
      <c r="V54" s="589"/>
      <c r="W54" s="589"/>
      <c r="X54" s="589"/>
      <c r="Y54" s="589"/>
      <c r="Z54" s="589"/>
      <c r="AA54" s="589"/>
      <c r="AB54" s="592"/>
      <c r="AC54" s="592"/>
      <c r="AD54" s="593"/>
      <c r="AE54" s="589"/>
      <c r="AF54" s="589"/>
      <c r="AG54" s="589"/>
      <c r="AH54" s="589"/>
      <c r="AI54" s="589"/>
      <c r="AJ54" s="589"/>
      <c r="AK54" s="589"/>
      <c r="AL54" s="589"/>
      <c r="AM54" s="589"/>
      <c r="AN54" s="589"/>
      <c r="AO54" s="589"/>
      <c r="AP54" s="591"/>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89"/>
      <c r="CJ54" s="589"/>
      <c r="CK54" s="589"/>
      <c r="CL54" s="589"/>
      <c r="CM54" s="589"/>
      <c r="CN54" s="589"/>
      <c r="CO54" s="589"/>
      <c r="CP54" s="589"/>
      <c r="CQ54" s="589"/>
      <c r="CR54" s="589"/>
      <c r="CS54" s="589"/>
      <c r="CT54" s="589"/>
      <c r="CU54" s="589"/>
      <c r="CV54" s="589"/>
      <c r="CW54" s="589"/>
      <c r="CX54" s="589"/>
      <c r="CY54" s="589"/>
      <c r="CZ54" s="589"/>
      <c r="DA54" s="589"/>
      <c r="DB54" s="590"/>
      <c r="DC54" s="589"/>
      <c r="DD54" s="592"/>
      <c r="DE54" s="592"/>
      <c r="DF54" s="592"/>
      <c r="DG54" s="592"/>
    </row>
    <row r="55" spans="1:111" ht="16.5" customHeight="1">
      <c r="A55" s="505" t="s">
        <v>451</v>
      </c>
      <c r="B55" s="506" t="s">
        <v>423</v>
      </c>
      <c r="C55" s="561">
        <v>29432.767018766863</v>
      </c>
      <c r="D55" s="561">
        <v>34260.080803627447</v>
      </c>
      <c r="E55" s="561">
        <v>33736.445753137697</v>
      </c>
      <c r="F55" s="562">
        <v>30869.665977368513</v>
      </c>
      <c r="G55" s="561">
        <v>33148.508443650164</v>
      </c>
      <c r="H55" s="563">
        <v>32103.114393552522</v>
      </c>
      <c r="I55" s="561">
        <v>30169.13539053157</v>
      </c>
      <c r="J55" s="561">
        <v>39529.378811924573</v>
      </c>
      <c r="K55" s="561">
        <v>40813.964159177995</v>
      </c>
      <c r="L55" s="561">
        <v>38298.472398335762</v>
      </c>
      <c r="M55" s="562">
        <v>42561.914226997869</v>
      </c>
      <c r="N55" s="561">
        <v>39547.513947527019</v>
      </c>
      <c r="O55" s="561">
        <v>34322.485455183065</v>
      </c>
      <c r="P55" s="561">
        <v>23458.447846964125</v>
      </c>
      <c r="Q55" s="561">
        <v>22783.893341378978</v>
      </c>
      <c r="R55" s="561">
        <v>28642.687883647355</v>
      </c>
      <c r="S55" s="561">
        <v>25554.180948222551</v>
      </c>
      <c r="T55" s="561">
        <v>28986.653275119956</v>
      </c>
      <c r="U55" s="561">
        <v>23144.521802052503</v>
      </c>
      <c r="V55" s="561">
        <v>24778.631760438147</v>
      </c>
      <c r="W55" s="561">
        <v>25578.83426078095</v>
      </c>
      <c r="X55" s="561">
        <v>28469.195348005636</v>
      </c>
      <c r="Y55" s="561">
        <v>35207.911461794189</v>
      </c>
      <c r="Z55" s="561">
        <v>29022.884805908736</v>
      </c>
      <c r="AA55" s="561">
        <v>39967.940543216449</v>
      </c>
      <c r="AB55" s="507">
        <v>38952.669907664116</v>
      </c>
      <c r="AC55" s="507">
        <v>35611.417045563867</v>
      </c>
      <c r="AD55" s="588">
        <v>33834.882104414784</v>
      </c>
      <c r="AE55" s="561">
        <v>39070.798615132757</v>
      </c>
      <c r="AF55" s="561">
        <v>34309.875560910383</v>
      </c>
      <c r="AG55" s="561">
        <v>30761.533252157133</v>
      </c>
      <c r="AH55" s="561">
        <v>30209.616689337126</v>
      </c>
      <c r="AI55" s="561">
        <v>44387.928754471606</v>
      </c>
      <c r="AJ55" s="561">
        <v>40145.866677087492</v>
      </c>
      <c r="AK55" s="561">
        <v>37941.127663167666</v>
      </c>
      <c r="AL55" s="561">
        <v>40551.299268888004</v>
      </c>
      <c r="AM55" s="561">
        <v>43238.137322506242</v>
      </c>
      <c r="AN55" s="561">
        <v>42618.980175564284</v>
      </c>
      <c r="AO55" s="561">
        <v>44457.242976324567</v>
      </c>
      <c r="AP55" s="563">
        <v>39691.1360705482</v>
      </c>
      <c r="AQ55" s="561">
        <v>59777.699357459212</v>
      </c>
      <c r="AR55" s="561">
        <v>44315.485858984328</v>
      </c>
      <c r="AS55" s="561">
        <v>50022.483865121387</v>
      </c>
      <c r="AT55" s="561">
        <v>45071.427850664673</v>
      </c>
      <c r="AU55" s="561">
        <v>44825.023681978993</v>
      </c>
      <c r="AV55" s="561">
        <v>45723.11009277204</v>
      </c>
      <c r="AW55" s="561">
        <v>56623.470659186809</v>
      </c>
      <c r="AX55" s="561">
        <v>58954.183824958382</v>
      </c>
      <c r="AY55" s="561">
        <v>71511.057699533572</v>
      </c>
      <c r="AZ55" s="561">
        <v>90538.775278142028</v>
      </c>
      <c r="BA55" s="561">
        <v>96306.272537237586</v>
      </c>
      <c r="BB55" s="561">
        <v>77032.912200377803</v>
      </c>
      <c r="BC55" s="561">
        <v>81370.840048575323</v>
      </c>
      <c r="BD55" s="561">
        <v>78336.510964634406</v>
      </c>
      <c r="BE55" s="561">
        <v>99663.735643111504</v>
      </c>
      <c r="BF55" s="561">
        <v>111707.05893216262</v>
      </c>
      <c r="BG55" s="561">
        <v>123272.0779647421</v>
      </c>
      <c r="BH55" s="561">
        <v>137833.12623258727</v>
      </c>
      <c r="BI55" s="561">
        <v>143953.15384429533</v>
      </c>
      <c r="BJ55" s="561">
        <v>178862.29597032876</v>
      </c>
      <c r="BK55" s="561">
        <v>169154.96589423789</v>
      </c>
      <c r="BL55" s="561">
        <v>160607.1231365795</v>
      </c>
      <c r="BM55" s="561">
        <v>164575.23255486466</v>
      </c>
      <c r="BN55" s="561">
        <v>179484.48929827844</v>
      </c>
      <c r="BO55" s="561">
        <v>196442.74826099002</v>
      </c>
      <c r="BP55" s="561">
        <v>164531.17855713627</v>
      </c>
      <c r="BQ55" s="561">
        <v>204934.24004247849</v>
      </c>
      <c r="BR55" s="561">
        <v>232314.69118893062</v>
      </c>
      <c r="BS55" s="561">
        <v>236566.50196854505</v>
      </c>
      <c r="BT55" s="561">
        <v>228442.52946675199</v>
      </c>
      <c r="BU55" s="561">
        <v>262787.18552714447</v>
      </c>
      <c r="BV55" s="561">
        <v>225701.43862436843</v>
      </c>
      <c r="BW55" s="561">
        <v>242684.51972220954</v>
      </c>
      <c r="BX55" s="561">
        <v>233419.56582643723</v>
      </c>
      <c r="BY55" s="561">
        <v>222553.99565980441</v>
      </c>
      <c r="BZ55" s="561">
        <v>280216.22471588483</v>
      </c>
      <c r="CA55" s="561">
        <v>258504.49647729652</v>
      </c>
      <c r="CB55" s="561">
        <v>238443.67931575485</v>
      </c>
      <c r="CC55" s="561">
        <v>291258.19929144433</v>
      </c>
      <c r="CD55" s="561">
        <v>331551.52239167277</v>
      </c>
      <c r="CE55" s="561">
        <v>365150.9206607173</v>
      </c>
      <c r="CF55" s="561">
        <v>331744.64526177425</v>
      </c>
      <c r="CG55" s="561">
        <v>306206.7874403724</v>
      </c>
      <c r="CH55" s="561">
        <v>326287.14330588136</v>
      </c>
      <c r="CI55" s="561">
        <v>345566.76871943782</v>
      </c>
      <c r="CJ55" s="561">
        <v>355620.70449500385</v>
      </c>
      <c r="CK55" s="561">
        <v>344224.6446809328</v>
      </c>
      <c r="CL55" s="561">
        <v>351250.84561238473</v>
      </c>
      <c r="CM55" s="561">
        <v>330178.31108843983</v>
      </c>
      <c r="CN55" s="561">
        <v>287721.32492861018</v>
      </c>
      <c r="CO55" s="561">
        <v>279939.08250933321</v>
      </c>
      <c r="CP55" s="561">
        <v>296836.98913296411</v>
      </c>
      <c r="CQ55" s="561">
        <v>297892.84432366665</v>
      </c>
      <c r="CR55" s="561">
        <v>307347.90835321526</v>
      </c>
      <c r="CS55" s="561">
        <v>284028.29083379696</v>
      </c>
      <c r="CT55" s="561">
        <v>296186.66098618211</v>
      </c>
      <c r="CU55" s="561">
        <v>294401.09124277084</v>
      </c>
      <c r="CV55" s="561">
        <v>313836.05786084075</v>
      </c>
      <c r="CW55" s="561">
        <v>367269.29246765771</v>
      </c>
      <c r="CX55" s="561">
        <v>360956.46484693687</v>
      </c>
      <c r="CY55" s="561">
        <v>310919.57905538724</v>
      </c>
      <c r="CZ55" s="561">
        <v>288355.94132487784</v>
      </c>
      <c r="DA55" s="561">
        <v>244096.76228233028</v>
      </c>
      <c r="DB55" s="562">
        <v>226887.54080734405</v>
      </c>
      <c r="DC55" s="561">
        <v>235220.8493683727</v>
      </c>
      <c r="DD55" s="507">
        <v>223332.05145226975</v>
      </c>
      <c r="DE55" s="507">
        <v>213015.07227861648</v>
      </c>
      <c r="DF55" s="507">
        <v>208067.28408345862</v>
      </c>
      <c r="DG55" s="507">
        <v>198664.07230677677</v>
      </c>
    </row>
    <row r="56" spans="1:111" ht="16.5" customHeight="1">
      <c r="A56" s="509"/>
      <c r="B56" s="510"/>
      <c r="C56" s="589"/>
      <c r="D56" s="589"/>
      <c r="E56" s="589"/>
      <c r="F56" s="590"/>
      <c r="G56" s="589"/>
      <c r="H56" s="591"/>
      <c r="I56" s="589"/>
      <c r="J56" s="589"/>
      <c r="K56" s="589"/>
      <c r="L56" s="589"/>
      <c r="M56" s="590"/>
      <c r="N56" s="589"/>
      <c r="O56" s="589"/>
      <c r="P56" s="589"/>
      <c r="Q56" s="589"/>
      <c r="R56" s="589"/>
      <c r="S56" s="589"/>
      <c r="T56" s="589"/>
      <c r="U56" s="589"/>
      <c r="V56" s="589"/>
      <c r="W56" s="589"/>
      <c r="X56" s="589"/>
      <c r="Y56" s="589"/>
      <c r="Z56" s="589"/>
      <c r="AA56" s="589"/>
      <c r="AB56" s="592"/>
      <c r="AC56" s="592"/>
      <c r="AD56" s="593"/>
      <c r="AE56" s="589"/>
      <c r="AF56" s="589"/>
      <c r="AG56" s="589"/>
      <c r="AH56" s="589"/>
      <c r="AI56" s="589"/>
      <c r="AJ56" s="589"/>
      <c r="AK56" s="589"/>
      <c r="AL56" s="589"/>
      <c r="AM56" s="589"/>
      <c r="AN56" s="589"/>
      <c r="AO56" s="589"/>
      <c r="AP56" s="591"/>
      <c r="AQ56" s="589"/>
      <c r="AR56" s="589"/>
      <c r="AS56" s="589"/>
      <c r="AT56" s="589"/>
      <c r="AU56" s="589"/>
      <c r="AV56" s="589"/>
      <c r="AW56" s="589"/>
      <c r="AX56" s="589"/>
      <c r="AY56" s="589"/>
      <c r="AZ56" s="589"/>
      <c r="BA56" s="589"/>
      <c r="BB56" s="589"/>
      <c r="BC56" s="589"/>
      <c r="BD56" s="589"/>
      <c r="BE56" s="589"/>
      <c r="BF56" s="589"/>
      <c r="BG56" s="589"/>
      <c r="BH56" s="589"/>
      <c r="BI56" s="589"/>
      <c r="BJ56" s="589"/>
      <c r="BK56" s="589"/>
      <c r="BL56" s="589"/>
      <c r="BM56" s="589"/>
      <c r="BN56" s="589"/>
      <c r="BO56" s="589"/>
      <c r="BP56" s="589"/>
      <c r="BQ56" s="589"/>
      <c r="BR56" s="589"/>
      <c r="BS56" s="589"/>
      <c r="BT56" s="589"/>
      <c r="BU56" s="589"/>
      <c r="BV56" s="589"/>
      <c r="BW56" s="589"/>
      <c r="BX56" s="589"/>
      <c r="BY56" s="589"/>
      <c r="BZ56" s="589"/>
      <c r="CA56" s="589"/>
      <c r="CB56" s="589"/>
      <c r="CC56" s="589"/>
      <c r="CD56" s="589"/>
      <c r="CE56" s="589"/>
      <c r="CF56" s="589"/>
      <c r="CG56" s="589"/>
      <c r="CH56" s="589"/>
      <c r="CI56" s="589"/>
      <c r="CJ56" s="589"/>
      <c r="CK56" s="589"/>
      <c r="CL56" s="589"/>
      <c r="CM56" s="589"/>
      <c r="CN56" s="589"/>
      <c r="CO56" s="589"/>
      <c r="CP56" s="589"/>
      <c r="CQ56" s="589"/>
      <c r="CR56" s="589"/>
      <c r="CS56" s="589"/>
      <c r="CT56" s="589"/>
      <c r="CU56" s="589"/>
      <c r="CV56" s="589"/>
      <c r="CW56" s="589"/>
      <c r="CX56" s="589"/>
      <c r="CY56" s="589"/>
      <c r="CZ56" s="589"/>
      <c r="DA56" s="589"/>
      <c r="DB56" s="590"/>
      <c r="DC56" s="589"/>
      <c r="DD56" s="592"/>
      <c r="DE56" s="592"/>
      <c r="DF56" s="592"/>
      <c r="DG56" s="592"/>
    </row>
    <row r="57" spans="1:111" ht="16.5" customHeight="1">
      <c r="A57" s="505" t="s">
        <v>452</v>
      </c>
      <c r="B57" s="506" t="s">
        <v>453</v>
      </c>
      <c r="C57" s="561">
        <v>15267.319428778475</v>
      </c>
      <c r="D57" s="561">
        <v>14343.021972617598</v>
      </c>
      <c r="E57" s="561">
        <v>20872.677782157156</v>
      </c>
      <c r="F57" s="562">
        <v>20389.014050729656</v>
      </c>
      <c r="G57" s="561">
        <v>19640.499325109929</v>
      </c>
      <c r="H57" s="563">
        <v>18089.973323858543</v>
      </c>
      <c r="I57" s="561">
        <v>16669.010885876269</v>
      </c>
      <c r="J57" s="561">
        <v>18124.824061199026</v>
      </c>
      <c r="K57" s="561">
        <v>18873.044963116732</v>
      </c>
      <c r="L57" s="561">
        <v>19124.219224243214</v>
      </c>
      <c r="M57" s="562">
        <v>18837.016835935974</v>
      </c>
      <c r="N57" s="561">
        <v>19325.915542433235</v>
      </c>
      <c r="O57" s="561">
        <v>18575.986356368594</v>
      </c>
      <c r="P57" s="561">
        <v>20152.628623151741</v>
      </c>
      <c r="Q57" s="561">
        <v>20305.578140484475</v>
      </c>
      <c r="R57" s="561">
        <v>21596.825310943765</v>
      </c>
      <c r="S57" s="561">
        <v>20532.267003248064</v>
      </c>
      <c r="T57" s="561">
        <v>20268.062098349725</v>
      </c>
      <c r="U57" s="561">
        <v>19288.396582400928</v>
      </c>
      <c r="V57" s="561">
        <v>18976.86221272808</v>
      </c>
      <c r="W57" s="561">
        <v>20689.007931866116</v>
      </c>
      <c r="X57" s="561">
        <v>20645.295218005682</v>
      </c>
      <c r="Y57" s="561">
        <v>20352.962638096036</v>
      </c>
      <c r="Z57" s="561">
        <v>23643.29471844207</v>
      </c>
      <c r="AA57" s="561">
        <v>22905.951523263288</v>
      </c>
      <c r="AB57" s="507">
        <v>20249.59155576069</v>
      </c>
      <c r="AC57" s="507">
        <v>23040.174051936956</v>
      </c>
      <c r="AD57" s="588">
        <v>21357.550504467519</v>
      </c>
      <c r="AE57" s="561">
        <v>22385.664081063565</v>
      </c>
      <c r="AF57" s="561">
        <v>21857.97138406842</v>
      </c>
      <c r="AG57" s="561">
        <v>24401.977950487693</v>
      </c>
      <c r="AH57" s="561">
        <v>24450.432137882355</v>
      </c>
      <c r="AI57" s="561">
        <v>23828.829155827618</v>
      </c>
      <c r="AJ57" s="561">
        <v>22864.456987456208</v>
      </c>
      <c r="AK57" s="561">
        <v>22982.403122046027</v>
      </c>
      <c r="AL57" s="561">
        <v>24510.855743288423</v>
      </c>
      <c r="AM57" s="561">
        <v>23136.423495206152</v>
      </c>
      <c r="AN57" s="561">
        <v>22819.278932513374</v>
      </c>
      <c r="AO57" s="561">
        <v>21572.182807726083</v>
      </c>
      <c r="AP57" s="563">
        <v>25307.976553561417</v>
      </c>
      <c r="AQ57" s="561">
        <v>25873.819248272492</v>
      </c>
      <c r="AR57" s="561">
        <v>26306.642876667771</v>
      </c>
      <c r="AS57" s="561">
        <v>28065.589145305854</v>
      </c>
      <c r="AT57" s="561">
        <v>26478.844533658801</v>
      </c>
      <c r="AU57" s="561">
        <v>24949.469385341887</v>
      </c>
      <c r="AV57" s="561">
        <v>23883.709469500889</v>
      </c>
      <c r="AW57" s="561">
        <v>26353.788022679335</v>
      </c>
      <c r="AX57" s="561">
        <v>24206.169627596111</v>
      </c>
      <c r="AY57" s="561">
        <v>26071.671281241695</v>
      </c>
      <c r="AZ57" s="561">
        <v>24794.608585212714</v>
      </c>
      <c r="BA57" s="561">
        <v>27897.600262071908</v>
      </c>
      <c r="BB57" s="561">
        <v>24899.482809756439</v>
      </c>
      <c r="BC57" s="561">
        <v>23202.232431801625</v>
      </c>
      <c r="BD57" s="561">
        <v>24492.972622940262</v>
      </c>
      <c r="BE57" s="561">
        <v>23948.498158967559</v>
      </c>
      <c r="BF57" s="561">
        <v>22741.12025448737</v>
      </c>
      <c r="BG57" s="561">
        <v>24214.409577413047</v>
      </c>
      <c r="BH57" s="561">
        <v>24052.947747934111</v>
      </c>
      <c r="BI57" s="561">
        <v>22537.491184867667</v>
      </c>
      <c r="BJ57" s="561">
        <v>27194.724778050237</v>
      </c>
      <c r="BK57" s="561">
        <v>28096.352777361084</v>
      </c>
      <c r="BL57" s="561">
        <v>26073.995821931683</v>
      </c>
      <c r="BM57" s="561">
        <v>24270.177303191751</v>
      </c>
      <c r="BN57" s="561">
        <v>24691.797324641815</v>
      </c>
      <c r="BO57" s="561">
        <v>28859.221784267142</v>
      </c>
      <c r="BP57" s="561">
        <v>29867.963037637437</v>
      </c>
      <c r="BQ57" s="561">
        <v>29721.935154606908</v>
      </c>
      <c r="BR57" s="561">
        <v>27731.858226046617</v>
      </c>
      <c r="BS57" s="561">
        <v>29872.922732982748</v>
      </c>
      <c r="BT57" s="561">
        <v>40877.051391227593</v>
      </c>
      <c r="BU57" s="561">
        <v>28719.587202759521</v>
      </c>
      <c r="BV57" s="561">
        <v>35701.788247716657</v>
      </c>
      <c r="BW57" s="561">
        <v>33590.921945418268</v>
      </c>
      <c r="BX57" s="561">
        <v>33042.181637707392</v>
      </c>
      <c r="BY57" s="561">
        <v>25415.818564687404</v>
      </c>
      <c r="BZ57" s="561">
        <v>32703.884118982125</v>
      </c>
      <c r="CA57" s="561">
        <v>34310.203890731515</v>
      </c>
      <c r="CB57" s="561">
        <v>36113.679310384672</v>
      </c>
      <c r="CC57" s="561">
        <v>36668.381342116809</v>
      </c>
      <c r="CD57" s="561">
        <v>35134.658194978365</v>
      </c>
      <c r="CE57" s="561">
        <v>35733.680333697637</v>
      </c>
      <c r="CF57" s="561">
        <v>35975.883321555055</v>
      </c>
      <c r="CG57" s="561">
        <v>36790.584043890194</v>
      </c>
      <c r="CH57" s="561">
        <v>43492.621522104775</v>
      </c>
      <c r="CI57" s="561">
        <v>43118.030359693512</v>
      </c>
      <c r="CJ57" s="561">
        <v>38381.407417294249</v>
      </c>
      <c r="CK57" s="561">
        <v>38719.490625863407</v>
      </c>
      <c r="CL57" s="561">
        <v>37651.54298678926</v>
      </c>
      <c r="CM57" s="561">
        <v>37293.391317548041</v>
      </c>
      <c r="CN57" s="561">
        <v>38053.030994902947</v>
      </c>
      <c r="CO57" s="561">
        <v>43996.639292102496</v>
      </c>
      <c r="CP57" s="561">
        <v>44179.369376595627</v>
      </c>
      <c r="CQ57" s="561">
        <v>44129.17715056079</v>
      </c>
      <c r="CR57" s="561">
        <v>42192.217092565326</v>
      </c>
      <c r="CS57" s="561">
        <v>45550.917966060391</v>
      </c>
      <c r="CT57" s="561">
        <v>40617.606085972766</v>
      </c>
      <c r="CU57" s="561">
        <v>41413.220075621422</v>
      </c>
      <c r="CV57" s="561">
        <v>41335.529029774712</v>
      </c>
      <c r="CW57" s="561">
        <v>45190.099311536011</v>
      </c>
      <c r="CX57" s="561">
        <v>46703.760746199885</v>
      </c>
      <c r="CY57" s="561">
        <v>41406.822349984322</v>
      </c>
      <c r="CZ57" s="561">
        <v>35025.066943906393</v>
      </c>
      <c r="DA57" s="561">
        <v>33418.905161721406</v>
      </c>
      <c r="DB57" s="562">
        <v>33172.904775990341</v>
      </c>
      <c r="DC57" s="561">
        <v>33111.246499768902</v>
      </c>
      <c r="DD57" s="507">
        <v>33566.3828525344</v>
      </c>
      <c r="DE57" s="507">
        <v>33898.177599956798</v>
      </c>
      <c r="DF57" s="507">
        <v>33801.564800035361</v>
      </c>
      <c r="DG57" s="507">
        <v>34499.257122426381</v>
      </c>
    </row>
    <row r="58" spans="1:111" ht="16.5" customHeight="1">
      <c r="A58" s="509"/>
      <c r="B58" s="510"/>
      <c r="C58" s="589"/>
      <c r="D58" s="589"/>
      <c r="E58" s="589"/>
      <c r="F58" s="590"/>
      <c r="G58" s="589"/>
      <c r="H58" s="591"/>
      <c r="I58" s="589"/>
      <c r="J58" s="589"/>
      <c r="K58" s="589"/>
      <c r="L58" s="589"/>
      <c r="M58" s="590"/>
      <c r="N58" s="589"/>
      <c r="O58" s="589"/>
      <c r="P58" s="589"/>
      <c r="Q58" s="589"/>
      <c r="R58" s="589"/>
      <c r="S58" s="589"/>
      <c r="T58" s="589"/>
      <c r="U58" s="589"/>
      <c r="V58" s="589"/>
      <c r="W58" s="589"/>
      <c r="X58" s="589"/>
      <c r="Y58" s="589"/>
      <c r="Z58" s="589"/>
      <c r="AA58" s="589"/>
      <c r="AB58" s="592"/>
      <c r="AC58" s="592"/>
      <c r="AD58" s="593"/>
      <c r="AE58" s="589"/>
      <c r="AF58" s="589"/>
      <c r="AG58" s="589"/>
      <c r="AH58" s="589"/>
      <c r="AI58" s="589"/>
      <c r="AJ58" s="589"/>
      <c r="AK58" s="589"/>
      <c r="AL58" s="589"/>
      <c r="AM58" s="589"/>
      <c r="AN58" s="589"/>
      <c r="AO58" s="589"/>
      <c r="AP58" s="591"/>
      <c r="AQ58" s="589"/>
      <c r="AR58" s="589"/>
      <c r="AS58" s="589"/>
      <c r="AT58" s="589"/>
      <c r="AU58" s="589"/>
      <c r="AV58" s="589"/>
      <c r="AW58" s="589"/>
      <c r="AX58" s="589"/>
      <c r="AY58" s="589"/>
      <c r="AZ58" s="589"/>
      <c r="BA58" s="589"/>
      <c r="BB58" s="589"/>
      <c r="BC58" s="589"/>
      <c r="BD58" s="589"/>
      <c r="BE58" s="589"/>
      <c r="BF58" s="589"/>
      <c r="BG58" s="589"/>
      <c r="BH58" s="589"/>
      <c r="BI58" s="589"/>
      <c r="BJ58" s="589"/>
      <c r="BK58" s="589"/>
      <c r="BL58" s="589"/>
      <c r="BM58" s="589"/>
      <c r="BN58" s="589"/>
      <c r="BO58" s="589"/>
      <c r="BP58" s="589"/>
      <c r="BQ58" s="589"/>
      <c r="BR58" s="589"/>
      <c r="BS58" s="589"/>
      <c r="BT58" s="589"/>
      <c r="BU58" s="589"/>
      <c r="BV58" s="589"/>
      <c r="BW58" s="589"/>
      <c r="BX58" s="589"/>
      <c r="BY58" s="589"/>
      <c r="BZ58" s="589"/>
      <c r="CA58" s="589"/>
      <c r="CB58" s="589"/>
      <c r="CC58" s="589"/>
      <c r="CD58" s="589"/>
      <c r="CE58" s="589"/>
      <c r="CF58" s="589"/>
      <c r="CG58" s="589"/>
      <c r="CH58" s="589"/>
      <c r="CI58" s="589"/>
      <c r="CJ58" s="589"/>
      <c r="CK58" s="589"/>
      <c r="CL58" s="589"/>
      <c r="CM58" s="589"/>
      <c r="CN58" s="589"/>
      <c r="CO58" s="589"/>
      <c r="CP58" s="589"/>
      <c r="CQ58" s="589"/>
      <c r="CR58" s="589"/>
      <c r="CS58" s="589"/>
      <c r="CT58" s="589"/>
      <c r="CU58" s="589"/>
      <c r="CV58" s="589"/>
      <c r="CW58" s="589"/>
      <c r="CX58" s="589"/>
      <c r="CY58" s="589"/>
      <c r="CZ58" s="589"/>
      <c r="DA58" s="589"/>
      <c r="DB58" s="590"/>
      <c r="DC58" s="589"/>
      <c r="DD58" s="592"/>
      <c r="DE58" s="592"/>
      <c r="DF58" s="592"/>
      <c r="DG58" s="592"/>
    </row>
    <row r="59" spans="1:111" ht="16.5" customHeight="1">
      <c r="A59" s="505" t="s">
        <v>454</v>
      </c>
      <c r="B59" s="506" t="s">
        <v>419</v>
      </c>
      <c r="C59" s="561">
        <v>35704.368588081408</v>
      </c>
      <c r="D59" s="561">
        <v>36287.800051772996</v>
      </c>
      <c r="E59" s="561">
        <v>36725.258952753698</v>
      </c>
      <c r="F59" s="562">
        <v>36657.892827389129</v>
      </c>
      <c r="G59" s="561">
        <v>36908.697205162935</v>
      </c>
      <c r="H59" s="563">
        <v>37615.963469114278</v>
      </c>
      <c r="I59" s="561">
        <v>37927.272479138337</v>
      </c>
      <c r="J59" s="561">
        <v>39020.193709404259</v>
      </c>
      <c r="K59" s="561">
        <v>39287.485610740951</v>
      </c>
      <c r="L59" s="561">
        <v>39222.085061498794</v>
      </c>
      <c r="M59" s="562">
        <v>40022.516192943491</v>
      </c>
      <c r="N59" s="561">
        <v>39408.792052137745</v>
      </c>
      <c r="O59" s="561">
        <v>38890.06262347773</v>
      </c>
      <c r="P59" s="561">
        <v>40396.104372089401</v>
      </c>
      <c r="Q59" s="561">
        <v>42000.886786275398</v>
      </c>
      <c r="R59" s="561">
        <v>41428.663869112483</v>
      </c>
      <c r="S59" s="561">
        <v>43134.84105007779</v>
      </c>
      <c r="T59" s="561">
        <v>44548.826372607225</v>
      </c>
      <c r="U59" s="561">
        <v>43642.858748323037</v>
      </c>
      <c r="V59" s="561">
        <v>44958.679943900897</v>
      </c>
      <c r="W59" s="561">
        <v>41876.236271404952</v>
      </c>
      <c r="X59" s="561">
        <v>42090.23316457498</v>
      </c>
      <c r="Y59" s="561">
        <v>42873.108794222033</v>
      </c>
      <c r="Z59" s="561">
        <v>43622.034313129567</v>
      </c>
      <c r="AA59" s="561">
        <v>44511.827521145366</v>
      </c>
      <c r="AB59" s="507">
        <v>44976.158320210845</v>
      </c>
      <c r="AC59" s="507">
        <v>44979.939315974334</v>
      </c>
      <c r="AD59" s="588">
        <v>45130.157990354543</v>
      </c>
      <c r="AE59" s="561">
        <v>46526.507524889159</v>
      </c>
      <c r="AF59" s="561">
        <v>46953.111096502696</v>
      </c>
      <c r="AG59" s="561">
        <v>46498.099178341705</v>
      </c>
      <c r="AH59" s="561">
        <v>48776.229552209828</v>
      </c>
      <c r="AI59" s="561">
        <v>49049.519554837862</v>
      </c>
      <c r="AJ59" s="561">
        <v>49284.479405728474</v>
      </c>
      <c r="AK59" s="561">
        <v>50811.602709146318</v>
      </c>
      <c r="AL59" s="561">
        <v>53448.718884642585</v>
      </c>
      <c r="AM59" s="561">
        <v>54368.75815095412</v>
      </c>
      <c r="AN59" s="561">
        <v>52373.989824135751</v>
      </c>
      <c r="AO59" s="561">
        <v>55517.245403996363</v>
      </c>
      <c r="AP59" s="563">
        <v>54841.719482057546</v>
      </c>
      <c r="AQ59" s="561">
        <v>58103.367507876319</v>
      </c>
      <c r="AR59" s="561">
        <v>59298.19183667707</v>
      </c>
      <c r="AS59" s="561">
        <v>60859.082741518061</v>
      </c>
      <c r="AT59" s="561">
        <v>62079.972771916138</v>
      </c>
      <c r="AU59" s="561">
        <v>63786.655804845657</v>
      </c>
      <c r="AV59" s="561">
        <v>64543.161864375077</v>
      </c>
      <c r="AW59" s="561">
        <v>64402.199319373285</v>
      </c>
      <c r="AX59" s="561">
        <v>64264.316030189861</v>
      </c>
      <c r="AY59" s="561">
        <v>64583.402034013052</v>
      </c>
      <c r="AZ59" s="561">
        <v>65138.420256611011</v>
      </c>
      <c r="BA59" s="561">
        <v>65446.011451277212</v>
      </c>
      <c r="BB59" s="561">
        <v>63276.09750421303</v>
      </c>
      <c r="BC59" s="561">
        <v>63131.134601172125</v>
      </c>
      <c r="BD59" s="561">
        <v>63117.099459523968</v>
      </c>
      <c r="BE59" s="561">
        <v>64818.144578716056</v>
      </c>
      <c r="BF59" s="561">
        <v>64698.29265435753</v>
      </c>
      <c r="BG59" s="561">
        <v>66175.975521146291</v>
      </c>
      <c r="BH59" s="561">
        <v>66816.400958400569</v>
      </c>
      <c r="BI59" s="561">
        <v>66609.379543792747</v>
      </c>
      <c r="BJ59" s="561">
        <v>69696.148691288792</v>
      </c>
      <c r="BK59" s="561">
        <v>71982.810638501833</v>
      </c>
      <c r="BL59" s="561">
        <v>70103.464201367489</v>
      </c>
      <c r="BM59" s="561">
        <v>71230.865413964173</v>
      </c>
      <c r="BN59" s="561">
        <v>70988.97564783541</v>
      </c>
      <c r="BO59" s="561">
        <v>71944.823911859654</v>
      </c>
      <c r="BP59" s="561">
        <v>77034.530996147063</v>
      </c>
      <c r="BQ59" s="561">
        <v>77535.22335300289</v>
      </c>
      <c r="BR59" s="561">
        <v>78370.908091345031</v>
      </c>
      <c r="BS59" s="561">
        <v>79038.128808233989</v>
      </c>
      <c r="BT59" s="561">
        <v>79449.325672152947</v>
      </c>
      <c r="BU59" s="561">
        <v>79375.966339647115</v>
      </c>
      <c r="BV59" s="561">
        <v>79523.476564492594</v>
      </c>
      <c r="BW59" s="561">
        <v>81131.453879475695</v>
      </c>
      <c r="BX59" s="561">
        <v>81157.308384578166</v>
      </c>
      <c r="BY59" s="561">
        <v>81056.07656261354</v>
      </c>
      <c r="BZ59" s="561">
        <v>83806.116391159376</v>
      </c>
      <c r="CA59" s="561">
        <v>84531.302411197583</v>
      </c>
      <c r="CB59" s="561">
        <v>86545.066758556524</v>
      </c>
      <c r="CC59" s="561">
        <v>84624.221826456313</v>
      </c>
      <c r="CD59" s="561">
        <v>85272.706527704955</v>
      </c>
      <c r="CE59" s="561">
        <v>86158.795431287654</v>
      </c>
      <c r="CF59" s="561">
        <v>88154.262349991273</v>
      </c>
      <c r="CG59" s="561">
        <v>88873.865580902799</v>
      </c>
      <c r="CH59" s="561">
        <v>92336.108194888089</v>
      </c>
      <c r="CI59" s="561">
        <v>94375.209812524903</v>
      </c>
      <c r="CJ59" s="561">
        <v>94977.025688010966</v>
      </c>
      <c r="CK59" s="561">
        <v>95737.200241493716</v>
      </c>
      <c r="CL59" s="561">
        <v>95955.688272962987</v>
      </c>
      <c r="CM59" s="561">
        <v>96887.39846463174</v>
      </c>
      <c r="CN59" s="561">
        <v>97708.07730387176</v>
      </c>
      <c r="CO59" s="561">
        <v>100592.68447032165</v>
      </c>
      <c r="CP59" s="561">
        <v>101422.9763965329</v>
      </c>
      <c r="CQ59" s="561">
        <v>103871.30455864441</v>
      </c>
      <c r="CR59" s="561">
        <v>105639.37531668847</v>
      </c>
      <c r="CS59" s="561">
        <v>106538.26306164458</v>
      </c>
      <c r="CT59" s="561">
        <v>105604.79143601622</v>
      </c>
      <c r="CU59" s="561">
        <v>106654.79163154114</v>
      </c>
      <c r="CV59" s="561">
        <v>107472.88093376729</v>
      </c>
      <c r="CW59" s="561">
        <v>107256.10345412733</v>
      </c>
      <c r="CX59" s="561">
        <v>105921.62762068295</v>
      </c>
      <c r="CY59" s="561">
        <v>106280.46230867032</v>
      </c>
      <c r="CZ59" s="561">
        <v>107204.46669466681</v>
      </c>
      <c r="DA59" s="561">
        <v>106627.31969479575</v>
      </c>
      <c r="DB59" s="562">
        <v>107969.7722645325</v>
      </c>
      <c r="DC59" s="561">
        <v>109373.7030829463</v>
      </c>
      <c r="DD59" s="507">
        <v>110278.66378914911</v>
      </c>
      <c r="DE59" s="507">
        <v>111130.30169885342</v>
      </c>
      <c r="DF59" s="507">
        <v>112079.37011818557</v>
      </c>
      <c r="DG59" s="507">
        <v>112258.50281467609</v>
      </c>
    </row>
    <row r="60" spans="1:111" ht="15.75">
      <c r="A60" s="509"/>
      <c r="B60" s="510"/>
      <c r="C60" s="530"/>
      <c r="D60" s="530"/>
      <c r="E60" s="530"/>
      <c r="F60" s="569"/>
      <c r="G60" s="530"/>
      <c r="H60" s="570"/>
      <c r="I60" s="530"/>
      <c r="J60" s="530"/>
      <c r="K60" s="530"/>
      <c r="L60" s="530"/>
      <c r="M60" s="569"/>
      <c r="N60" s="530"/>
      <c r="O60" s="530"/>
      <c r="P60" s="530"/>
      <c r="Q60" s="530"/>
      <c r="R60" s="530"/>
      <c r="S60" s="530"/>
      <c r="T60" s="530"/>
      <c r="U60" s="530"/>
      <c r="V60" s="530"/>
      <c r="W60" s="530"/>
      <c r="X60" s="530"/>
      <c r="Y60" s="530"/>
      <c r="Z60" s="530"/>
      <c r="AA60" s="530"/>
      <c r="AB60" s="512"/>
      <c r="AC60" s="512"/>
      <c r="AD60" s="529"/>
      <c r="AE60" s="530"/>
      <c r="AF60" s="530"/>
      <c r="AG60" s="530"/>
      <c r="AH60" s="530"/>
      <c r="AI60" s="530"/>
      <c r="AJ60" s="530"/>
      <c r="AK60" s="530"/>
      <c r="AL60" s="530"/>
      <c r="AM60" s="530"/>
      <c r="AN60" s="530"/>
      <c r="AO60" s="530"/>
      <c r="AP60" s="570"/>
      <c r="AQ60" s="530"/>
      <c r="AR60" s="530"/>
      <c r="AS60" s="530"/>
      <c r="AT60" s="530"/>
      <c r="AU60" s="530"/>
      <c r="AV60" s="530"/>
      <c r="AW60" s="530"/>
      <c r="AX60" s="530"/>
      <c r="AY60" s="530"/>
      <c r="AZ60" s="530"/>
      <c r="BA60" s="530"/>
      <c r="BB60" s="530"/>
      <c r="BC60" s="530"/>
      <c r="BD60" s="530"/>
      <c r="BE60" s="530"/>
      <c r="BF60" s="530"/>
      <c r="BG60" s="530"/>
      <c r="BH60" s="530"/>
      <c r="BI60" s="530"/>
      <c r="BJ60" s="530"/>
      <c r="BK60" s="530"/>
      <c r="BL60" s="530"/>
      <c r="BM60" s="530"/>
      <c r="BN60" s="530"/>
      <c r="BO60" s="530"/>
      <c r="BP60" s="530"/>
      <c r="BQ60" s="530"/>
      <c r="BR60" s="530"/>
      <c r="BS60" s="530"/>
      <c r="BT60" s="530"/>
      <c r="BU60" s="530"/>
      <c r="BV60" s="530"/>
      <c r="BW60" s="530"/>
      <c r="BX60" s="530"/>
      <c r="BY60" s="530"/>
      <c r="BZ60" s="530"/>
      <c r="CA60" s="530"/>
      <c r="CB60" s="530"/>
      <c r="CC60" s="530"/>
      <c r="CD60" s="530"/>
      <c r="CE60" s="530"/>
      <c r="CF60" s="530"/>
      <c r="CG60" s="530"/>
      <c r="CH60" s="530"/>
      <c r="CI60" s="530"/>
      <c r="CJ60" s="530"/>
      <c r="CK60" s="530"/>
      <c r="CL60" s="530"/>
      <c r="CM60" s="530"/>
      <c r="CN60" s="530"/>
      <c r="CO60" s="530"/>
      <c r="CP60" s="530"/>
      <c r="CQ60" s="530"/>
      <c r="CR60" s="530"/>
      <c r="CS60" s="530"/>
      <c r="CT60" s="530"/>
      <c r="CU60" s="530"/>
      <c r="CV60" s="530"/>
      <c r="CW60" s="530"/>
      <c r="CX60" s="530"/>
      <c r="CY60" s="530"/>
      <c r="CZ60" s="530"/>
      <c r="DA60" s="530"/>
      <c r="DB60" s="569"/>
      <c r="DC60" s="530"/>
      <c r="DD60" s="512"/>
      <c r="DE60" s="512"/>
      <c r="DF60" s="512"/>
      <c r="DG60" s="512"/>
    </row>
    <row r="61" spans="1:111" ht="15.75">
      <c r="A61" s="505"/>
      <c r="B61" s="506" t="s">
        <v>455</v>
      </c>
      <c r="C61" s="561">
        <v>445837.09648146771</v>
      </c>
      <c r="D61" s="561">
        <v>432333.73578588478</v>
      </c>
      <c r="E61" s="561">
        <v>444953.02170568105</v>
      </c>
      <c r="F61" s="562">
        <v>460740.79710033536</v>
      </c>
      <c r="G61" s="561">
        <v>463204.56969756016</v>
      </c>
      <c r="H61" s="563">
        <v>481466.10548368085</v>
      </c>
      <c r="I61" s="561">
        <v>468596.08483161492</v>
      </c>
      <c r="J61" s="561">
        <v>478494.19773586863</v>
      </c>
      <c r="K61" s="561">
        <v>507625.95996703452</v>
      </c>
      <c r="L61" s="561">
        <v>511206.35459259461</v>
      </c>
      <c r="M61" s="562">
        <v>507494.99650955346</v>
      </c>
      <c r="N61" s="561">
        <v>535662.87672863819</v>
      </c>
      <c r="O61" s="561">
        <v>523850.27108873928</v>
      </c>
      <c r="P61" s="561">
        <v>533426.28468855494</v>
      </c>
      <c r="Q61" s="561">
        <v>544859.49134909105</v>
      </c>
      <c r="R61" s="561">
        <v>574613.75504488125</v>
      </c>
      <c r="S61" s="561">
        <v>577716.91728723294</v>
      </c>
      <c r="T61" s="561">
        <v>606513.96394631604</v>
      </c>
      <c r="U61" s="561">
        <v>630119.83824542805</v>
      </c>
      <c r="V61" s="561">
        <v>601954.21941866283</v>
      </c>
      <c r="W61" s="561">
        <v>605510.99251014437</v>
      </c>
      <c r="X61" s="561">
        <v>624077.84292468568</v>
      </c>
      <c r="Y61" s="561">
        <v>630561.20141669817</v>
      </c>
      <c r="Z61" s="561">
        <v>632246.83013273461</v>
      </c>
      <c r="AA61" s="561">
        <v>663094.43448270857</v>
      </c>
      <c r="AB61" s="507">
        <v>681753.16319414286</v>
      </c>
      <c r="AC61" s="507">
        <v>696077.90731888788</v>
      </c>
      <c r="AD61" s="588">
        <v>703609.6757322083</v>
      </c>
      <c r="AE61" s="561">
        <v>706823.47694433935</v>
      </c>
      <c r="AF61" s="561">
        <v>746138.07708720083</v>
      </c>
      <c r="AG61" s="561">
        <v>723735.24594117398</v>
      </c>
      <c r="AH61" s="561">
        <v>752758.66746421135</v>
      </c>
      <c r="AI61" s="561">
        <v>748659.13151183829</v>
      </c>
      <c r="AJ61" s="561">
        <v>733354.18060770433</v>
      </c>
      <c r="AK61" s="561">
        <v>719659.48504536517</v>
      </c>
      <c r="AL61" s="561">
        <v>760499.45805389062</v>
      </c>
      <c r="AM61" s="561">
        <v>773252.44280015444</v>
      </c>
      <c r="AN61" s="561">
        <v>790615.52522006026</v>
      </c>
      <c r="AO61" s="561">
        <v>780986.27990849141</v>
      </c>
      <c r="AP61" s="563">
        <v>763856.00000271969</v>
      </c>
      <c r="AQ61" s="561">
        <v>819322.5324201138</v>
      </c>
      <c r="AR61" s="561">
        <v>803124.72039425466</v>
      </c>
      <c r="AS61" s="561">
        <v>805990.07822863967</v>
      </c>
      <c r="AT61" s="561">
        <v>805323.12107057718</v>
      </c>
      <c r="AU61" s="561">
        <v>814898.81246231764</v>
      </c>
      <c r="AV61" s="561">
        <v>807733.6231706267</v>
      </c>
      <c r="AW61" s="561">
        <v>808480.43114202272</v>
      </c>
      <c r="AX61" s="561">
        <v>802925.72630561446</v>
      </c>
      <c r="AY61" s="561">
        <v>815049.49751314428</v>
      </c>
      <c r="AZ61" s="561">
        <v>830130.71492091997</v>
      </c>
      <c r="BA61" s="561">
        <v>833451.49451887386</v>
      </c>
      <c r="BB61" s="561">
        <v>815832.35192099214</v>
      </c>
      <c r="BC61" s="561">
        <v>815339.29479991982</v>
      </c>
      <c r="BD61" s="561">
        <v>803883.86273326341</v>
      </c>
      <c r="BE61" s="561">
        <v>850342.74366170098</v>
      </c>
      <c r="BF61" s="561">
        <v>871292.62662828504</v>
      </c>
      <c r="BG61" s="561">
        <v>892721.17988087796</v>
      </c>
      <c r="BH61" s="561">
        <v>913488.39506609784</v>
      </c>
      <c r="BI61" s="561">
        <v>913833.09111478226</v>
      </c>
      <c r="BJ61" s="561">
        <v>1025679.5364986513</v>
      </c>
      <c r="BK61" s="561">
        <v>1012035.333333926</v>
      </c>
      <c r="BL61" s="561">
        <v>954121.87023194158</v>
      </c>
      <c r="BM61" s="561">
        <v>992296.62676565617</v>
      </c>
      <c r="BN61" s="561">
        <v>1012404.2143214582</v>
      </c>
      <c r="BO61" s="561">
        <v>1033298.9768260616</v>
      </c>
      <c r="BP61" s="561">
        <v>1013985.1951152171</v>
      </c>
      <c r="BQ61" s="561">
        <v>1062227.4364040988</v>
      </c>
      <c r="BR61" s="561">
        <v>1078181.8810915288</v>
      </c>
      <c r="BS61" s="561">
        <v>1086441.5921039591</v>
      </c>
      <c r="BT61" s="561">
        <v>1053578.3830951103</v>
      </c>
      <c r="BU61" s="561">
        <v>1119531.2698697732</v>
      </c>
      <c r="BV61" s="561">
        <v>1047041.8605696339</v>
      </c>
      <c r="BW61" s="561">
        <v>1112462.9753115466</v>
      </c>
      <c r="BX61" s="561">
        <v>1086642.1355580031</v>
      </c>
      <c r="BY61" s="561">
        <v>1064583.9672632939</v>
      </c>
      <c r="BZ61" s="561">
        <v>1149757.9766855945</v>
      </c>
      <c r="CA61" s="561">
        <v>1131968.1532015936</v>
      </c>
      <c r="CB61" s="561">
        <v>1161633.9910541489</v>
      </c>
      <c r="CC61" s="561">
        <v>1173013.0120292972</v>
      </c>
      <c r="CD61" s="561">
        <v>1187141.955914408</v>
      </c>
      <c r="CE61" s="561">
        <v>1225161.317670773</v>
      </c>
      <c r="CF61" s="561">
        <v>1246006.7916879642</v>
      </c>
      <c r="CG61" s="561">
        <v>1223903.21713633</v>
      </c>
      <c r="CH61" s="561">
        <v>1265080.4399430116</v>
      </c>
      <c r="CI61" s="561">
        <v>1255390.1417716164</v>
      </c>
      <c r="CJ61" s="561">
        <v>1288833.6472017488</v>
      </c>
      <c r="CK61" s="561">
        <v>1243570.2529162969</v>
      </c>
      <c r="CL61" s="561">
        <v>1266162.9329481204</v>
      </c>
      <c r="CM61" s="561">
        <v>1268818.4173121215</v>
      </c>
      <c r="CN61" s="561">
        <v>1242486.2931605482</v>
      </c>
      <c r="CO61" s="561">
        <v>1247268.40425243</v>
      </c>
      <c r="CP61" s="561">
        <v>1276910.0596211508</v>
      </c>
      <c r="CQ61" s="561">
        <v>1242745.0389651642</v>
      </c>
      <c r="CR61" s="561">
        <v>1286030.2886565591</v>
      </c>
      <c r="CS61" s="561">
        <v>1275459.3828028138</v>
      </c>
      <c r="CT61" s="561">
        <v>1313411.567737563</v>
      </c>
      <c r="CU61" s="561">
        <v>1291167.5221563203</v>
      </c>
      <c r="CV61" s="561">
        <v>1346276.3006017897</v>
      </c>
      <c r="CW61" s="561">
        <v>1381765.5424567088</v>
      </c>
      <c r="CX61" s="561">
        <v>1368264.0546602092</v>
      </c>
      <c r="CY61" s="561">
        <v>1297898.6516665085</v>
      </c>
      <c r="CZ61" s="561">
        <v>1289388.268826518</v>
      </c>
      <c r="DA61" s="561">
        <v>1279102.6584194731</v>
      </c>
      <c r="DB61" s="562">
        <v>1232006.7647019469</v>
      </c>
      <c r="DC61" s="561">
        <v>1250530.9795248003</v>
      </c>
      <c r="DD61" s="507">
        <v>1253499.1503665082</v>
      </c>
      <c r="DE61" s="507">
        <v>1241453.8564016731</v>
      </c>
      <c r="DF61" s="507">
        <v>1220656.4641479019</v>
      </c>
      <c r="DG61" s="507">
        <v>1206897.0256862838</v>
      </c>
    </row>
    <row r="62" spans="1:111" ht="16.5" thickBot="1">
      <c r="A62" s="533"/>
      <c r="B62" s="534"/>
      <c r="C62" s="537"/>
      <c r="D62" s="537"/>
      <c r="E62" s="537"/>
      <c r="F62" s="594"/>
      <c r="G62" s="537"/>
      <c r="H62" s="595"/>
      <c r="I62" s="537"/>
      <c r="J62" s="537"/>
      <c r="K62" s="537"/>
      <c r="L62" s="537"/>
      <c r="M62" s="594"/>
      <c r="N62" s="537"/>
      <c r="O62" s="537"/>
      <c r="P62" s="537"/>
      <c r="Q62" s="537"/>
      <c r="R62" s="537"/>
      <c r="S62" s="537"/>
      <c r="T62" s="537"/>
      <c r="U62" s="537"/>
      <c r="V62" s="537"/>
      <c r="W62" s="537"/>
      <c r="X62" s="537"/>
      <c r="Y62" s="537"/>
      <c r="Z62" s="537"/>
      <c r="AA62" s="537"/>
      <c r="AB62" s="535"/>
      <c r="AC62" s="535"/>
      <c r="AD62" s="536"/>
      <c r="AE62" s="537"/>
      <c r="AF62" s="537"/>
      <c r="AG62" s="537"/>
      <c r="AH62" s="537"/>
      <c r="AI62" s="537"/>
      <c r="AJ62" s="537"/>
      <c r="AK62" s="537"/>
      <c r="AL62" s="537"/>
      <c r="AM62" s="537"/>
      <c r="AN62" s="535"/>
      <c r="AO62" s="535"/>
      <c r="AP62" s="595"/>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94"/>
      <c r="DC62" s="537"/>
      <c r="DD62" s="535"/>
      <c r="DE62" s="535"/>
      <c r="DF62" s="535"/>
      <c r="DG62" s="535"/>
    </row>
    <row r="63" spans="1:111" ht="15.75" thickTop="1">
      <c r="A63" s="482" t="s">
        <v>240</v>
      </c>
      <c r="B63" s="455"/>
      <c r="C63" s="455"/>
      <c r="D63" s="455"/>
      <c r="E63" s="455"/>
      <c r="F63" s="455"/>
      <c r="G63" s="455"/>
      <c r="H63" s="455"/>
      <c r="I63" s="455"/>
      <c r="J63" s="403"/>
      <c r="K63" s="403"/>
      <c r="L63" s="403"/>
      <c r="M63" s="403"/>
      <c r="N63" s="403"/>
      <c r="O63" s="403"/>
      <c r="P63" s="403"/>
      <c r="Q63" s="403"/>
      <c r="R63" s="403"/>
      <c r="S63" s="403"/>
      <c r="T63" s="403"/>
      <c r="U63" s="403"/>
      <c r="V63" s="403"/>
      <c r="W63" s="403"/>
      <c r="X63" s="403"/>
      <c r="Y63" s="403"/>
      <c r="Z63" s="403"/>
      <c r="AA63" s="403"/>
      <c r="AB63" s="403"/>
      <c r="AC63" s="403"/>
      <c r="AD63" s="403"/>
      <c r="AE63" s="403"/>
      <c r="AF63" s="403"/>
      <c r="AG63" s="403"/>
      <c r="AH63" s="403"/>
      <c r="AI63" s="403"/>
      <c r="AJ63" s="403"/>
    </row>
    <row r="64" spans="1:111">
      <c r="A64" s="482" t="s">
        <v>466</v>
      </c>
      <c r="B64" s="455"/>
      <c r="C64" s="455"/>
      <c r="D64" s="455"/>
      <c r="E64" s="455"/>
      <c r="F64" s="455"/>
      <c r="G64" s="455"/>
      <c r="H64" s="455"/>
      <c r="I64" s="455"/>
      <c r="J64" s="403"/>
      <c r="K64" s="403"/>
      <c r="L64" s="403"/>
      <c r="M64" s="403"/>
      <c r="N64" s="403"/>
      <c r="O64" s="403"/>
      <c r="P64" s="403"/>
      <c r="Q64" s="403"/>
      <c r="R64" s="403"/>
      <c r="S64" s="403"/>
      <c r="T64" s="403"/>
      <c r="U64" s="403"/>
      <c r="V64" s="403"/>
      <c r="W64" s="403"/>
      <c r="X64" s="403"/>
      <c r="Y64" s="403"/>
      <c r="Z64" s="403"/>
      <c r="AA64" s="403"/>
      <c r="AB64" s="403"/>
      <c r="AC64" s="403"/>
      <c r="AD64" s="403"/>
      <c r="AE64" s="403"/>
      <c r="AF64" s="403"/>
      <c r="AG64" s="403"/>
      <c r="AH64" s="403"/>
      <c r="AI64" s="403"/>
      <c r="AJ64" s="403"/>
    </row>
    <row r="65" spans="1:106">
      <c r="A65" s="482" t="s">
        <v>180</v>
      </c>
    </row>
    <row r="66" spans="1:106" hidden="1">
      <c r="C66" s="596">
        <f>([6]sheet1!$N$463+'[7]Cat 2-MUR'!$P$463)/1000000</f>
        <v>445837.09648146777</v>
      </c>
      <c r="D66" s="596">
        <f>[8]Sheet1!$C$433/1000000</f>
        <v>432333.73578588484</v>
      </c>
      <c r="E66" s="596">
        <f>[9]Sheet1!$C$433/1000000</f>
        <v>444953.02170568111</v>
      </c>
      <c r="F66" s="596">
        <f>[10]Sheet1!$C$433/1000000</f>
        <v>460740.79710033548</v>
      </c>
      <c r="G66" s="596">
        <f>[11]Sheet1!$C$433/1000000</f>
        <v>463204.56969756016</v>
      </c>
      <c r="H66" s="596">
        <f>[12]Sheet1!$C$433/1000000</f>
        <v>481466.10548368079</v>
      </c>
      <c r="I66" s="596">
        <f>[13]Sheet1!$C$433/1000000</f>
        <v>468596.08483161498</v>
      </c>
      <c r="J66" s="596">
        <f>[14]Sheet1!$C$433/1000000</f>
        <v>478494.19773586845</v>
      </c>
      <c r="K66" s="596">
        <f>[15]Sheet1!$C$433/1000000</f>
        <v>507625.95996703452</v>
      </c>
      <c r="L66" s="596">
        <f>[16]Sheet1!$C$433/1000000</f>
        <v>511206.35459259461</v>
      </c>
      <c r="M66" s="596">
        <f>[17]Sheet1!$C$433/1000000</f>
        <v>507494.99650955334</v>
      </c>
      <c r="N66" s="596">
        <f>[18]Sheet1!$C$433/1000000</f>
        <v>535662.87672863808</v>
      </c>
      <c r="O66" s="596">
        <f>[19]Sheet1!$C$433/1000000</f>
        <v>523850.27108873933</v>
      </c>
      <c r="P66" s="596">
        <f>[20]Sheet1!$C$433/1000000</f>
        <v>533426.28468855482</v>
      </c>
      <c r="Q66" s="596">
        <f>[21]Sheet1!$C$433/1000000</f>
        <v>544859.49134909117</v>
      </c>
      <c r="R66" s="596">
        <f>[22]Sheet1!$C$433/1000000</f>
        <v>574613.75504488125</v>
      </c>
      <c r="S66" s="596">
        <f>[23]Sheet1!$C$433/1000000</f>
        <v>577716.91728723282</v>
      </c>
      <c r="T66" s="596">
        <f>[24]Sheet1!$C$433/1000000</f>
        <v>606513.96394631593</v>
      </c>
      <c r="U66" s="596">
        <f>[25]Sheet1!$C$433/1000000</f>
        <v>630119.83824542793</v>
      </c>
      <c r="V66" s="596">
        <f>[26]Sheet1!$C$433/1000000</f>
        <v>601954.21941866272</v>
      </c>
      <c r="W66" s="596">
        <f>[27]Sheet1!$C$433/1000000</f>
        <v>605510.99251014437</v>
      </c>
      <c r="X66" s="596">
        <f>[28]Sheet1!$C$433/1000000</f>
        <v>624077.84292468592</v>
      </c>
      <c r="Y66" s="596">
        <f>[29]Sheet1!$C$433/1000000</f>
        <v>630561.20141669805</v>
      </c>
      <c r="Z66" s="596">
        <f>[30]Sheet1!$C$433/1000000</f>
        <v>632246.8301327345</v>
      </c>
      <c r="AA66" s="596">
        <f>[31]Sheet1!$C$433/1000000</f>
        <v>663094.43448270857</v>
      </c>
      <c r="AB66" s="596">
        <f>[32]Sheet1!$C$433/1000000</f>
        <v>681753.16319414286</v>
      </c>
      <c r="AC66" s="596">
        <f>[33]Sheet1!$C$433/1000000</f>
        <v>696077.90731888788</v>
      </c>
      <c r="AD66" s="596">
        <f>[34]Sheet1!$C$433/1000000</f>
        <v>703609.67573220818</v>
      </c>
      <c r="AE66" s="596">
        <f>[35]Sheet1!$C$433/1000000</f>
        <v>706823.47694433935</v>
      </c>
      <c r="AF66" s="596">
        <f>[36]Sheet1!$C$433/1000000</f>
        <v>746138.07708720095</v>
      </c>
      <c r="AG66" s="596">
        <f>[37]Sheet1!$C$433/1000000</f>
        <v>723735.24594117375</v>
      </c>
      <c r="AH66" s="596">
        <f>[38]Sheet1!$C$433/1000000</f>
        <v>752758.66746476921</v>
      </c>
      <c r="AI66" s="596">
        <f>[39]Sheet1!$C$433/1000000</f>
        <v>748659.13151183829</v>
      </c>
    </row>
    <row r="67" spans="1:106">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row>
    <row r="68" spans="1:106">
      <c r="C68" s="596">
        <f t="shared" ref="C68:BN68" si="0">C61-C28</f>
        <v>7.691036444157362E-6</v>
      </c>
      <c r="D68" s="596">
        <f t="shared" si="0"/>
        <v>7.2157068643718958E-5</v>
      </c>
      <c r="E68" s="596">
        <f t="shared" si="0"/>
        <v>-1.3936951290816069E-5</v>
      </c>
      <c r="F68" s="596">
        <f t="shared" si="0"/>
        <v>1.2735836207866669E-7</v>
      </c>
      <c r="G68" s="596">
        <f t="shared" si="0"/>
        <v>4.7089066356420517E-5</v>
      </c>
      <c r="H68" s="596">
        <f t="shared" si="0"/>
        <v>9.3560083769261837E-6</v>
      </c>
      <c r="I68" s="596">
        <f t="shared" si="0"/>
        <v>-1.9650906324386597E-7</v>
      </c>
      <c r="J68" s="596">
        <f t="shared" si="0"/>
        <v>-4.2904866859316826E-7</v>
      </c>
      <c r="K68" s="596">
        <f t="shared" si="0"/>
        <v>3.7840800359845161E-7</v>
      </c>
      <c r="L68" s="596">
        <f t="shared" si="0"/>
        <v>-5.8789737522602081E-7</v>
      </c>
      <c r="M68" s="596">
        <f t="shared" si="0"/>
        <v>-1.84424570761621E-5</v>
      </c>
      <c r="N68" s="596">
        <f t="shared" si="0"/>
        <v>-3.535436699166894E-4</v>
      </c>
      <c r="O68" s="596">
        <f t="shared" si="0"/>
        <v>-5.2216346375644207E-6</v>
      </c>
      <c r="P68" s="596">
        <f t="shared" si="0"/>
        <v>-6.2298611737787724E-5</v>
      </c>
      <c r="Q68" s="596">
        <f t="shared" si="0"/>
        <v>-1.3456062879413366E-4</v>
      </c>
      <c r="R68" s="596">
        <f t="shared" si="0"/>
        <v>-3.0886032618582249E-5</v>
      </c>
      <c r="S68" s="596">
        <f t="shared" si="0"/>
        <v>-5.0763250328600407E-5</v>
      </c>
      <c r="T68" s="596">
        <f t="shared" si="0"/>
        <v>4.1913008317351341E-5</v>
      </c>
      <c r="U68" s="596">
        <f t="shared" si="0"/>
        <v>-1.1322903446853161E-5</v>
      </c>
      <c r="V68" s="596">
        <f t="shared" si="0"/>
        <v>-7.4238749220967293E-5</v>
      </c>
      <c r="W68" s="596">
        <f t="shared" si="0"/>
        <v>-6.7624496296048164E-5</v>
      </c>
      <c r="X68" s="596">
        <f t="shared" si="0"/>
        <v>-6.8733119405806065E-5</v>
      </c>
      <c r="Y68" s="596">
        <f t="shared" si="0"/>
        <v>-6.8150809966027737E-5</v>
      </c>
      <c r="Z68" s="596">
        <f t="shared" si="0"/>
        <v>-7.3958653956651688E-7</v>
      </c>
      <c r="AA68" s="596">
        <f t="shared" si="0"/>
        <v>4.2072497308254242E-7</v>
      </c>
      <c r="AB68" s="596">
        <f t="shared" si="0"/>
        <v>-4.8408983275294304E-6</v>
      </c>
      <c r="AC68" s="596">
        <f t="shared" si="0"/>
        <v>-4.2119063436985016E-7</v>
      </c>
      <c r="AD68" s="596">
        <f t="shared" si="0"/>
        <v>8.6147338151931763E-9</v>
      </c>
      <c r="AE68" s="596">
        <f t="shared" si="0"/>
        <v>4.7264620661735535E-8</v>
      </c>
      <c r="AF68" s="596">
        <f t="shared" si="0"/>
        <v>-2.3993197828531265E-7</v>
      </c>
      <c r="AG68" s="596">
        <f t="shared" si="0"/>
        <v>2.4319160729646683E-7</v>
      </c>
      <c r="AH68" s="596">
        <f t="shared" si="0"/>
        <v>-6.3586048781871796E-7</v>
      </c>
      <c r="AI68" s="596">
        <f t="shared" si="0"/>
        <v>-1.2246891856193542E-7</v>
      </c>
      <c r="AJ68" s="596">
        <f t="shared" si="0"/>
        <v>-1.0454095900058746E-7</v>
      </c>
      <c r="AK68" s="596">
        <f t="shared" si="0"/>
        <v>-1.4493707567453384E-7</v>
      </c>
      <c r="AL68" s="596">
        <f t="shared" si="0"/>
        <v>-6.8172812461853027E-7</v>
      </c>
      <c r="AM68" s="596">
        <f t="shared" si="0"/>
        <v>3.5099219530820847E-7</v>
      </c>
      <c r="AN68" s="596">
        <f t="shared" si="0"/>
        <v>-5.1257666200399399E-7</v>
      </c>
      <c r="AO68" s="596">
        <f t="shared" si="0"/>
        <v>9.4913411885499954E-7</v>
      </c>
      <c r="AP68" s="596">
        <f t="shared" si="0"/>
        <v>-2.7260975912213326E-6</v>
      </c>
      <c r="AQ68" s="596">
        <f t="shared" si="0"/>
        <v>-1.1589145287871361E-6</v>
      </c>
      <c r="AR68" s="596">
        <f t="shared" si="0"/>
        <v>-3.6030542105436325E-7</v>
      </c>
      <c r="AS68" s="596">
        <f t="shared" si="0"/>
        <v>8.3178747445344925E-7</v>
      </c>
      <c r="AT68" s="596">
        <f t="shared" si="0"/>
        <v>-7.7532604336738586E-8</v>
      </c>
      <c r="AU68" s="596">
        <f t="shared" si="0"/>
        <v>1.1521624401211739E-6</v>
      </c>
      <c r="AV68" s="596">
        <f t="shared" si="0"/>
        <v>-3.3443677239120007E-5</v>
      </c>
      <c r="AW68" s="596">
        <f t="shared" si="0"/>
        <v>-9.5495488494634628E-7</v>
      </c>
      <c r="AX68" s="596">
        <f t="shared" si="0"/>
        <v>2.0791776478290558E-6</v>
      </c>
      <c r="AY68" s="596">
        <f t="shared" si="0"/>
        <v>-2.1583400666713715E-7</v>
      </c>
      <c r="AZ68" s="596">
        <f t="shared" si="0"/>
        <v>9.4878487288951874E-8</v>
      </c>
      <c r="BA68" s="596">
        <f t="shared" si="0"/>
        <v>-4.6822242438793182E-7</v>
      </c>
      <c r="BB68" s="596">
        <f t="shared" si="0"/>
        <v>-1.5331897884607315E-7</v>
      </c>
      <c r="BC68" s="596">
        <f t="shared" si="0"/>
        <v>-2.0394916646182537E-5</v>
      </c>
      <c r="BD68" s="596">
        <f t="shared" si="0"/>
        <v>-1.5110708773136139E-7</v>
      </c>
      <c r="BE68" s="596">
        <f t="shared" si="0"/>
        <v>3.2340176403522491E-7</v>
      </c>
      <c r="BF68" s="596">
        <f t="shared" si="0"/>
        <v>-2.8568319976329803E-7</v>
      </c>
      <c r="BG68" s="596">
        <f t="shared" si="0"/>
        <v>-8.2189217209815979E-7</v>
      </c>
      <c r="BH68" s="596">
        <f t="shared" si="0"/>
        <v>1.1478550732135773E-6</v>
      </c>
      <c r="BI68" s="596">
        <f t="shared" si="0"/>
        <v>7.2643160820007324E-7</v>
      </c>
      <c r="BJ68" s="596">
        <f t="shared" si="0"/>
        <v>2.5262124836444855E-8</v>
      </c>
      <c r="BK68" s="596">
        <f t="shared" si="0"/>
        <v>-1.9842642359435558E-5</v>
      </c>
      <c r="BL68" s="596">
        <f t="shared" si="0"/>
        <v>-2.1160929463803768E-5</v>
      </c>
      <c r="BM68" s="596">
        <f t="shared" si="0"/>
        <v>-1.9839615561068058E-5</v>
      </c>
      <c r="BN68" s="596">
        <f t="shared" si="0"/>
        <v>-2.0204461179673672E-5</v>
      </c>
      <c r="BO68" s="596">
        <f t="shared" ref="BO68:CX68" si="1">BO61-BO28</f>
        <v>-1.9651488400995731E-5</v>
      </c>
      <c r="BP68" s="596">
        <f t="shared" si="1"/>
        <v>-2.1539046429097652E-5</v>
      </c>
      <c r="BQ68" s="596">
        <f t="shared" si="1"/>
        <v>-2.0567560568451881E-5</v>
      </c>
      <c r="BR68" s="596">
        <f t="shared" si="1"/>
        <v>-1.920526847243309E-5</v>
      </c>
      <c r="BS68" s="596">
        <f t="shared" si="1"/>
        <v>-2.0696315914392471E-5</v>
      </c>
      <c r="BT68" s="596">
        <f t="shared" si="1"/>
        <v>-1.863064244389534E-5</v>
      </c>
      <c r="BU68" s="596">
        <f t="shared" si="1"/>
        <v>-2.2605527192354202E-5</v>
      </c>
      <c r="BV68" s="596">
        <f t="shared" si="1"/>
        <v>-1.960177905857563E-5</v>
      </c>
      <c r="BW68" s="596">
        <f t="shared" si="1"/>
        <v>-5.2760588005185127E-5</v>
      </c>
      <c r="BX68" s="596">
        <f t="shared" si="1"/>
        <v>-2.1268380805850029E-5</v>
      </c>
      <c r="BY68" s="596">
        <f t="shared" si="1"/>
        <v>-2.0362669602036476E-5</v>
      </c>
      <c r="BZ68" s="596">
        <f t="shared" si="1"/>
        <v>-2.0428560674190521E-5</v>
      </c>
      <c r="CA68" s="596">
        <f t="shared" si="1"/>
        <v>-2.1701212972402573E-5</v>
      </c>
      <c r="CB68" s="596">
        <f t="shared" si="1"/>
        <v>-2.0670704543590546E-5</v>
      </c>
      <c r="CC68" s="596">
        <f t="shared" si="1"/>
        <v>-2.1010171622037888E-5</v>
      </c>
      <c r="CD68" s="596">
        <f t="shared" si="1"/>
        <v>-2.0581530407071114E-5</v>
      </c>
      <c r="CE68" s="596">
        <f t="shared" si="1"/>
        <v>-2.0582228899002075E-5</v>
      </c>
      <c r="CF68" s="596">
        <f t="shared" si="1"/>
        <v>-2.3123109713196754E-5</v>
      </c>
      <c r="CG68" s="596">
        <f t="shared" si="1"/>
        <v>-2.0289327949285507E-5</v>
      </c>
      <c r="CH68" s="596">
        <f t="shared" si="1"/>
        <v>-2.1471874788403511E-5</v>
      </c>
      <c r="CI68" s="596">
        <f t="shared" si="1"/>
        <v>1.3401731848716736E-6</v>
      </c>
      <c r="CJ68" s="596">
        <f t="shared" si="1"/>
        <v>-1.062639057636261E-6</v>
      </c>
      <c r="CK68" s="596">
        <f t="shared" si="1"/>
        <v>4.116445779800415E-7</v>
      </c>
      <c r="CL68" s="596">
        <f t="shared" si="1"/>
        <v>-6.3958577811717987E-7</v>
      </c>
      <c r="CM68" s="596">
        <f t="shared" si="1"/>
        <v>-1.3418029993772507E-6</v>
      </c>
      <c r="CN68" s="596">
        <f t="shared" si="1"/>
        <v>-1.0021030902862549E-6</v>
      </c>
      <c r="CO68" s="596">
        <f t="shared" si="1"/>
        <v>-3.9837323129177094E-7</v>
      </c>
      <c r="CP68" s="596">
        <f t="shared" si="1"/>
        <v>9.0058892965316772E-7</v>
      </c>
      <c r="CQ68" s="596">
        <f t="shared" si="1"/>
        <v>2.4982728064060211E-6</v>
      </c>
      <c r="CR68" s="596">
        <f t="shared" si="1"/>
        <v>1.4402903616428375E-6</v>
      </c>
      <c r="CS68" s="596">
        <f t="shared" si="1"/>
        <v>3.6321580410003662E-8</v>
      </c>
      <c r="CT68" s="596">
        <f t="shared" si="1"/>
        <v>-2.8149224817752838E-7</v>
      </c>
      <c r="CU68" s="596">
        <f t="shared" si="1"/>
        <v>-1.5692785382270813E-7</v>
      </c>
      <c r="CV68" s="596">
        <f t="shared" si="1"/>
        <v>-1.9744038581848145E-7</v>
      </c>
      <c r="CW68" s="596">
        <f t="shared" si="1"/>
        <v>8.777715265750885E-8</v>
      </c>
      <c r="CX68" s="596">
        <f t="shared" si="1"/>
        <v>-5.4924748837947845E-7</v>
      </c>
      <c r="CY68" s="596"/>
      <c r="CZ68" s="596"/>
      <c r="DA68" s="596"/>
      <c r="DB68" s="596"/>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51</vt:i4>
      </vt:variant>
    </vt:vector>
  </HeadingPairs>
  <TitlesOfParts>
    <vt:vector size="101"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Kaajal Seebaluck-Beerbul</cp:lastModifiedBy>
  <dcterms:created xsi:type="dcterms:W3CDTF">2014-08-18T05:03:42Z</dcterms:created>
  <dcterms:modified xsi:type="dcterms:W3CDTF">2014-08-20T10:54:40Z</dcterms:modified>
</cp:coreProperties>
</file>